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3.xml"/>
  <Override ContentType="application/vnd.openxmlformats-officedocument.spreadsheetml.externalLink+xml" PartName="/xl/externalLinks/externalLink4.xml"/>
  <Override ContentType="application/vnd.openxmlformats-officedocument.spreadsheetml.externalLink+xml" PartName="/xl/externalLinks/externalLink5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0" yWindow="360" windowWidth="19065" windowHeight="11460" tabRatio="858"/>
  </bookViews>
  <sheets>
    <sheet name="ImportantDisclosures" sheetId="41" r:id="rId1"/>
    <sheet name="IS" sheetId="1" r:id="rId2"/>
    <sheet name="RevBuild" sheetId="7" r:id="rId3"/>
    <sheet name="MW-Cache" sheetId="15" state="veryHidden" r:id="rId4"/>
    <sheet name="ccGro" sheetId="36" r:id="rId5"/>
    <sheet name="OrgRev" sheetId="8" r:id="rId6"/>
    <sheet name="BS" sheetId="3" r:id="rId7"/>
    <sheet name="CF" sheetId="4" r:id="rId8"/>
    <sheet name="Debt" sheetId="9" r:id="rId9"/>
    <sheet name="IndexInformation" sheetId="42" r:id="rId10"/>
    <sheet name="ModPubIndex" sheetId="43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_FDS_HYPERLINK_TOGGLE_STATE__" hidden="1">"ON"</definedName>
    <definedName name="__FDS_UNIQUE_RANGE_ID_GENERATOR_COUNTER" localSheetId="4" hidden="1">57</definedName>
    <definedName name="__FDS_UNIQUE_RANGE_ID_GENERATOR_COUNTER">73</definedName>
    <definedName name="_1__FDSAUDITLINK__" localSheetId="7" hidden="1">{"fdsup://directions/FAT Viewer?action=UPDATE&amp;creator=factset&amp;DYN_ARGS=TRUE&amp;DOC_NAME=FAT:FQL_AUDITING_CLIENT_TEMPLATE.FAT&amp;display_string=Audit&amp;VAR:KEY=UNMNIXCVWL&amp;VAR:QUERY=RkZfREVCVChBTk4sMCk=&amp;WINDOW=FIRST_POPUP&amp;HEIGHT=450&amp;WIDTH=450&amp;START_MAXIMIZED=FALSE&amp;VA","R:CALENDAR=US&amp;VAR:SYMBOL=HNSN&amp;VAR:INDEX=0"}</definedName>
    <definedName name="_1__FDSAUDITLINK__" localSheetId="5" hidden="1">{"fdsup://directions/FAT Viewer?action=UPDATE&amp;creator=factset&amp;DYN_ARGS=TRUE&amp;DOC_NAME=FAT:FQL_AUDITING_CLIENT_TEMPLATE.FAT&amp;display_string=Audit&amp;VAR:KEY=UNMNIXCVWL&amp;VAR:QUERY=RkZfREVCVChBTk4sMCk=&amp;WINDOW=FIRST_POPUP&amp;HEIGHT=450&amp;WIDTH=450&amp;START_MAXIMIZED=FALSE&amp;VA","R:CALENDAR=US&amp;VAR:SYMBOL=HNSN&amp;VAR:INDEX=0"}</definedName>
    <definedName name="_1__FDSAUDITLINK__" hidden="1">{"fdsup://directions/FAT Viewer?action=UPDATE&amp;creator=factset&amp;DYN_ARGS=TRUE&amp;DOC_NAME=FAT:FQL_AUDITING_CLIENT_TEMPLATE.FAT&amp;display_string=Audit&amp;VAR:KEY=UNMNIXCVWL&amp;VAR:QUERY=RkZfREVCVChBTk4sMCk=&amp;WINDOW=FIRST_POPUP&amp;HEIGHT=450&amp;WIDTH=450&amp;START_MAXIMIZED=FALSE&amp;VA","R:CALENDAR=US&amp;VAR:SYMBOL=HNSN&amp;VAR:INDEX=0"}</definedName>
    <definedName name="_1__FDSAUDITLINK___1" hidden="1">{"fdsup://directions/FAT Viewer?action=UPDATE&amp;creator=factset&amp;DYN_ARGS=TRUE&amp;DOC_NAME=FAT:FQL_AUDITING_CLIENT_TEMPLATE.FAT&amp;display_string=Audit&amp;VAR:KEY=UNMNIXCVWL&amp;VAR:QUERY=RkZfREVCVChBTk4sMCk=&amp;WINDOW=FIRST_POPUP&amp;HEIGHT=450&amp;WIDTH=450&amp;START_MAXIMIZED=FALSE&amp;VA","R:CALENDAR=US&amp;VAR:SYMBOL=HNSN&amp;VAR:INDEX=0"}</definedName>
    <definedName name="_1__FDSAUDITLINK___2" hidden="1">{"fdsup://directions/FAT Viewer?action=UPDATE&amp;creator=factset&amp;DYN_ARGS=TRUE&amp;DOC_NAME=FAT:FQL_AUDITING_CLIENT_TEMPLATE.FAT&amp;display_string=Audit&amp;VAR:KEY=UNMNIXCVWL&amp;VAR:QUERY=RkZfREVCVChBTk4sMCk=&amp;WINDOW=FIRST_POPUP&amp;HEIGHT=450&amp;WIDTH=450&amp;START_MAXIMIZED=FALSE&amp;VA","R:CALENDAR=US&amp;VAR:SYMBOL=HNSN&amp;VAR:INDEX=0"}</definedName>
    <definedName name="_10__FDSAUDITLINK__" localSheetId="7" hidden="1">{"fdsup://directions/FAT Viewer?action=UPDATE&amp;creator=factset&amp;DYN_ARGS=TRUE&amp;DOC_NAME=FAT:FQL_AUDITING_CLIENT_TEMPLATE.FAT&amp;display_string=Audit&amp;VAR:KEY=CNYFUBYFQP&amp;VAR:QUERY=RkZfREVCVChBTk4sMCk=&amp;WINDOW=FIRST_POPUP&amp;HEIGHT=450&amp;WIDTH=450&amp;START_MAXIMIZED=FALSE&amp;VA","R:CALENDAR=US&amp;VAR:SYMBOL=ZMH&amp;VAR:INDEX=0"}</definedName>
    <definedName name="_10__FDSAUDITLINK__" localSheetId="5" hidden="1">{"fdsup://directions/FAT Viewer?action=UPDATE&amp;creator=factset&amp;DYN_ARGS=TRUE&amp;DOC_NAME=FAT:FQL_AUDITING_CLIENT_TEMPLATE.FAT&amp;display_string=Audit&amp;VAR:KEY=CNYFUBYFQP&amp;VAR:QUERY=RkZfREVCVChBTk4sMCk=&amp;WINDOW=FIRST_POPUP&amp;HEIGHT=450&amp;WIDTH=450&amp;START_MAXIMIZED=FALSE&amp;VA","R:CALENDAR=US&amp;VAR:SYMBOL=ZMH&amp;VAR:INDEX=0"}</definedName>
    <definedName name="_10__FDSAUDITLINK__" hidden="1">{"fdsup://directions/FAT Viewer?action=UPDATE&amp;creator=factset&amp;DYN_ARGS=TRUE&amp;DOC_NAME=FAT:FQL_AUDITING_CLIENT_TEMPLATE.FAT&amp;display_string=Audit&amp;VAR:KEY=CNYFUBYFQP&amp;VAR:QUERY=RkZfREVCVChBTk4sMCk=&amp;WINDOW=FIRST_POPUP&amp;HEIGHT=450&amp;WIDTH=450&amp;START_MAXIMIZED=FALSE&amp;VA","R:CALENDAR=US&amp;VAR:SYMBOL=ZMH&amp;VAR:INDEX=0"}</definedName>
    <definedName name="_10__FDSAUDITLINK___1" hidden="1">{"fdsup://directions/FAT Viewer?action=UPDATE&amp;creator=factset&amp;DYN_ARGS=TRUE&amp;DOC_NAME=FAT:FQL_AUDITING_CLIENT_TEMPLATE.FAT&amp;display_string=Audit&amp;VAR:KEY=CNYFUBYFQP&amp;VAR:QUERY=RkZfREVCVChBTk4sMCk=&amp;WINDOW=FIRST_POPUP&amp;HEIGHT=450&amp;WIDTH=450&amp;START_MAXIMIZED=FALSE&amp;VA","R:CALENDAR=US&amp;VAR:SYMBOL=ZMH&amp;VAR:INDEX=0"}</definedName>
    <definedName name="_10__FDSAUDITLINK___2" hidden="1">{"fdsup://directions/FAT Viewer?action=UPDATE&amp;creator=factset&amp;DYN_ARGS=TRUE&amp;DOC_NAME=FAT:FQL_AUDITING_CLIENT_TEMPLATE.FAT&amp;display_string=Audit&amp;VAR:KEY=CNYFUBYFQP&amp;VAR:QUERY=RkZfREVCVChBTk4sMCk=&amp;WINDOW=FIRST_POPUP&amp;HEIGHT=450&amp;WIDTH=450&amp;START_MAXIMIZED=FALSE&amp;VA","R:CALENDAR=US&amp;VAR:SYMBOL=ZMH&amp;VAR:INDEX=0"}</definedName>
    <definedName name="_100__FDSAUDITLINK__" localSheetId="7" hidden="1">{"fdsup://directions/FAT Viewer?action=UPDATE&amp;creator=factset&amp;DYN_ARGS=TRUE&amp;DOC_NAME=FAT:FQL_AUDITING_CLIENT_TEMPLATE.FAT&amp;display_string=Audit&amp;VAR:KEY=CBWBYDQBYR&amp;VAR:QUERY=RkZfRU5UUlBSX1ZBTF9EQUlMWShOT1csLCwsLCdESUwnKQ==&amp;WINDOW=FIRST_POPUP&amp;HEIGHT=450&amp;WIDTH=","450&amp;START_MAXIMIZED=FALSE&amp;VAR:CALENDAR=FIVEDAY&amp;VAR:SYMBOL=LCRY&amp;VAR:INDEX=0"}</definedName>
    <definedName name="_100__FDSAUDITLINK__" localSheetId="5" hidden="1">{"fdsup://directions/FAT Viewer?action=UPDATE&amp;creator=factset&amp;DYN_ARGS=TRUE&amp;DOC_NAME=FAT:FQL_AUDITING_CLIENT_TEMPLATE.FAT&amp;display_string=Audit&amp;VAR:KEY=CBWBYDQBYR&amp;VAR:QUERY=RkZfRU5UUlBSX1ZBTF9EQUlMWShOT1csLCwsLCdESUwnKQ==&amp;WINDOW=FIRST_POPUP&amp;HEIGHT=450&amp;WIDTH=","450&amp;START_MAXIMIZED=FALSE&amp;VAR:CALENDAR=FIVEDAY&amp;VAR:SYMBOL=LCRY&amp;VAR:INDEX=0"}</definedName>
    <definedName name="_100__FDSAUDITLINK__" hidden="1">{"fdsup://directions/FAT Viewer?action=UPDATE&amp;creator=factset&amp;DYN_ARGS=TRUE&amp;DOC_NAME=FAT:FQL_AUDITING_CLIENT_TEMPLATE.FAT&amp;display_string=Audit&amp;VAR:KEY=CBWBYDQBYR&amp;VAR:QUERY=RkZfRU5UUlBSX1ZBTF9EQUlMWShOT1csLCwsLCdESUwnKQ==&amp;WINDOW=FIRST_POPUP&amp;HEIGHT=450&amp;WIDTH=","450&amp;START_MAXIMIZED=FALSE&amp;VAR:CALENDAR=FIVEDAY&amp;VAR:SYMBOL=LCRY&amp;VAR:INDEX=0"}</definedName>
    <definedName name="_100__FDSAUDITLINK___1" hidden="1">{"fdsup://directions/FAT Viewer?action=UPDATE&amp;creator=factset&amp;DYN_ARGS=TRUE&amp;DOC_NAME=FAT:FQL_AUDITING_CLIENT_TEMPLATE.FAT&amp;display_string=Audit&amp;VAR:KEY=CBWBYDQBYR&amp;VAR:QUERY=RkZfRU5UUlBSX1ZBTF9EQUlMWShOT1csLCwsLCdESUwnKQ==&amp;WINDOW=FIRST_POPUP&amp;HEIGHT=450&amp;WIDTH=","450&amp;START_MAXIMIZED=FALSE&amp;VAR:CALENDAR=FIVEDAY&amp;VAR:SYMBOL=LCRY&amp;VAR:INDEX=0"}</definedName>
    <definedName name="_100__FDSAUDITLINK___2" hidden="1">{"fdsup://directions/FAT Viewer?action=UPDATE&amp;creator=factset&amp;DYN_ARGS=TRUE&amp;DOC_NAME=FAT:FQL_AUDITING_CLIENT_TEMPLATE.FAT&amp;display_string=Audit&amp;VAR:KEY=CBWBYDQBYR&amp;VAR:QUERY=RkZfRU5UUlBSX1ZBTF9EQUlMWShOT1csLCwsLCdESUwnKQ==&amp;WINDOW=FIRST_POPUP&amp;HEIGHT=450&amp;WIDTH=","450&amp;START_MAXIMIZED=FALSE&amp;VAR:CALENDAR=FIVEDAY&amp;VAR:SYMBOL=LCRY&amp;VAR:INDEX=0"}</definedName>
    <definedName name="_101__FDSAUDITLINK__" localSheetId="7" hidden="1">{"fdsup://directions/FAT Viewer?action=UPDATE&amp;creator=factset&amp;DYN_ARGS=TRUE&amp;DOC_NAME=FAT:FQL_AUDITING_CLIENT_TEMPLATE.FAT&amp;display_string=Audit&amp;VAR:KEY=ODUDADIPCV&amp;VAR:QUERY=RkZfRU5UUlBSX1ZBTF9EQUlMWShOT1csLCwsLCdESUwnKQ==&amp;WINDOW=FIRST_POPUP&amp;HEIGHT=450&amp;WIDTH=","450&amp;START_MAXIMIZED=FALSE&amp;VAR:CALENDAR=FIVEDAY&amp;VAR:SYMBOL=TER&amp;VAR:INDEX=0"}</definedName>
    <definedName name="_101__FDSAUDITLINK__" localSheetId="5" hidden="1">{"fdsup://directions/FAT Viewer?action=UPDATE&amp;creator=factset&amp;DYN_ARGS=TRUE&amp;DOC_NAME=FAT:FQL_AUDITING_CLIENT_TEMPLATE.FAT&amp;display_string=Audit&amp;VAR:KEY=ODUDADIPCV&amp;VAR:QUERY=RkZfRU5UUlBSX1ZBTF9EQUlMWShOT1csLCwsLCdESUwnKQ==&amp;WINDOW=FIRST_POPUP&amp;HEIGHT=450&amp;WIDTH=","450&amp;START_MAXIMIZED=FALSE&amp;VAR:CALENDAR=FIVEDAY&amp;VAR:SYMBOL=TER&amp;VAR:INDEX=0"}</definedName>
    <definedName name="_101__FDSAUDITLINK__" hidden="1">{"fdsup://directions/FAT Viewer?action=UPDATE&amp;creator=factset&amp;DYN_ARGS=TRUE&amp;DOC_NAME=FAT:FQL_AUDITING_CLIENT_TEMPLATE.FAT&amp;display_string=Audit&amp;VAR:KEY=ODUDADIPCV&amp;VAR:QUERY=RkZfRU5UUlBSX1ZBTF9EQUlMWShOT1csLCwsLCdESUwnKQ==&amp;WINDOW=FIRST_POPUP&amp;HEIGHT=450&amp;WIDTH=","450&amp;START_MAXIMIZED=FALSE&amp;VAR:CALENDAR=FIVEDAY&amp;VAR:SYMBOL=TER&amp;VAR:INDEX=0"}</definedName>
    <definedName name="_101__FDSAUDITLINK___1" hidden="1">{"fdsup://directions/FAT Viewer?action=UPDATE&amp;creator=factset&amp;DYN_ARGS=TRUE&amp;DOC_NAME=FAT:FQL_AUDITING_CLIENT_TEMPLATE.FAT&amp;display_string=Audit&amp;VAR:KEY=ODUDADIPCV&amp;VAR:QUERY=RkZfRU5UUlBSX1ZBTF9EQUlMWShOT1csLCwsLCdESUwnKQ==&amp;WINDOW=FIRST_POPUP&amp;HEIGHT=450&amp;WIDTH=","450&amp;START_MAXIMIZED=FALSE&amp;VAR:CALENDAR=FIVEDAY&amp;VAR:SYMBOL=TER&amp;VAR:INDEX=0"}</definedName>
    <definedName name="_101__FDSAUDITLINK___2" hidden="1">{"fdsup://directions/FAT Viewer?action=UPDATE&amp;creator=factset&amp;DYN_ARGS=TRUE&amp;DOC_NAME=FAT:FQL_AUDITING_CLIENT_TEMPLATE.FAT&amp;display_string=Audit&amp;VAR:KEY=ODUDADIPCV&amp;VAR:QUERY=RkZfRU5UUlBSX1ZBTF9EQUlMWShOT1csLCwsLCdESUwnKQ==&amp;WINDOW=FIRST_POPUP&amp;HEIGHT=450&amp;WIDTH=","450&amp;START_MAXIMIZED=FALSE&amp;VAR:CALENDAR=FIVEDAY&amp;VAR:SYMBOL=TER&amp;VAR:INDEX=0"}</definedName>
    <definedName name="_102__FDSAUDITLINK__" localSheetId="7" hidden="1">{"fdsup://directions/FAT Viewer?action=UPDATE&amp;creator=factset&amp;DYN_ARGS=TRUE&amp;DOC_NAME=FAT:FQL_AUDITING_CLIENT_TEMPLATE.FAT&amp;display_string=Audit&amp;VAR:KEY=YHOZMZUDYT&amp;VAR:QUERY=RkZfRU5UUlBSX1ZBTF9EQUlMWShOT1csLCwsLCdESUwnKQ==&amp;WINDOW=FIRST_POPUP&amp;HEIGHT=450&amp;WIDTH=","450&amp;START_MAXIMIZED=FALSE&amp;VAR:CALENDAR=FIVEDAY&amp;VAR:SYMBOL=NATI&amp;VAR:INDEX=0"}</definedName>
    <definedName name="_102__FDSAUDITLINK__" localSheetId="5" hidden="1">{"fdsup://directions/FAT Viewer?action=UPDATE&amp;creator=factset&amp;DYN_ARGS=TRUE&amp;DOC_NAME=FAT:FQL_AUDITING_CLIENT_TEMPLATE.FAT&amp;display_string=Audit&amp;VAR:KEY=YHOZMZUDYT&amp;VAR:QUERY=RkZfRU5UUlBSX1ZBTF9EQUlMWShOT1csLCwsLCdESUwnKQ==&amp;WINDOW=FIRST_POPUP&amp;HEIGHT=450&amp;WIDTH=","450&amp;START_MAXIMIZED=FALSE&amp;VAR:CALENDAR=FIVEDAY&amp;VAR:SYMBOL=NATI&amp;VAR:INDEX=0"}</definedName>
    <definedName name="_102__FDSAUDITLINK__" hidden="1">{"fdsup://directions/FAT Viewer?action=UPDATE&amp;creator=factset&amp;DYN_ARGS=TRUE&amp;DOC_NAME=FAT:FQL_AUDITING_CLIENT_TEMPLATE.FAT&amp;display_string=Audit&amp;VAR:KEY=YHOZMZUDYT&amp;VAR:QUERY=RkZfRU5UUlBSX1ZBTF9EQUlMWShOT1csLCwsLCdESUwnKQ==&amp;WINDOW=FIRST_POPUP&amp;HEIGHT=450&amp;WIDTH=","450&amp;START_MAXIMIZED=FALSE&amp;VAR:CALENDAR=FIVEDAY&amp;VAR:SYMBOL=NATI&amp;VAR:INDEX=0"}</definedName>
    <definedName name="_102__FDSAUDITLINK___1" hidden="1">{"fdsup://directions/FAT Viewer?action=UPDATE&amp;creator=factset&amp;DYN_ARGS=TRUE&amp;DOC_NAME=FAT:FQL_AUDITING_CLIENT_TEMPLATE.FAT&amp;display_string=Audit&amp;VAR:KEY=YHOZMZUDYT&amp;VAR:QUERY=RkZfRU5UUlBSX1ZBTF9EQUlMWShOT1csLCwsLCdESUwnKQ==&amp;WINDOW=FIRST_POPUP&amp;HEIGHT=450&amp;WIDTH=","450&amp;START_MAXIMIZED=FALSE&amp;VAR:CALENDAR=FIVEDAY&amp;VAR:SYMBOL=NATI&amp;VAR:INDEX=0"}</definedName>
    <definedName name="_102__FDSAUDITLINK___2" hidden="1">{"fdsup://directions/FAT Viewer?action=UPDATE&amp;creator=factset&amp;DYN_ARGS=TRUE&amp;DOC_NAME=FAT:FQL_AUDITING_CLIENT_TEMPLATE.FAT&amp;display_string=Audit&amp;VAR:KEY=YHOZMZUDYT&amp;VAR:QUERY=RkZfRU5UUlBSX1ZBTF9EQUlMWShOT1csLCwsLCdESUwnKQ==&amp;WINDOW=FIRST_POPUP&amp;HEIGHT=450&amp;WIDTH=","450&amp;START_MAXIMIZED=FALSE&amp;VAR:CALENDAR=FIVEDAY&amp;VAR:SYMBOL=NATI&amp;VAR:INDEX=0"}</definedName>
    <definedName name="_103__FDSAUDITLINK__" localSheetId="7" hidden="1">{"fdsup://directions/FAT Viewer?action=UPDATE&amp;creator=factset&amp;DYN_ARGS=TRUE&amp;DOC_NAME=FAT:FQL_AUDITING_CLIENT_TEMPLATE.FAT&amp;display_string=Audit&amp;VAR:KEY=UZOZGRKXKL&amp;VAR:QUERY=RkZfRU5UUlBSX1ZBTF9EQUlMWShOT1csLCwsLCdESUwnKQ==&amp;WINDOW=FIRST_POPUP&amp;HEIGHT=450&amp;WIDTH=","450&amp;START_MAXIMIZED=FALSE&amp;VAR:CALENDAR=FIVEDAY&amp;VAR:SYMBOL=JDSU&amp;VAR:INDEX=0"}</definedName>
    <definedName name="_103__FDSAUDITLINK__" localSheetId="5" hidden="1">{"fdsup://directions/FAT Viewer?action=UPDATE&amp;creator=factset&amp;DYN_ARGS=TRUE&amp;DOC_NAME=FAT:FQL_AUDITING_CLIENT_TEMPLATE.FAT&amp;display_string=Audit&amp;VAR:KEY=UZOZGRKXKL&amp;VAR:QUERY=RkZfRU5UUlBSX1ZBTF9EQUlMWShOT1csLCwsLCdESUwnKQ==&amp;WINDOW=FIRST_POPUP&amp;HEIGHT=450&amp;WIDTH=","450&amp;START_MAXIMIZED=FALSE&amp;VAR:CALENDAR=FIVEDAY&amp;VAR:SYMBOL=JDSU&amp;VAR:INDEX=0"}</definedName>
    <definedName name="_103__FDSAUDITLINK__" hidden="1">{"fdsup://directions/FAT Viewer?action=UPDATE&amp;creator=factset&amp;DYN_ARGS=TRUE&amp;DOC_NAME=FAT:FQL_AUDITING_CLIENT_TEMPLATE.FAT&amp;display_string=Audit&amp;VAR:KEY=UZOZGRKXKL&amp;VAR:QUERY=RkZfRU5UUlBSX1ZBTF9EQUlMWShOT1csLCwsLCdESUwnKQ==&amp;WINDOW=FIRST_POPUP&amp;HEIGHT=450&amp;WIDTH=","450&amp;START_MAXIMIZED=FALSE&amp;VAR:CALENDAR=FIVEDAY&amp;VAR:SYMBOL=JDSU&amp;VAR:INDEX=0"}</definedName>
    <definedName name="_103__FDSAUDITLINK___1" hidden="1">{"fdsup://directions/FAT Viewer?action=UPDATE&amp;creator=factset&amp;DYN_ARGS=TRUE&amp;DOC_NAME=FAT:FQL_AUDITING_CLIENT_TEMPLATE.FAT&amp;display_string=Audit&amp;VAR:KEY=UZOZGRKXKL&amp;VAR:QUERY=RkZfRU5UUlBSX1ZBTF9EQUlMWShOT1csLCwsLCdESUwnKQ==&amp;WINDOW=FIRST_POPUP&amp;HEIGHT=450&amp;WIDTH=","450&amp;START_MAXIMIZED=FALSE&amp;VAR:CALENDAR=FIVEDAY&amp;VAR:SYMBOL=JDSU&amp;VAR:INDEX=0"}</definedName>
    <definedName name="_103__FDSAUDITLINK___2" hidden="1">{"fdsup://directions/FAT Viewer?action=UPDATE&amp;creator=factset&amp;DYN_ARGS=TRUE&amp;DOC_NAME=FAT:FQL_AUDITING_CLIENT_TEMPLATE.FAT&amp;display_string=Audit&amp;VAR:KEY=UZOZGRKXKL&amp;VAR:QUERY=RkZfRU5UUlBSX1ZBTF9EQUlMWShOT1csLCwsLCdESUwnKQ==&amp;WINDOW=FIRST_POPUP&amp;HEIGHT=450&amp;WIDTH=","450&amp;START_MAXIMIZED=FALSE&amp;VAR:CALENDAR=FIVEDAY&amp;VAR:SYMBOL=JDSU&amp;VAR:INDEX=0"}</definedName>
    <definedName name="_104__FDSAUDITLINK__" localSheetId="7" hidden="1">{"fdsup://directions/FAT Viewer?action=UPDATE&amp;creator=factset&amp;DYN_ARGS=TRUE&amp;DOC_NAME=FAT:FQL_AUDITING_CLIENT_TEMPLATE.FAT&amp;display_string=Audit&amp;VAR:KEY=QTSVONSRIP&amp;VAR:QUERY=RkZfRU5UUlBSX1ZBTF9EQUlMWShOT1csLCwsLCdESUwnKQ==&amp;WINDOW=FIRST_POPUP&amp;HEIGHT=450&amp;WIDTH=","450&amp;START_MAXIMIZED=FALSE&amp;VAR:CALENDAR=FIVEDAY&amp;VAR:SYMBOL=DHR&amp;VAR:INDEX=0"}</definedName>
    <definedName name="_104__FDSAUDITLINK__" localSheetId="5" hidden="1">{"fdsup://directions/FAT Viewer?action=UPDATE&amp;creator=factset&amp;DYN_ARGS=TRUE&amp;DOC_NAME=FAT:FQL_AUDITING_CLIENT_TEMPLATE.FAT&amp;display_string=Audit&amp;VAR:KEY=QTSVONSRIP&amp;VAR:QUERY=RkZfRU5UUlBSX1ZBTF9EQUlMWShOT1csLCwsLCdESUwnKQ==&amp;WINDOW=FIRST_POPUP&amp;HEIGHT=450&amp;WIDTH=","450&amp;START_MAXIMIZED=FALSE&amp;VAR:CALENDAR=FIVEDAY&amp;VAR:SYMBOL=DHR&amp;VAR:INDEX=0"}</definedName>
    <definedName name="_104__FDSAUDITLINK__" hidden="1">{"fdsup://directions/FAT Viewer?action=UPDATE&amp;creator=factset&amp;DYN_ARGS=TRUE&amp;DOC_NAME=FAT:FQL_AUDITING_CLIENT_TEMPLATE.FAT&amp;display_string=Audit&amp;VAR:KEY=QTSVONSRIP&amp;VAR:QUERY=RkZfRU5UUlBSX1ZBTF9EQUlMWShOT1csLCwsLCdESUwnKQ==&amp;WINDOW=FIRST_POPUP&amp;HEIGHT=450&amp;WIDTH=","450&amp;START_MAXIMIZED=FALSE&amp;VAR:CALENDAR=FIVEDAY&amp;VAR:SYMBOL=DHR&amp;VAR:INDEX=0"}</definedName>
    <definedName name="_104__FDSAUDITLINK___1" hidden="1">{"fdsup://directions/FAT Viewer?action=UPDATE&amp;creator=factset&amp;DYN_ARGS=TRUE&amp;DOC_NAME=FAT:FQL_AUDITING_CLIENT_TEMPLATE.FAT&amp;display_string=Audit&amp;VAR:KEY=QTSVONSRIP&amp;VAR:QUERY=RkZfRU5UUlBSX1ZBTF9EQUlMWShOT1csLCwsLCdESUwnKQ==&amp;WINDOW=FIRST_POPUP&amp;HEIGHT=450&amp;WIDTH=","450&amp;START_MAXIMIZED=FALSE&amp;VAR:CALENDAR=FIVEDAY&amp;VAR:SYMBOL=DHR&amp;VAR:INDEX=0"}</definedName>
    <definedName name="_104__FDSAUDITLINK___2" hidden="1">{"fdsup://directions/FAT Viewer?action=UPDATE&amp;creator=factset&amp;DYN_ARGS=TRUE&amp;DOC_NAME=FAT:FQL_AUDITING_CLIENT_TEMPLATE.FAT&amp;display_string=Audit&amp;VAR:KEY=QTSVONSRIP&amp;VAR:QUERY=RkZfRU5UUlBSX1ZBTF9EQUlMWShOT1csLCwsLCdESUwnKQ==&amp;WINDOW=FIRST_POPUP&amp;HEIGHT=450&amp;WIDTH=","450&amp;START_MAXIMIZED=FALSE&amp;VAR:CALENDAR=FIVEDAY&amp;VAR:SYMBOL=DHR&amp;VAR:INDEX=0"}</definedName>
    <definedName name="_105__FDSAUDITLINK__" localSheetId="7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05__FDSAUDITLINK__" localSheetId="5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05__FDSAUDITLINK__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05__FDSAUDITLINK___1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05__FDSAUDITLINK___2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06__FDSAUDITLINK__" localSheetId="7" hidden="1">{"fdsup://directions/FAT Viewer?action=UPDATE&amp;creator=factset&amp;DYN_ARGS=TRUE&amp;DOC_NAME=FAT:FQL_AUDITING_CLIENT_TEMPLATE.FAT&amp;display_string=Audit&amp;VAR:KEY=SZKFETWBYZ&amp;VAR:QUERY=RkZfRU5UUlBSX1ZBTF9EQUlMWShOT1csLCwsLCdESUwnKQ==&amp;WINDOW=FIRST_POPUP&amp;HEIGHT=450&amp;WIDTH=","450&amp;START_MAXIMIZED=FALSE&amp;VAR:CALENDAR=FIVEDAY&amp;VAR:SYMBOL=ANSS&amp;VAR:INDEX=0"}</definedName>
    <definedName name="_106__FDSAUDITLINK__" localSheetId="5" hidden="1">{"fdsup://directions/FAT Viewer?action=UPDATE&amp;creator=factset&amp;DYN_ARGS=TRUE&amp;DOC_NAME=FAT:FQL_AUDITING_CLIENT_TEMPLATE.FAT&amp;display_string=Audit&amp;VAR:KEY=SZKFETWBYZ&amp;VAR:QUERY=RkZfRU5UUlBSX1ZBTF9EQUlMWShOT1csLCwsLCdESUwnKQ==&amp;WINDOW=FIRST_POPUP&amp;HEIGHT=450&amp;WIDTH=","450&amp;START_MAXIMIZED=FALSE&amp;VAR:CALENDAR=FIVEDAY&amp;VAR:SYMBOL=ANSS&amp;VAR:INDEX=0"}</definedName>
    <definedName name="_106__FDSAUDITLINK__" hidden="1">{"fdsup://directions/FAT Viewer?action=UPDATE&amp;creator=factset&amp;DYN_ARGS=TRUE&amp;DOC_NAME=FAT:FQL_AUDITING_CLIENT_TEMPLATE.FAT&amp;display_string=Audit&amp;VAR:KEY=SZKFETWBYZ&amp;VAR:QUERY=RkZfRU5UUlBSX1ZBTF9EQUlMWShOT1csLCwsLCdESUwnKQ==&amp;WINDOW=FIRST_POPUP&amp;HEIGHT=450&amp;WIDTH=","450&amp;START_MAXIMIZED=FALSE&amp;VAR:CALENDAR=FIVEDAY&amp;VAR:SYMBOL=ANSS&amp;VAR:INDEX=0"}</definedName>
    <definedName name="_106__FDSAUDITLINK___1" hidden="1">{"fdsup://directions/FAT Viewer?action=UPDATE&amp;creator=factset&amp;DYN_ARGS=TRUE&amp;DOC_NAME=FAT:FQL_AUDITING_CLIENT_TEMPLATE.FAT&amp;display_string=Audit&amp;VAR:KEY=SZKFETWBYZ&amp;VAR:QUERY=RkZfRU5UUlBSX1ZBTF9EQUlMWShOT1csLCwsLCdESUwnKQ==&amp;WINDOW=FIRST_POPUP&amp;HEIGHT=450&amp;WIDTH=","450&amp;START_MAXIMIZED=FALSE&amp;VAR:CALENDAR=FIVEDAY&amp;VAR:SYMBOL=ANSS&amp;VAR:INDEX=0"}</definedName>
    <definedName name="_106__FDSAUDITLINK___2" hidden="1">{"fdsup://directions/FAT Viewer?action=UPDATE&amp;creator=factset&amp;DYN_ARGS=TRUE&amp;DOC_NAME=FAT:FQL_AUDITING_CLIENT_TEMPLATE.FAT&amp;display_string=Audit&amp;VAR:KEY=SZKFETWBYZ&amp;VAR:QUERY=RkZfRU5UUlBSX1ZBTF9EQUlMWShOT1csLCwsLCdESUwnKQ==&amp;WINDOW=FIRST_POPUP&amp;HEIGHT=450&amp;WIDTH=","450&amp;START_MAXIMIZED=FALSE&amp;VAR:CALENDAR=FIVEDAY&amp;VAR:SYMBOL=ANSS&amp;VAR:INDEX=0"}</definedName>
    <definedName name="_107__FDSAUDITLINK__" localSheetId="7" hidden="1">{"fdsup://directions/FAT Viewer?action=UPDATE&amp;creator=factset&amp;DYN_ARGS=TRUE&amp;DOC_NAME=FAT:FQL_AUDITING_CLIENT_TEMPLATE.FAT&amp;display_string=Audit&amp;VAR:KEY=ALUTYBGPKX&amp;VAR:QUERY=RkZfRU5UUlBSX1ZBTF9EQUlMWShOT1csLCwsLCdESUwnKQ==&amp;WINDOW=FIRST_POPUP&amp;HEIGHT=450&amp;WIDTH=","450&amp;START_MAXIMIZED=FALSE&amp;VAR:CALENDAR=FIVEDAY&amp;VAR:SYMBOL=ARX&amp;VAR:INDEX=0"}</definedName>
    <definedName name="_107__FDSAUDITLINK__" localSheetId="5" hidden="1">{"fdsup://directions/FAT Viewer?action=UPDATE&amp;creator=factset&amp;DYN_ARGS=TRUE&amp;DOC_NAME=FAT:FQL_AUDITING_CLIENT_TEMPLATE.FAT&amp;display_string=Audit&amp;VAR:KEY=ALUTYBGPKX&amp;VAR:QUERY=RkZfRU5UUlBSX1ZBTF9EQUlMWShOT1csLCwsLCdESUwnKQ==&amp;WINDOW=FIRST_POPUP&amp;HEIGHT=450&amp;WIDTH=","450&amp;START_MAXIMIZED=FALSE&amp;VAR:CALENDAR=FIVEDAY&amp;VAR:SYMBOL=ARX&amp;VAR:INDEX=0"}</definedName>
    <definedName name="_107__FDSAUDITLINK__" hidden="1">{"fdsup://directions/FAT Viewer?action=UPDATE&amp;creator=factset&amp;DYN_ARGS=TRUE&amp;DOC_NAME=FAT:FQL_AUDITING_CLIENT_TEMPLATE.FAT&amp;display_string=Audit&amp;VAR:KEY=ALUTYBGPKX&amp;VAR:QUERY=RkZfRU5UUlBSX1ZBTF9EQUlMWShOT1csLCwsLCdESUwnKQ==&amp;WINDOW=FIRST_POPUP&amp;HEIGHT=450&amp;WIDTH=","450&amp;START_MAXIMIZED=FALSE&amp;VAR:CALENDAR=FIVEDAY&amp;VAR:SYMBOL=ARX&amp;VAR:INDEX=0"}</definedName>
    <definedName name="_107__FDSAUDITLINK___1" hidden="1">{"fdsup://directions/FAT Viewer?action=UPDATE&amp;creator=factset&amp;DYN_ARGS=TRUE&amp;DOC_NAME=FAT:FQL_AUDITING_CLIENT_TEMPLATE.FAT&amp;display_string=Audit&amp;VAR:KEY=ALUTYBGPKX&amp;VAR:QUERY=RkZfRU5UUlBSX1ZBTF9EQUlMWShOT1csLCwsLCdESUwnKQ==&amp;WINDOW=FIRST_POPUP&amp;HEIGHT=450&amp;WIDTH=","450&amp;START_MAXIMIZED=FALSE&amp;VAR:CALENDAR=FIVEDAY&amp;VAR:SYMBOL=ARX&amp;VAR:INDEX=0"}</definedName>
    <definedName name="_107__FDSAUDITLINK___2" hidden="1">{"fdsup://directions/FAT Viewer?action=UPDATE&amp;creator=factset&amp;DYN_ARGS=TRUE&amp;DOC_NAME=FAT:FQL_AUDITING_CLIENT_TEMPLATE.FAT&amp;display_string=Audit&amp;VAR:KEY=ALUTYBGPKX&amp;VAR:QUERY=RkZfRU5UUlBSX1ZBTF9EQUlMWShOT1csLCwsLCdESUwnKQ==&amp;WINDOW=FIRST_POPUP&amp;HEIGHT=450&amp;WIDTH=","450&amp;START_MAXIMIZED=FALSE&amp;VAR:CALENDAR=FIVEDAY&amp;VAR:SYMBOL=ARX&amp;VAR:INDEX=0"}</definedName>
    <definedName name="_108__FDSAUDITLINK__" localSheetId="7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108__FDSAUDITLINK__" localSheetId="5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108__FDSAUDITLINK__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108__FDSAUDITLINK___1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108__FDSAUDITLINK___2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109__FDSAUDITLINK__" localSheetId="7" hidden="1">{"fdsup://directions/FAT Viewer?action=UPDATE&amp;creator=factset&amp;DYN_ARGS=TRUE&amp;DOC_NAME=FAT:FQL_AUDITING_CLIENT_TEMPLATE.FAT&amp;display_string=Audit&amp;VAR:KEY=MZIRGRQDQT&amp;VAR:QUERY=RkZfRU5UUlBSX1ZBTF9EQUlMWShOT1csLCwsLCdESUwnKQ==&amp;WINDOW=FIRST_POPUP&amp;HEIGHT=450&amp;WIDTH=","450&amp;START_MAXIMIZED=FALSE&amp;VAR:CALENDAR=FIVEDAY&amp;VAR:SYMBOL=PACB&amp;VAR:INDEX=0"}</definedName>
    <definedName name="_109__FDSAUDITLINK__" localSheetId="5" hidden="1">{"fdsup://directions/FAT Viewer?action=UPDATE&amp;creator=factset&amp;DYN_ARGS=TRUE&amp;DOC_NAME=FAT:FQL_AUDITING_CLIENT_TEMPLATE.FAT&amp;display_string=Audit&amp;VAR:KEY=MZIRGRQDQT&amp;VAR:QUERY=RkZfRU5UUlBSX1ZBTF9EQUlMWShOT1csLCwsLCdESUwnKQ==&amp;WINDOW=FIRST_POPUP&amp;HEIGHT=450&amp;WIDTH=","450&amp;START_MAXIMIZED=FALSE&amp;VAR:CALENDAR=FIVEDAY&amp;VAR:SYMBOL=PACB&amp;VAR:INDEX=0"}</definedName>
    <definedName name="_109__FDSAUDITLINK__" hidden="1">{"fdsup://directions/FAT Viewer?action=UPDATE&amp;creator=factset&amp;DYN_ARGS=TRUE&amp;DOC_NAME=FAT:FQL_AUDITING_CLIENT_TEMPLATE.FAT&amp;display_string=Audit&amp;VAR:KEY=MZIRGRQDQT&amp;VAR:QUERY=RkZfRU5UUlBSX1ZBTF9EQUlMWShOT1csLCwsLCdESUwnKQ==&amp;WINDOW=FIRST_POPUP&amp;HEIGHT=450&amp;WIDTH=","450&amp;START_MAXIMIZED=FALSE&amp;VAR:CALENDAR=FIVEDAY&amp;VAR:SYMBOL=PACB&amp;VAR:INDEX=0"}</definedName>
    <definedName name="_109__FDSAUDITLINK___1" hidden="1">{"fdsup://directions/FAT Viewer?action=UPDATE&amp;creator=factset&amp;DYN_ARGS=TRUE&amp;DOC_NAME=FAT:FQL_AUDITING_CLIENT_TEMPLATE.FAT&amp;display_string=Audit&amp;VAR:KEY=MZIRGRQDQT&amp;VAR:QUERY=RkZfRU5UUlBSX1ZBTF9EQUlMWShOT1csLCwsLCdESUwnKQ==&amp;WINDOW=FIRST_POPUP&amp;HEIGHT=450&amp;WIDTH=","450&amp;START_MAXIMIZED=FALSE&amp;VAR:CALENDAR=FIVEDAY&amp;VAR:SYMBOL=PACB&amp;VAR:INDEX=0"}</definedName>
    <definedName name="_109__FDSAUDITLINK___2" hidden="1">{"fdsup://directions/FAT Viewer?action=UPDATE&amp;creator=factset&amp;DYN_ARGS=TRUE&amp;DOC_NAME=FAT:FQL_AUDITING_CLIENT_TEMPLATE.FAT&amp;display_string=Audit&amp;VAR:KEY=MZIRGRQDQT&amp;VAR:QUERY=RkZfRU5UUlBSX1ZBTF9EQUlMWShOT1csLCwsLCdESUwnKQ==&amp;WINDOW=FIRST_POPUP&amp;HEIGHT=450&amp;WIDTH=","450&amp;START_MAXIMIZED=FALSE&amp;VAR:CALENDAR=FIVEDAY&amp;VAR:SYMBOL=PACB&amp;VAR:INDEX=0"}</definedName>
    <definedName name="_11__FDSAUDITLINK__" localSheetId="7" hidden="1">{"fdsup://directions/FAT Viewer?action=UPDATE&amp;creator=factset&amp;DYN_ARGS=TRUE&amp;DOC_NAME=FAT:FQL_AUDITING_CLIENT_TEMPLATE.FAT&amp;display_string=Audit&amp;VAR:KEY=CNIVYLQDOT&amp;VAR:QUERY=RkZfU0hMRFJTX0VRKEFOTiwwKQ==&amp;WINDOW=FIRST_POPUP&amp;HEIGHT=450&amp;WIDTH=450&amp;START_MAXIMIZED=","FALSE&amp;VAR:CALENDAR=US&amp;VAR:SYMBOL=ZMH&amp;VAR:INDEX=0"}</definedName>
    <definedName name="_11__FDSAUDITLINK__" localSheetId="5" hidden="1">{"fdsup://directions/FAT Viewer?action=UPDATE&amp;creator=factset&amp;DYN_ARGS=TRUE&amp;DOC_NAME=FAT:FQL_AUDITING_CLIENT_TEMPLATE.FAT&amp;display_string=Audit&amp;VAR:KEY=CNIVYLQDOT&amp;VAR:QUERY=RkZfU0hMRFJTX0VRKEFOTiwwKQ==&amp;WINDOW=FIRST_POPUP&amp;HEIGHT=450&amp;WIDTH=450&amp;START_MAXIMIZED=","FALSE&amp;VAR:CALENDAR=US&amp;VAR:SYMBOL=ZMH&amp;VAR:INDEX=0"}</definedName>
    <definedName name="_11__FDSAUDITLINK__" hidden="1">{"fdsup://directions/FAT Viewer?action=UPDATE&amp;creator=factset&amp;DYN_ARGS=TRUE&amp;DOC_NAME=FAT:FQL_AUDITING_CLIENT_TEMPLATE.FAT&amp;display_string=Audit&amp;VAR:KEY=CNIVYLQDOT&amp;VAR:QUERY=RkZfU0hMRFJTX0VRKEFOTiwwKQ==&amp;WINDOW=FIRST_POPUP&amp;HEIGHT=450&amp;WIDTH=450&amp;START_MAXIMIZED=","FALSE&amp;VAR:CALENDAR=US&amp;VAR:SYMBOL=ZMH&amp;VAR:INDEX=0"}</definedName>
    <definedName name="_11__FDSAUDITLINK___1" hidden="1">{"fdsup://directions/FAT Viewer?action=UPDATE&amp;creator=factset&amp;DYN_ARGS=TRUE&amp;DOC_NAME=FAT:FQL_AUDITING_CLIENT_TEMPLATE.FAT&amp;display_string=Audit&amp;VAR:KEY=CNIVYLQDOT&amp;VAR:QUERY=RkZfU0hMRFJTX0VRKEFOTiwwKQ==&amp;WINDOW=FIRST_POPUP&amp;HEIGHT=450&amp;WIDTH=450&amp;START_MAXIMIZED=","FALSE&amp;VAR:CALENDAR=US&amp;VAR:SYMBOL=ZMH&amp;VAR:INDEX=0"}</definedName>
    <definedName name="_11__FDSAUDITLINK___2" hidden="1">{"fdsup://directions/FAT Viewer?action=UPDATE&amp;creator=factset&amp;DYN_ARGS=TRUE&amp;DOC_NAME=FAT:FQL_AUDITING_CLIENT_TEMPLATE.FAT&amp;display_string=Audit&amp;VAR:KEY=CNIVYLQDOT&amp;VAR:QUERY=RkZfU0hMRFJTX0VRKEFOTiwwKQ==&amp;WINDOW=FIRST_POPUP&amp;HEIGHT=450&amp;WIDTH=450&amp;START_MAXIMIZED=","FALSE&amp;VAR:CALENDAR=US&amp;VAR:SYMBOL=ZMH&amp;VAR:INDEX=0"}</definedName>
    <definedName name="_110__FDSAUDITLINK__" localSheetId="7" hidden="1">{"fdsup://directions/FAT Viewer?action=UPDATE&amp;creator=factset&amp;DYN_ARGS=TRUE&amp;DOC_NAME=FAT:FQL_AUDITING_CLIENT_TEMPLATE.FAT&amp;display_string=Audit&amp;VAR:KEY=EZCLCRSDAP&amp;VAR:QUERY=RkZfRU5UUlBSX1ZBTF9EQUlMWShOT1csLCwsLCdESUwnKQ==&amp;WINDOW=FIRST_POPUP&amp;HEIGHT=450&amp;WIDTH=","450&amp;START_MAXIMIZED=FALSE&amp;VAR:CALENDAR=FIVEDAY&amp;VAR:SYMBOL=AFFX&amp;VAR:INDEX=0"}</definedName>
    <definedName name="_110__FDSAUDITLINK__" localSheetId="5" hidden="1">{"fdsup://directions/FAT Viewer?action=UPDATE&amp;creator=factset&amp;DYN_ARGS=TRUE&amp;DOC_NAME=FAT:FQL_AUDITING_CLIENT_TEMPLATE.FAT&amp;display_string=Audit&amp;VAR:KEY=EZCLCRSDAP&amp;VAR:QUERY=RkZfRU5UUlBSX1ZBTF9EQUlMWShOT1csLCwsLCdESUwnKQ==&amp;WINDOW=FIRST_POPUP&amp;HEIGHT=450&amp;WIDTH=","450&amp;START_MAXIMIZED=FALSE&amp;VAR:CALENDAR=FIVEDAY&amp;VAR:SYMBOL=AFFX&amp;VAR:INDEX=0"}</definedName>
    <definedName name="_110__FDSAUDITLINK__" hidden="1">{"fdsup://directions/FAT Viewer?action=UPDATE&amp;creator=factset&amp;DYN_ARGS=TRUE&amp;DOC_NAME=FAT:FQL_AUDITING_CLIENT_TEMPLATE.FAT&amp;display_string=Audit&amp;VAR:KEY=EZCLCRSDAP&amp;VAR:QUERY=RkZfRU5UUlBSX1ZBTF9EQUlMWShOT1csLCwsLCdESUwnKQ==&amp;WINDOW=FIRST_POPUP&amp;HEIGHT=450&amp;WIDTH=","450&amp;START_MAXIMIZED=FALSE&amp;VAR:CALENDAR=FIVEDAY&amp;VAR:SYMBOL=AFFX&amp;VAR:INDEX=0"}</definedName>
    <definedName name="_110__FDSAUDITLINK___1" hidden="1">{"fdsup://directions/FAT Viewer?action=UPDATE&amp;creator=factset&amp;DYN_ARGS=TRUE&amp;DOC_NAME=FAT:FQL_AUDITING_CLIENT_TEMPLATE.FAT&amp;display_string=Audit&amp;VAR:KEY=EZCLCRSDAP&amp;VAR:QUERY=RkZfRU5UUlBSX1ZBTF9EQUlMWShOT1csLCwsLCdESUwnKQ==&amp;WINDOW=FIRST_POPUP&amp;HEIGHT=450&amp;WIDTH=","450&amp;START_MAXIMIZED=FALSE&amp;VAR:CALENDAR=FIVEDAY&amp;VAR:SYMBOL=AFFX&amp;VAR:INDEX=0"}</definedName>
    <definedName name="_110__FDSAUDITLINK___2" hidden="1">{"fdsup://directions/FAT Viewer?action=UPDATE&amp;creator=factset&amp;DYN_ARGS=TRUE&amp;DOC_NAME=FAT:FQL_AUDITING_CLIENT_TEMPLATE.FAT&amp;display_string=Audit&amp;VAR:KEY=EZCLCRSDAP&amp;VAR:QUERY=RkZfRU5UUlBSX1ZBTF9EQUlMWShOT1csLCwsLCdESUwnKQ==&amp;WINDOW=FIRST_POPUP&amp;HEIGHT=450&amp;WIDTH=","450&amp;START_MAXIMIZED=FALSE&amp;VAR:CALENDAR=FIVEDAY&amp;VAR:SYMBOL=AFFX&amp;VAR:INDEX=0"}</definedName>
    <definedName name="_111__FDSAUDITLINK__" localSheetId="7" hidden="1">{"fdsup://directions/FAT Viewer?action=UPDATE&amp;creator=factset&amp;DYN_ARGS=TRUE&amp;DOC_NAME=FAT:FQL_AUDITING_CLIENT_TEMPLATE.FAT&amp;display_string=Audit&amp;VAR:KEY=OLOPGHWHAP&amp;VAR:QUERY=RkZfRU5UUlBSX1ZBTF9EQUlMWShOT1csLCwsLCdESUwnKQ==&amp;WINDOW=FIRST_POPUP&amp;HEIGHT=450&amp;WIDTH=","450&amp;START_MAXIMIZED=FALSE&amp;VAR:CALENDAR=FIVEDAY&amp;VAR:SYMBOL=BDX&amp;VAR:INDEX=0"}</definedName>
    <definedName name="_111__FDSAUDITLINK__" localSheetId="5" hidden="1">{"fdsup://directions/FAT Viewer?action=UPDATE&amp;creator=factset&amp;DYN_ARGS=TRUE&amp;DOC_NAME=FAT:FQL_AUDITING_CLIENT_TEMPLATE.FAT&amp;display_string=Audit&amp;VAR:KEY=OLOPGHWHAP&amp;VAR:QUERY=RkZfRU5UUlBSX1ZBTF9EQUlMWShOT1csLCwsLCdESUwnKQ==&amp;WINDOW=FIRST_POPUP&amp;HEIGHT=450&amp;WIDTH=","450&amp;START_MAXIMIZED=FALSE&amp;VAR:CALENDAR=FIVEDAY&amp;VAR:SYMBOL=BDX&amp;VAR:INDEX=0"}</definedName>
    <definedName name="_111__FDSAUDITLINK__" hidden="1">{"fdsup://directions/FAT Viewer?action=UPDATE&amp;creator=factset&amp;DYN_ARGS=TRUE&amp;DOC_NAME=FAT:FQL_AUDITING_CLIENT_TEMPLATE.FAT&amp;display_string=Audit&amp;VAR:KEY=OLOPGHWHAP&amp;VAR:QUERY=RkZfRU5UUlBSX1ZBTF9EQUlMWShOT1csLCwsLCdESUwnKQ==&amp;WINDOW=FIRST_POPUP&amp;HEIGHT=450&amp;WIDTH=","450&amp;START_MAXIMIZED=FALSE&amp;VAR:CALENDAR=FIVEDAY&amp;VAR:SYMBOL=BDX&amp;VAR:INDEX=0"}</definedName>
    <definedName name="_111__FDSAUDITLINK___1" hidden="1">{"fdsup://directions/FAT Viewer?action=UPDATE&amp;creator=factset&amp;DYN_ARGS=TRUE&amp;DOC_NAME=FAT:FQL_AUDITING_CLIENT_TEMPLATE.FAT&amp;display_string=Audit&amp;VAR:KEY=OLOPGHWHAP&amp;VAR:QUERY=RkZfRU5UUlBSX1ZBTF9EQUlMWShOT1csLCwsLCdESUwnKQ==&amp;WINDOW=FIRST_POPUP&amp;HEIGHT=450&amp;WIDTH=","450&amp;START_MAXIMIZED=FALSE&amp;VAR:CALENDAR=FIVEDAY&amp;VAR:SYMBOL=BDX&amp;VAR:INDEX=0"}</definedName>
    <definedName name="_111__FDSAUDITLINK___2" hidden="1">{"fdsup://directions/FAT Viewer?action=UPDATE&amp;creator=factset&amp;DYN_ARGS=TRUE&amp;DOC_NAME=FAT:FQL_AUDITING_CLIENT_TEMPLATE.FAT&amp;display_string=Audit&amp;VAR:KEY=OLOPGHWHAP&amp;VAR:QUERY=RkZfRU5UUlBSX1ZBTF9EQUlMWShOT1csLCwsLCdESUwnKQ==&amp;WINDOW=FIRST_POPUP&amp;HEIGHT=450&amp;WIDTH=","450&amp;START_MAXIMIZED=FALSE&amp;VAR:CALENDAR=FIVEDAY&amp;VAR:SYMBOL=BDX&amp;VAR:INDEX=0"}</definedName>
    <definedName name="_112__FDSAUDITLINK__" localSheetId="7" hidden="1">{"fdsup://directions/FAT Viewer?action=UPDATE&amp;creator=factset&amp;DYN_ARGS=TRUE&amp;DOC_NAME=FAT:FQL_AUDITING_CLIENT_TEMPLATE.FAT&amp;display_string=Audit&amp;VAR:KEY=ONQHQDUZKF&amp;VAR:QUERY=RkZfRU5UUlBSX1ZBTF9EQUlMWShOT1csLCwsLCdESUwnKQ==&amp;WINDOW=FIRST_POPUP&amp;HEIGHT=450&amp;WIDTH=","450&amp;START_MAXIMIZED=FALSE&amp;VAR:CALENDAR=FIVEDAY&amp;VAR:SYMBOL=BEC&amp;VAR:INDEX=0"}</definedName>
    <definedName name="_112__FDSAUDITLINK__" localSheetId="5" hidden="1">{"fdsup://directions/FAT Viewer?action=UPDATE&amp;creator=factset&amp;DYN_ARGS=TRUE&amp;DOC_NAME=FAT:FQL_AUDITING_CLIENT_TEMPLATE.FAT&amp;display_string=Audit&amp;VAR:KEY=ONQHQDUZKF&amp;VAR:QUERY=RkZfRU5UUlBSX1ZBTF9EQUlMWShOT1csLCwsLCdESUwnKQ==&amp;WINDOW=FIRST_POPUP&amp;HEIGHT=450&amp;WIDTH=","450&amp;START_MAXIMIZED=FALSE&amp;VAR:CALENDAR=FIVEDAY&amp;VAR:SYMBOL=BEC&amp;VAR:INDEX=0"}</definedName>
    <definedName name="_112__FDSAUDITLINK__" hidden="1">{"fdsup://directions/FAT Viewer?action=UPDATE&amp;creator=factset&amp;DYN_ARGS=TRUE&amp;DOC_NAME=FAT:FQL_AUDITING_CLIENT_TEMPLATE.FAT&amp;display_string=Audit&amp;VAR:KEY=ONQHQDUZKF&amp;VAR:QUERY=RkZfRU5UUlBSX1ZBTF9EQUlMWShOT1csLCwsLCdESUwnKQ==&amp;WINDOW=FIRST_POPUP&amp;HEIGHT=450&amp;WIDTH=","450&amp;START_MAXIMIZED=FALSE&amp;VAR:CALENDAR=FIVEDAY&amp;VAR:SYMBOL=BEC&amp;VAR:INDEX=0"}</definedName>
    <definedName name="_112__FDSAUDITLINK___1" hidden="1">{"fdsup://directions/FAT Viewer?action=UPDATE&amp;creator=factset&amp;DYN_ARGS=TRUE&amp;DOC_NAME=FAT:FQL_AUDITING_CLIENT_TEMPLATE.FAT&amp;display_string=Audit&amp;VAR:KEY=ONQHQDUZKF&amp;VAR:QUERY=RkZfRU5UUlBSX1ZBTF9EQUlMWShOT1csLCwsLCdESUwnKQ==&amp;WINDOW=FIRST_POPUP&amp;HEIGHT=450&amp;WIDTH=","450&amp;START_MAXIMIZED=FALSE&amp;VAR:CALENDAR=FIVEDAY&amp;VAR:SYMBOL=BEC&amp;VAR:INDEX=0"}</definedName>
    <definedName name="_112__FDSAUDITLINK___2" hidden="1">{"fdsup://directions/FAT Viewer?action=UPDATE&amp;creator=factset&amp;DYN_ARGS=TRUE&amp;DOC_NAME=FAT:FQL_AUDITING_CLIENT_TEMPLATE.FAT&amp;display_string=Audit&amp;VAR:KEY=ONQHQDUZKF&amp;VAR:QUERY=RkZfRU5UUlBSX1ZBTF9EQUlMWShOT1csLCwsLCdESUwnKQ==&amp;WINDOW=FIRST_POPUP&amp;HEIGHT=450&amp;WIDTH=","450&amp;START_MAXIMIZED=FALSE&amp;VAR:CALENDAR=FIVEDAY&amp;VAR:SYMBOL=BEC&amp;VAR:INDEX=0"}</definedName>
    <definedName name="_113__FDSAUDITLINK__" localSheetId="7" hidden="1">{"fdsup://directions/FAT Viewer?action=UPDATE&amp;creator=factset&amp;DYN_ARGS=TRUE&amp;DOC_NAME=FAT:FQL_AUDITING_CLIENT_TEMPLATE.FAT&amp;display_string=Audit&amp;VAR:KEY=GPYRITKBWH&amp;VAR:QUERY=RkZfRU5UUlBSX1ZBTF9EQUlMWShOT1csLCwsLCdESUwnKQ==&amp;WINDOW=FIRST_POPUP&amp;HEIGHT=450&amp;WIDTH=","450&amp;START_MAXIMIZED=FALSE&amp;VAR:CALENDAR=FIVEDAY&amp;VAR:SYMBOL=GPRO&amp;VAR:INDEX=0"}</definedName>
    <definedName name="_113__FDSAUDITLINK__" localSheetId="5" hidden="1">{"fdsup://directions/FAT Viewer?action=UPDATE&amp;creator=factset&amp;DYN_ARGS=TRUE&amp;DOC_NAME=FAT:FQL_AUDITING_CLIENT_TEMPLATE.FAT&amp;display_string=Audit&amp;VAR:KEY=GPYRITKBWH&amp;VAR:QUERY=RkZfRU5UUlBSX1ZBTF9EQUlMWShOT1csLCwsLCdESUwnKQ==&amp;WINDOW=FIRST_POPUP&amp;HEIGHT=450&amp;WIDTH=","450&amp;START_MAXIMIZED=FALSE&amp;VAR:CALENDAR=FIVEDAY&amp;VAR:SYMBOL=GPRO&amp;VAR:INDEX=0"}</definedName>
    <definedName name="_113__FDSAUDITLINK__" hidden="1">{"fdsup://directions/FAT Viewer?action=UPDATE&amp;creator=factset&amp;DYN_ARGS=TRUE&amp;DOC_NAME=FAT:FQL_AUDITING_CLIENT_TEMPLATE.FAT&amp;display_string=Audit&amp;VAR:KEY=GPYRITKBWH&amp;VAR:QUERY=RkZfRU5UUlBSX1ZBTF9EQUlMWShOT1csLCwsLCdESUwnKQ==&amp;WINDOW=FIRST_POPUP&amp;HEIGHT=450&amp;WIDTH=","450&amp;START_MAXIMIZED=FALSE&amp;VAR:CALENDAR=FIVEDAY&amp;VAR:SYMBOL=GPRO&amp;VAR:INDEX=0"}</definedName>
    <definedName name="_113__FDSAUDITLINK___1" hidden="1">{"fdsup://directions/FAT Viewer?action=UPDATE&amp;creator=factset&amp;DYN_ARGS=TRUE&amp;DOC_NAME=FAT:FQL_AUDITING_CLIENT_TEMPLATE.FAT&amp;display_string=Audit&amp;VAR:KEY=GPYRITKBWH&amp;VAR:QUERY=RkZfRU5UUlBSX1ZBTF9EQUlMWShOT1csLCwsLCdESUwnKQ==&amp;WINDOW=FIRST_POPUP&amp;HEIGHT=450&amp;WIDTH=","450&amp;START_MAXIMIZED=FALSE&amp;VAR:CALENDAR=FIVEDAY&amp;VAR:SYMBOL=GPRO&amp;VAR:INDEX=0"}</definedName>
    <definedName name="_113__FDSAUDITLINK___2" hidden="1">{"fdsup://directions/FAT Viewer?action=UPDATE&amp;creator=factset&amp;DYN_ARGS=TRUE&amp;DOC_NAME=FAT:FQL_AUDITING_CLIENT_TEMPLATE.FAT&amp;display_string=Audit&amp;VAR:KEY=GPYRITKBWH&amp;VAR:QUERY=RkZfRU5UUlBSX1ZBTF9EQUlMWShOT1csLCwsLCdESUwnKQ==&amp;WINDOW=FIRST_POPUP&amp;HEIGHT=450&amp;WIDTH=","450&amp;START_MAXIMIZED=FALSE&amp;VAR:CALENDAR=FIVEDAY&amp;VAR:SYMBOL=GPRO&amp;VAR:INDEX=0"}</definedName>
    <definedName name="_114__FDSAUDITLINK__" localSheetId="7" hidden="1">{"fdsup://directions/FAT Viewer?action=UPDATE&amp;creator=factset&amp;DYN_ARGS=TRUE&amp;DOC_NAME=FAT:FQL_AUDITING_CLIENT_TEMPLATE.FAT&amp;display_string=Audit&amp;VAR:KEY=UXUVUJWNOH&amp;VAR:QUERY=RkZfRU5UUlBSX1ZBTF9EQUlMWShOT1csLCwsLCdESUwnKQ==&amp;WINDOW=FIRST_POPUP&amp;HEIGHT=450&amp;WIDTH=","450&amp;START_MAXIMIZED=FALSE&amp;VAR:CALENDAR=FIVEDAY&amp;VAR:SYMBOL=HSP&amp;VAR:INDEX=0"}</definedName>
    <definedName name="_114__FDSAUDITLINK__" localSheetId="5" hidden="1">{"fdsup://directions/FAT Viewer?action=UPDATE&amp;creator=factset&amp;DYN_ARGS=TRUE&amp;DOC_NAME=FAT:FQL_AUDITING_CLIENT_TEMPLATE.FAT&amp;display_string=Audit&amp;VAR:KEY=UXUVUJWNOH&amp;VAR:QUERY=RkZfRU5UUlBSX1ZBTF9EQUlMWShOT1csLCwsLCdESUwnKQ==&amp;WINDOW=FIRST_POPUP&amp;HEIGHT=450&amp;WIDTH=","450&amp;START_MAXIMIZED=FALSE&amp;VAR:CALENDAR=FIVEDAY&amp;VAR:SYMBOL=HSP&amp;VAR:INDEX=0"}</definedName>
    <definedName name="_114__FDSAUDITLINK__" hidden="1">{"fdsup://directions/FAT Viewer?action=UPDATE&amp;creator=factset&amp;DYN_ARGS=TRUE&amp;DOC_NAME=FAT:FQL_AUDITING_CLIENT_TEMPLATE.FAT&amp;display_string=Audit&amp;VAR:KEY=UXUVUJWNOH&amp;VAR:QUERY=RkZfRU5UUlBSX1ZBTF9EQUlMWShOT1csLCwsLCdESUwnKQ==&amp;WINDOW=FIRST_POPUP&amp;HEIGHT=450&amp;WIDTH=","450&amp;START_MAXIMIZED=FALSE&amp;VAR:CALENDAR=FIVEDAY&amp;VAR:SYMBOL=HSP&amp;VAR:INDEX=0"}</definedName>
    <definedName name="_114__FDSAUDITLINK___1" hidden="1">{"fdsup://directions/FAT Viewer?action=UPDATE&amp;creator=factset&amp;DYN_ARGS=TRUE&amp;DOC_NAME=FAT:FQL_AUDITING_CLIENT_TEMPLATE.FAT&amp;display_string=Audit&amp;VAR:KEY=UXUVUJWNOH&amp;VAR:QUERY=RkZfRU5UUlBSX1ZBTF9EQUlMWShOT1csLCwsLCdESUwnKQ==&amp;WINDOW=FIRST_POPUP&amp;HEIGHT=450&amp;WIDTH=","450&amp;START_MAXIMIZED=FALSE&amp;VAR:CALENDAR=FIVEDAY&amp;VAR:SYMBOL=HSP&amp;VAR:INDEX=0"}</definedName>
    <definedName name="_114__FDSAUDITLINK___2" hidden="1">{"fdsup://directions/FAT Viewer?action=UPDATE&amp;creator=factset&amp;DYN_ARGS=TRUE&amp;DOC_NAME=FAT:FQL_AUDITING_CLIENT_TEMPLATE.FAT&amp;display_string=Audit&amp;VAR:KEY=UXUVUJWNOH&amp;VAR:QUERY=RkZfRU5UUlBSX1ZBTF9EQUlMWShOT1csLCwsLCdESUwnKQ==&amp;WINDOW=FIRST_POPUP&amp;HEIGHT=450&amp;WIDTH=","450&amp;START_MAXIMIZED=FALSE&amp;VAR:CALENDAR=FIVEDAY&amp;VAR:SYMBOL=HSP&amp;VAR:INDEX=0"}</definedName>
    <definedName name="_115__FDSAUDITLINK__" localSheetId="7" hidden="1">{"fdsup://directions/FAT Viewer?action=UPDATE&amp;creator=factset&amp;DYN_ARGS=TRUE&amp;DOC_NAME=FAT:FQL_AUDITING_CLIENT_TEMPLATE.FAT&amp;display_string=Audit&amp;VAR:KEY=QDWBINOJIH&amp;VAR:QUERY=RkZfRU5UUlBSX1ZBTF9EQUlMWShOT1csLCwsLCdESUwnKQ==&amp;WINDOW=FIRST_POPUP&amp;HEIGHT=450&amp;WIDTH=","450&amp;START_MAXIMIZED=FALSE&amp;VAR:CALENDAR=FIVEDAY&amp;VAR:SYMBOL=MYGN&amp;VAR:INDEX=0"}</definedName>
    <definedName name="_115__FDSAUDITLINK__" localSheetId="5" hidden="1">{"fdsup://directions/FAT Viewer?action=UPDATE&amp;creator=factset&amp;DYN_ARGS=TRUE&amp;DOC_NAME=FAT:FQL_AUDITING_CLIENT_TEMPLATE.FAT&amp;display_string=Audit&amp;VAR:KEY=QDWBINOJIH&amp;VAR:QUERY=RkZfRU5UUlBSX1ZBTF9EQUlMWShOT1csLCwsLCdESUwnKQ==&amp;WINDOW=FIRST_POPUP&amp;HEIGHT=450&amp;WIDTH=","450&amp;START_MAXIMIZED=FALSE&amp;VAR:CALENDAR=FIVEDAY&amp;VAR:SYMBOL=MYGN&amp;VAR:INDEX=0"}</definedName>
    <definedName name="_115__FDSAUDITLINK__" hidden="1">{"fdsup://directions/FAT Viewer?action=UPDATE&amp;creator=factset&amp;DYN_ARGS=TRUE&amp;DOC_NAME=FAT:FQL_AUDITING_CLIENT_TEMPLATE.FAT&amp;display_string=Audit&amp;VAR:KEY=QDWBINOJIH&amp;VAR:QUERY=RkZfRU5UUlBSX1ZBTF9EQUlMWShOT1csLCwsLCdESUwnKQ==&amp;WINDOW=FIRST_POPUP&amp;HEIGHT=450&amp;WIDTH=","450&amp;START_MAXIMIZED=FALSE&amp;VAR:CALENDAR=FIVEDAY&amp;VAR:SYMBOL=MYGN&amp;VAR:INDEX=0"}</definedName>
    <definedName name="_115__FDSAUDITLINK___1" hidden="1">{"fdsup://directions/FAT Viewer?action=UPDATE&amp;creator=factset&amp;DYN_ARGS=TRUE&amp;DOC_NAME=FAT:FQL_AUDITING_CLIENT_TEMPLATE.FAT&amp;display_string=Audit&amp;VAR:KEY=QDWBINOJIH&amp;VAR:QUERY=RkZfRU5UUlBSX1ZBTF9EQUlMWShOT1csLCwsLCdESUwnKQ==&amp;WINDOW=FIRST_POPUP&amp;HEIGHT=450&amp;WIDTH=","450&amp;START_MAXIMIZED=FALSE&amp;VAR:CALENDAR=FIVEDAY&amp;VAR:SYMBOL=MYGN&amp;VAR:INDEX=0"}</definedName>
    <definedName name="_115__FDSAUDITLINK___2" hidden="1">{"fdsup://directions/FAT Viewer?action=UPDATE&amp;creator=factset&amp;DYN_ARGS=TRUE&amp;DOC_NAME=FAT:FQL_AUDITING_CLIENT_TEMPLATE.FAT&amp;display_string=Audit&amp;VAR:KEY=QDWBINOJIH&amp;VAR:QUERY=RkZfRU5UUlBSX1ZBTF9EQUlMWShOT1csLCwsLCdESUwnKQ==&amp;WINDOW=FIRST_POPUP&amp;HEIGHT=450&amp;WIDTH=","450&amp;START_MAXIMIZED=FALSE&amp;VAR:CALENDAR=FIVEDAY&amp;VAR:SYMBOL=MYGN&amp;VAR:INDEX=0"}</definedName>
    <definedName name="_116__FDSAUDITLINK__" localSheetId="7" hidden="1">{"fdsup://directions/FAT Viewer?action=UPDATE&amp;creator=factset&amp;DYN_ARGS=TRUE&amp;DOC_NAME=FAT:FQL_AUDITING_CLIENT_TEMPLATE.FAT&amp;display_string=Audit&amp;VAR:KEY=KPODUPWHYR&amp;VAR:QUERY=RkZfRU5UUlBSX1ZBTF9EQUlMWShOT1csLCwsLCdESUwnKQ==&amp;WINDOW=FIRST_POPUP&amp;HEIGHT=450&amp;WIDTH=","450&amp;START_MAXIMIZED=FALSE&amp;VAR:CALENDAR=FIVEDAY&amp;VAR:SYMBOL=QGEN&amp;VAR:INDEX=0"}</definedName>
    <definedName name="_116__FDSAUDITLINK__" localSheetId="5" hidden="1">{"fdsup://directions/FAT Viewer?action=UPDATE&amp;creator=factset&amp;DYN_ARGS=TRUE&amp;DOC_NAME=FAT:FQL_AUDITING_CLIENT_TEMPLATE.FAT&amp;display_string=Audit&amp;VAR:KEY=KPODUPWHYR&amp;VAR:QUERY=RkZfRU5UUlBSX1ZBTF9EQUlMWShOT1csLCwsLCdESUwnKQ==&amp;WINDOW=FIRST_POPUP&amp;HEIGHT=450&amp;WIDTH=","450&amp;START_MAXIMIZED=FALSE&amp;VAR:CALENDAR=FIVEDAY&amp;VAR:SYMBOL=QGEN&amp;VAR:INDEX=0"}</definedName>
    <definedName name="_116__FDSAUDITLINK__" hidden="1">{"fdsup://directions/FAT Viewer?action=UPDATE&amp;creator=factset&amp;DYN_ARGS=TRUE&amp;DOC_NAME=FAT:FQL_AUDITING_CLIENT_TEMPLATE.FAT&amp;display_string=Audit&amp;VAR:KEY=KPODUPWHYR&amp;VAR:QUERY=RkZfRU5UUlBSX1ZBTF9EQUlMWShOT1csLCwsLCdESUwnKQ==&amp;WINDOW=FIRST_POPUP&amp;HEIGHT=450&amp;WIDTH=","450&amp;START_MAXIMIZED=FALSE&amp;VAR:CALENDAR=FIVEDAY&amp;VAR:SYMBOL=QGEN&amp;VAR:INDEX=0"}</definedName>
    <definedName name="_116__FDSAUDITLINK___1" hidden="1">{"fdsup://directions/FAT Viewer?action=UPDATE&amp;creator=factset&amp;DYN_ARGS=TRUE&amp;DOC_NAME=FAT:FQL_AUDITING_CLIENT_TEMPLATE.FAT&amp;display_string=Audit&amp;VAR:KEY=KPODUPWHYR&amp;VAR:QUERY=RkZfRU5UUlBSX1ZBTF9EQUlMWShOT1csLCwsLCdESUwnKQ==&amp;WINDOW=FIRST_POPUP&amp;HEIGHT=450&amp;WIDTH=","450&amp;START_MAXIMIZED=FALSE&amp;VAR:CALENDAR=FIVEDAY&amp;VAR:SYMBOL=QGEN&amp;VAR:INDEX=0"}</definedName>
    <definedName name="_116__FDSAUDITLINK___2" hidden="1">{"fdsup://directions/FAT Viewer?action=UPDATE&amp;creator=factset&amp;DYN_ARGS=TRUE&amp;DOC_NAME=FAT:FQL_AUDITING_CLIENT_TEMPLATE.FAT&amp;display_string=Audit&amp;VAR:KEY=KPODUPWHYR&amp;VAR:QUERY=RkZfRU5UUlBSX1ZBTF9EQUlMWShOT1csLCwsLCdESUwnKQ==&amp;WINDOW=FIRST_POPUP&amp;HEIGHT=450&amp;WIDTH=","450&amp;START_MAXIMIZED=FALSE&amp;VAR:CALENDAR=FIVEDAY&amp;VAR:SYMBOL=QGEN&amp;VAR:INDEX=0"}</definedName>
    <definedName name="_117__FDSAUDITLINK__" localSheetId="7" hidden="1">{"fdsup://directions/FAT Viewer?action=UPDATE&amp;creator=factset&amp;DYN_ARGS=TRUE&amp;DOC_NAME=FAT:FQL_AUDITING_CLIENT_TEMPLATE.FAT&amp;display_string=Audit&amp;VAR:KEY=CBKNWDAHKJ&amp;VAR:QUERY=RkZfRU5UUlBSX1ZBTF9EQUlMWShOT1csLCwsLCdESUwnKQ==&amp;WINDOW=FIRST_POPUP&amp;HEIGHT=450&amp;WIDTH=","450&amp;START_MAXIMIZED=FALSE&amp;VAR:CALENDAR=FIVEDAY&amp;VAR:SYMBOL=BIO&amp;VAR:INDEX=0"}</definedName>
    <definedName name="_117__FDSAUDITLINK__" localSheetId="5" hidden="1">{"fdsup://directions/FAT Viewer?action=UPDATE&amp;creator=factset&amp;DYN_ARGS=TRUE&amp;DOC_NAME=FAT:FQL_AUDITING_CLIENT_TEMPLATE.FAT&amp;display_string=Audit&amp;VAR:KEY=CBKNWDAHKJ&amp;VAR:QUERY=RkZfRU5UUlBSX1ZBTF9EQUlMWShOT1csLCwsLCdESUwnKQ==&amp;WINDOW=FIRST_POPUP&amp;HEIGHT=450&amp;WIDTH=","450&amp;START_MAXIMIZED=FALSE&amp;VAR:CALENDAR=FIVEDAY&amp;VAR:SYMBOL=BIO&amp;VAR:INDEX=0"}</definedName>
    <definedName name="_117__FDSAUDITLINK__" hidden="1">{"fdsup://directions/FAT Viewer?action=UPDATE&amp;creator=factset&amp;DYN_ARGS=TRUE&amp;DOC_NAME=FAT:FQL_AUDITING_CLIENT_TEMPLATE.FAT&amp;display_string=Audit&amp;VAR:KEY=CBKNWDAHKJ&amp;VAR:QUERY=RkZfRU5UUlBSX1ZBTF9EQUlMWShOT1csLCwsLCdESUwnKQ==&amp;WINDOW=FIRST_POPUP&amp;HEIGHT=450&amp;WIDTH=","450&amp;START_MAXIMIZED=FALSE&amp;VAR:CALENDAR=FIVEDAY&amp;VAR:SYMBOL=BIO&amp;VAR:INDEX=0"}</definedName>
    <definedName name="_117__FDSAUDITLINK___1" hidden="1">{"fdsup://directions/FAT Viewer?action=UPDATE&amp;creator=factset&amp;DYN_ARGS=TRUE&amp;DOC_NAME=FAT:FQL_AUDITING_CLIENT_TEMPLATE.FAT&amp;display_string=Audit&amp;VAR:KEY=CBKNWDAHKJ&amp;VAR:QUERY=RkZfRU5UUlBSX1ZBTF9EQUlMWShOT1csLCwsLCdESUwnKQ==&amp;WINDOW=FIRST_POPUP&amp;HEIGHT=450&amp;WIDTH=","450&amp;START_MAXIMIZED=FALSE&amp;VAR:CALENDAR=FIVEDAY&amp;VAR:SYMBOL=BIO&amp;VAR:INDEX=0"}</definedName>
    <definedName name="_117__FDSAUDITLINK___2" hidden="1">{"fdsup://directions/FAT Viewer?action=UPDATE&amp;creator=factset&amp;DYN_ARGS=TRUE&amp;DOC_NAME=FAT:FQL_AUDITING_CLIENT_TEMPLATE.FAT&amp;display_string=Audit&amp;VAR:KEY=CBKNWDAHKJ&amp;VAR:QUERY=RkZfRU5UUlBSX1ZBTF9EQUlMWShOT1csLCwsLCdESUwnKQ==&amp;WINDOW=FIRST_POPUP&amp;HEIGHT=450&amp;WIDTH=","450&amp;START_MAXIMIZED=FALSE&amp;VAR:CALENDAR=FIVEDAY&amp;VAR:SYMBOL=BIO&amp;VAR:INDEX=0"}</definedName>
    <definedName name="_118__FDSAUDITLINK__" localSheetId="7" hidden="1">{"fdsup://directions/FAT Viewer?action=UPDATE&amp;creator=factset&amp;DYN_ARGS=TRUE&amp;DOC_NAME=FAT:FQL_AUDITING_CLIENT_TEMPLATE.FAT&amp;display_string=Audit&amp;VAR:KEY=UNOBIVMNGP&amp;VAR:QUERY=RkZfRU5UUlBSX1ZBTF9EQUlMWShOT1csLCwsLCdESUwnKQ==&amp;WINDOW=FIRST_POPUP&amp;HEIGHT=450&amp;WIDTH=","450&amp;START_MAXIMIZED=FALSE&amp;VAR:CALENDAR=FIVEDAY&amp;VAR:SYMBOL=DNEX&amp;VAR:INDEX=0"}</definedName>
    <definedName name="_118__FDSAUDITLINK__" localSheetId="5" hidden="1">{"fdsup://directions/FAT Viewer?action=UPDATE&amp;creator=factset&amp;DYN_ARGS=TRUE&amp;DOC_NAME=FAT:FQL_AUDITING_CLIENT_TEMPLATE.FAT&amp;display_string=Audit&amp;VAR:KEY=UNOBIVMNGP&amp;VAR:QUERY=RkZfRU5UUlBSX1ZBTF9EQUlMWShOT1csLCwsLCdESUwnKQ==&amp;WINDOW=FIRST_POPUP&amp;HEIGHT=450&amp;WIDTH=","450&amp;START_MAXIMIZED=FALSE&amp;VAR:CALENDAR=FIVEDAY&amp;VAR:SYMBOL=DNEX&amp;VAR:INDEX=0"}</definedName>
    <definedName name="_118__FDSAUDITLINK__" hidden="1">{"fdsup://directions/FAT Viewer?action=UPDATE&amp;creator=factset&amp;DYN_ARGS=TRUE&amp;DOC_NAME=FAT:FQL_AUDITING_CLIENT_TEMPLATE.FAT&amp;display_string=Audit&amp;VAR:KEY=UNOBIVMNGP&amp;VAR:QUERY=RkZfRU5UUlBSX1ZBTF9EQUlMWShOT1csLCwsLCdESUwnKQ==&amp;WINDOW=FIRST_POPUP&amp;HEIGHT=450&amp;WIDTH=","450&amp;START_MAXIMIZED=FALSE&amp;VAR:CALENDAR=FIVEDAY&amp;VAR:SYMBOL=DNEX&amp;VAR:INDEX=0"}</definedName>
    <definedName name="_118__FDSAUDITLINK___1" hidden="1">{"fdsup://directions/FAT Viewer?action=UPDATE&amp;creator=factset&amp;DYN_ARGS=TRUE&amp;DOC_NAME=FAT:FQL_AUDITING_CLIENT_TEMPLATE.FAT&amp;display_string=Audit&amp;VAR:KEY=UNOBIVMNGP&amp;VAR:QUERY=RkZfRU5UUlBSX1ZBTF9EQUlMWShOT1csLCwsLCdESUwnKQ==&amp;WINDOW=FIRST_POPUP&amp;HEIGHT=450&amp;WIDTH=","450&amp;START_MAXIMIZED=FALSE&amp;VAR:CALENDAR=FIVEDAY&amp;VAR:SYMBOL=DNEX&amp;VAR:INDEX=0"}</definedName>
    <definedName name="_118__FDSAUDITLINK___2" hidden="1">{"fdsup://directions/FAT Viewer?action=UPDATE&amp;creator=factset&amp;DYN_ARGS=TRUE&amp;DOC_NAME=FAT:FQL_AUDITING_CLIENT_TEMPLATE.FAT&amp;display_string=Audit&amp;VAR:KEY=UNOBIVMNGP&amp;VAR:QUERY=RkZfRU5UUlBSX1ZBTF9EQUlMWShOT1csLCwsLCdESUwnKQ==&amp;WINDOW=FIRST_POPUP&amp;HEIGHT=450&amp;WIDTH=","450&amp;START_MAXIMIZED=FALSE&amp;VAR:CALENDAR=FIVEDAY&amp;VAR:SYMBOL=DNEX&amp;VAR:INDEX=0"}</definedName>
    <definedName name="_119__FDSAUDITLINK__" localSheetId="7" hidden="1">{"fdsup://directions/FAT Viewer?action=UPDATE&amp;creator=factset&amp;DYN_ARGS=TRUE&amp;DOC_NAME=FAT:FQL_AUDITING_CLIENT_TEMPLATE.FAT&amp;display_string=Audit&amp;VAR:KEY=QPUPARQXUX&amp;VAR:QUERY=RkZfRU5UUlBSX1ZBTF9EQUlMWShOT1csLCwsLCdESUwnKQ==&amp;WINDOW=FIRST_POPUP&amp;HEIGHT=450&amp;WIDTH=","450&amp;START_MAXIMIZED=FALSE&amp;VAR:CALENDAR=FIVEDAY&amp;VAR:SYMBOL=LMNX&amp;VAR:INDEX=0"}</definedName>
    <definedName name="_119__FDSAUDITLINK__" localSheetId="5" hidden="1">{"fdsup://directions/FAT Viewer?action=UPDATE&amp;creator=factset&amp;DYN_ARGS=TRUE&amp;DOC_NAME=FAT:FQL_AUDITING_CLIENT_TEMPLATE.FAT&amp;display_string=Audit&amp;VAR:KEY=QPUPARQXUX&amp;VAR:QUERY=RkZfRU5UUlBSX1ZBTF9EQUlMWShOT1csLCwsLCdESUwnKQ==&amp;WINDOW=FIRST_POPUP&amp;HEIGHT=450&amp;WIDTH=","450&amp;START_MAXIMIZED=FALSE&amp;VAR:CALENDAR=FIVEDAY&amp;VAR:SYMBOL=LMNX&amp;VAR:INDEX=0"}</definedName>
    <definedName name="_119__FDSAUDITLINK__" hidden="1">{"fdsup://directions/FAT Viewer?action=UPDATE&amp;creator=factset&amp;DYN_ARGS=TRUE&amp;DOC_NAME=FAT:FQL_AUDITING_CLIENT_TEMPLATE.FAT&amp;display_string=Audit&amp;VAR:KEY=QPUPARQXUX&amp;VAR:QUERY=RkZfRU5UUlBSX1ZBTF9EQUlMWShOT1csLCwsLCdESUwnKQ==&amp;WINDOW=FIRST_POPUP&amp;HEIGHT=450&amp;WIDTH=","450&amp;START_MAXIMIZED=FALSE&amp;VAR:CALENDAR=FIVEDAY&amp;VAR:SYMBOL=LMNX&amp;VAR:INDEX=0"}</definedName>
    <definedName name="_119__FDSAUDITLINK___1" hidden="1">{"fdsup://directions/FAT Viewer?action=UPDATE&amp;creator=factset&amp;DYN_ARGS=TRUE&amp;DOC_NAME=FAT:FQL_AUDITING_CLIENT_TEMPLATE.FAT&amp;display_string=Audit&amp;VAR:KEY=QPUPARQXUX&amp;VAR:QUERY=RkZfRU5UUlBSX1ZBTF9EQUlMWShOT1csLCwsLCdESUwnKQ==&amp;WINDOW=FIRST_POPUP&amp;HEIGHT=450&amp;WIDTH=","450&amp;START_MAXIMIZED=FALSE&amp;VAR:CALENDAR=FIVEDAY&amp;VAR:SYMBOL=LMNX&amp;VAR:INDEX=0"}</definedName>
    <definedName name="_119__FDSAUDITLINK___2" hidden="1">{"fdsup://directions/FAT Viewer?action=UPDATE&amp;creator=factset&amp;DYN_ARGS=TRUE&amp;DOC_NAME=FAT:FQL_AUDITING_CLIENT_TEMPLATE.FAT&amp;display_string=Audit&amp;VAR:KEY=QPUPARQXUX&amp;VAR:QUERY=RkZfRU5UUlBSX1ZBTF9EQUlMWShOT1csLCwsLCdESUwnKQ==&amp;WINDOW=FIRST_POPUP&amp;HEIGHT=450&amp;WIDTH=","450&amp;START_MAXIMIZED=FALSE&amp;VAR:CALENDAR=FIVEDAY&amp;VAR:SYMBOL=LMNX&amp;VAR:INDEX=0"}</definedName>
    <definedName name="_12__FDSAUDITLINK__" localSheetId="7" hidden="1">{"fdsup://directions/FAT Viewer?action=UPDATE&amp;creator=factset&amp;DYN_ARGS=TRUE&amp;DOC_NAME=FAT:FQL_AUDITING_CLIENT_TEMPLATE.FAT&amp;display_string=Audit&amp;VAR:KEY=CNYFUBYFQP&amp;VAR:QUERY=RkZfREVCVChBTk4sMCk=&amp;WINDOW=FIRST_POPUP&amp;HEIGHT=450&amp;WIDTH=450&amp;START_MAXIMIZED=FALSE&amp;VA","R:CALENDAR=US&amp;VAR:SYMBOL=ZMH&amp;VAR:INDEX=0"}</definedName>
    <definedName name="_12__FDSAUDITLINK__" localSheetId="5" hidden="1">{"fdsup://directions/FAT Viewer?action=UPDATE&amp;creator=factset&amp;DYN_ARGS=TRUE&amp;DOC_NAME=FAT:FQL_AUDITING_CLIENT_TEMPLATE.FAT&amp;display_string=Audit&amp;VAR:KEY=CNYFUBYFQP&amp;VAR:QUERY=RkZfREVCVChBTk4sMCk=&amp;WINDOW=FIRST_POPUP&amp;HEIGHT=450&amp;WIDTH=450&amp;START_MAXIMIZED=FALSE&amp;VA","R:CALENDAR=US&amp;VAR:SYMBOL=ZMH&amp;VAR:INDEX=0"}</definedName>
    <definedName name="_12__FDSAUDITLINK__" hidden="1">{"fdsup://directions/FAT Viewer?action=UPDATE&amp;creator=factset&amp;DYN_ARGS=TRUE&amp;DOC_NAME=FAT:FQL_AUDITING_CLIENT_TEMPLATE.FAT&amp;display_string=Audit&amp;VAR:KEY=CNYFUBYFQP&amp;VAR:QUERY=RkZfREVCVChBTk4sMCk=&amp;WINDOW=FIRST_POPUP&amp;HEIGHT=450&amp;WIDTH=450&amp;START_MAXIMIZED=FALSE&amp;VA","R:CALENDAR=US&amp;VAR:SYMBOL=ZMH&amp;VAR:INDEX=0"}</definedName>
    <definedName name="_12__FDSAUDITLINK___1" hidden="1">{"fdsup://directions/FAT Viewer?action=UPDATE&amp;creator=factset&amp;DYN_ARGS=TRUE&amp;DOC_NAME=FAT:FQL_AUDITING_CLIENT_TEMPLATE.FAT&amp;display_string=Audit&amp;VAR:KEY=CNYFUBYFQP&amp;VAR:QUERY=RkZfREVCVChBTk4sMCk=&amp;WINDOW=FIRST_POPUP&amp;HEIGHT=450&amp;WIDTH=450&amp;START_MAXIMIZED=FALSE&amp;VA","R:CALENDAR=US&amp;VAR:SYMBOL=ZMH&amp;VAR:INDEX=0"}</definedName>
    <definedName name="_12__FDSAUDITLINK___2" hidden="1">{"fdsup://directions/FAT Viewer?action=UPDATE&amp;creator=factset&amp;DYN_ARGS=TRUE&amp;DOC_NAME=FAT:FQL_AUDITING_CLIENT_TEMPLATE.FAT&amp;display_string=Audit&amp;VAR:KEY=CNYFUBYFQP&amp;VAR:QUERY=RkZfREVCVChBTk4sMCk=&amp;WINDOW=FIRST_POPUP&amp;HEIGHT=450&amp;WIDTH=450&amp;START_MAXIMIZED=FALSE&amp;VA","R:CALENDAR=US&amp;VAR:SYMBOL=ZMH&amp;VAR:INDEX=0"}</definedName>
    <definedName name="_120__FDSAUDITLINK__" localSheetId="7" hidden="1">{"fdsup://directions/FAT Viewer?action=UPDATE&amp;creator=factset&amp;DYN_ARGS=TRUE&amp;DOC_NAME=FAT:FQL_AUDITING_CLIENT_TEMPLATE.FAT&amp;display_string=Audit&amp;VAR:KEY=ENALIHQZUJ&amp;VAR:QUERY=RkZfRU5UUlBSX1ZBTF9EQUlMWShOT1csLCwsLCdESUwnKQ==&amp;WINDOW=FIRST_POPUP&amp;HEIGHT=450&amp;WIDTH=","450&amp;START_MAXIMIZED=FALSE&amp;VAR:CALENDAR=FIVEDAY&amp;VAR:SYMBOL=SIAL&amp;VAR:INDEX=0"}</definedName>
    <definedName name="_120__FDSAUDITLINK__" localSheetId="5" hidden="1">{"fdsup://directions/FAT Viewer?action=UPDATE&amp;creator=factset&amp;DYN_ARGS=TRUE&amp;DOC_NAME=FAT:FQL_AUDITING_CLIENT_TEMPLATE.FAT&amp;display_string=Audit&amp;VAR:KEY=ENALIHQZUJ&amp;VAR:QUERY=RkZfRU5UUlBSX1ZBTF9EQUlMWShOT1csLCwsLCdESUwnKQ==&amp;WINDOW=FIRST_POPUP&amp;HEIGHT=450&amp;WIDTH=","450&amp;START_MAXIMIZED=FALSE&amp;VAR:CALENDAR=FIVEDAY&amp;VAR:SYMBOL=SIAL&amp;VAR:INDEX=0"}</definedName>
    <definedName name="_120__FDSAUDITLINK__" hidden="1">{"fdsup://directions/FAT Viewer?action=UPDATE&amp;creator=factset&amp;DYN_ARGS=TRUE&amp;DOC_NAME=FAT:FQL_AUDITING_CLIENT_TEMPLATE.FAT&amp;display_string=Audit&amp;VAR:KEY=ENALIHQZUJ&amp;VAR:QUERY=RkZfRU5UUlBSX1ZBTF9EQUlMWShOT1csLCwsLCdESUwnKQ==&amp;WINDOW=FIRST_POPUP&amp;HEIGHT=450&amp;WIDTH=","450&amp;START_MAXIMIZED=FALSE&amp;VAR:CALENDAR=FIVEDAY&amp;VAR:SYMBOL=SIAL&amp;VAR:INDEX=0"}</definedName>
    <definedName name="_120__FDSAUDITLINK___1" hidden="1">{"fdsup://directions/FAT Viewer?action=UPDATE&amp;creator=factset&amp;DYN_ARGS=TRUE&amp;DOC_NAME=FAT:FQL_AUDITING_CLIENT_TEMPLATE.FAT&amp;display_string=Audit&amp;VAR:KEY=ENALIHQZUJ&amp;VAR:QUERY=RkZfRU5UUlBSX1ZBTF9EQUlMWShOT1csLCwsLCdESUwnKQ==&amp;WINDOW=FIRST_POPUP&amp;HEIGHT=450&amp;WIDTH=","450&amp;START_MAXIMIZED=FALSE&amp;VAR:CALENDAR=FIVEDAY&amp;VAR:SYMBOL=SIAL&amp;VAR:INDEX=0"}</definedName>
    <definedName name="_120__FDSAUDITLINK___2" hidden="1">{"fdsup://directions/FAT Viewer?action=UPDATE&amp;creator=factset&amp;DYN_ARGS=TRUE&amp;DOC_NAME=FAT:FQL_AUDITING_CLIENT_TEMPLATE.FAT&amp;display_string=Audit&amp;VAR:KEY=ENALIHQZUJ&amp;VAR:QUERY=RkZfRU5UUlBSX1ZBTF9EQUlMWShOT1csLCwsLCdESUwnKQ==&amp;WINDOW=FIRST_POPUP&amp;HEIGHT=450&amp;WIDTH=","450&amp;START_MAXIMIZED=FALSE&amp;VAR:CALENDAR=FIVEDAY&amp;VAR:SYMBOL=SIAL&amp;VAR:INDEX=0"}</definedName>
    <definedName name="_121__FDSAUDITLINK__" localSheetId="7" hidden="1">{"fdsup://directions/FAT Viewer?action=UPDATE&amp;creator=factset&amp;DYN_ARGS=TRUE&amp;DOC_NAME=FAT:FQL_AUDITING_CLIENT_TEMPLATE.FAT&amp;display_string=Audit&amp;VAR:KEY=EPWDAVAVWL&amp;VAR:QUERY=RkZfRU5UUlBSX1ZBTF9EQUlMWShOT1csLCwsLCdESUwnKQ==&amp;WINDOW=FIRST_POPUP&amp;HEIGHT=450&amp;WIDTH=","450&amp;START_MAXIMIZED=FALSE&amp;VAR:CALENDAR=FIVEDAY&amp;VAR:SYMBOL=TECH&amp;VAR:INDEX=0"}</definedName>
    <definedName name="_121__FDSAUDITLINK__" localSheetId="5" hidden="1">{"fdsup://directions/FAT Viewer?action=UPDATE&amp;creator=factset&amp;DYN_ARGS=TRUE&amp;DOC_NAME=FAT:FQL_AUDITING_CLIENT_TEMPLATE.FAT&amp;display_string=Audit&amp;VAR:KEY=EPWDAVAVWL&amp;VAR:QUERY=RkZfRU5UUlBSX1ZBTF9EQUlMWShOT1csLCwsLCdESUwnKQ==&amp;WINDOW=FIRST_POPUP&amp;HEIGHT=450&amp;WIDTH=","450&amp;START_MAXIMIZED=FALSE&amp;VAR:CALENDAR=FIVEDAY&amp;VAR:SYMBOL=TECH&amp;VAR:INDEX=0"}</definedName>
    <definedName name="_121__FDSAUDITLINK__" hidden="1">{"fdsup://directions/FAT Viewer?action=UPDATE&amp;creator=factset&amp;DYN_ARGS=TRUE&amp;DOC_NAME=FAT:FQL_AUDITING_CLIENT_TEMPLATE.FAT&amp;display_string=Audit&amp;VAR:KEY=EPWDAVAVWL&amp;VAR:QUERY=RkZfRU5UUlBSX1ZBTF9EQUlMWShOT1csLCwsLCdESUwnKQ==&amp;WINDOW=FIRST_POPUP&amp;HEIGHT=450&amp;WIDTH=","450&amp;START_MAXIMIZED=FALSE&amp;VAR:CALENDAR=FIVEDAY&amp;VAR:SYMBOL=TECH&amp;VAR:INDEX=0"}</definedName>
    <definedName name="_121__FDSAUDITLINK___1" hidden="1">{"fdsup://directions/FAT Viewer?action=UPDATE&amp;creator=factset&amp;DYN_ARGS=TRUE&amp;DOC_NAME=FAT:FQL_AUDITING_CLIENT_TEMPLATE.FAT&amp;display_string=Audit&amp;VAR:KEY=EPWDAVAVWL&amp;VAR:QUERY=RkZfRU5UUlBSX1ZBTF9EQUlMWShOT1csLCwsLCdESUwnKQ==&amp;WINDOW=FIRST_POPUP&amp;HEIGHT=450&amp;WIDTH=","450&amp;START_MAXIMIZED=FALSE&amp;VAR:CALENDAR=FIVEDAY&amp;VAR:SYMBOL=TECH&amp;VAR:INDEX=0"}</definedName>
    <definedName name="_121__FDSAUDITLINK___2" hidden="1">{"fdsup://directions/FAT Viewer?action=UPDATE&amp;creator=factset&amp;DYN_ARGS=TRUE&amp;DOC_NAME=FAT:FQL_AUDITING_CLIENT_TEMPLATE.FAT&amp;display_string=Audit&amp;VAR:KEY=EPWDAVAVWL&amp;VAR:QUERY=RkZfRU5UUlBSX1ZBTF9EQUlMWShOT1csLCwsLCdESUwnKQ==&amp;WINDOW=FIRST_POPUP&amp;HEIGHT=450&amp;WIDTH=","450&amp;START_MAXIMIZED=FALSE&amp;VAR:CALENDAR=FIVEDAY&amp;VAR:SYMBOL=TECH&amp;VAR:INDEX=0"}</definedName>
    <definedName name="_122__FDSAUDITLINK__" localSheetId="7" hidden="1">{"fdsup://directions/FAT Viewer?action=UPDATE&amp;creator=factset&amp;DYN_ARGS=TRUE&amp;DOC_NAME=FAT:FQL_AUDITING_CLIENT_TEMPLATE.FAT&amp;display_string=Audit&amp;VAR:KEY=CFMTMNEHCF&amp;VAR:QUERY=RkZfRU5UUlBSX1ZBTF9EQUlMWShOT1csLCwsLCdESUwnKQ==&amp;WINDOW=FIRST_POPUP&amp;HEIGHT=450&amp;WIDTH=","450&amp;START_MAXIMIZED=FALSE&amp;VAR:CALENDAR=FIVEDAY&amp;VAR:SYMBOL=ALR&amp;VAR:INDEX=0"}</definedName>
    <definedName name="_122__FDSAUDITLINK__" localSheetId="5" hidden="1">{"fdsup://directions/FAT Viewer?action=UPDATE&amp;creator=factset&amp;DYN_ARGS=TRUE&amp;DOC_NAME=FAT:FQL_AUDITING_CLIENT_TEMPLATE.FAT&amp;display_string=Audit&amp;VAR:KEY=CFMTMNEHCF&amp;VAR:QUERY=RkZfRU5UUlBSX1ZBTF9EQUlMWShOT1csLCwsLCdESUwnKQ==&amp;WINDOW=FIRST_POPUP&amp;HEIGHT=450&amp;WIDTH=","450&amp;START_MAXIMIZED=FALSE&amp;VAR:CALENDAR=FIVEDAY&amp;VAR:SYMBOL=ALR&amp;VAR:INDEX=0"}</definedName>
    <definedName name="_122__FDSAUDITLINK__" hidden="1">{"fdsup://directions/FAT Viewer?action=UPDATE&amp;creator=factset&amp;DYN_ARGS=TRUE&amp;DOC_NAME=FAT:FQL_AUDITING_CLIENT_TEMPLATE.FAT&amp;display_string=Audit&amp;VAR:KEY=CFMTMNEHCF&amp;VAR:QUERY=RkZfRU5UUlBSX1ZBTF9EQUlMWShOT1csLCwsLCdESUwnKQ==&amp;WINDOW=FIRST_POPUP&amp;HEIGHT=450&amp;WIDTH=","450&amp;START_MAXIMIZED=FALSE&amp;VAR:CALENDAR=FIVEDAY&amp;VAR:SYMBOL=ALR&amp;VAR:INDEX=0"}</definedName>
    <definedName name="_122__FDSAUDITLINK___1" hidden="1">{"fdsup://directions/FAT Viewer?action=UPDATE&amp;creator=factset&amp;DYN_ARGS=TRUE&amp;DOC_NAME=FAT:FQL_AUDITING_CLIENT_TEMPLATE.FAT&amp;display_string=Audit&amp;VAR:KEY=CFMTMNEHCF&amp;VAR:QUERY=RkZfRU5UUlBSX1ZBTF9EQUlMWShOT1csLCwsLCdESUwnKQ==&amp;WINDOW=FIRST_POPUP&amp;HEIGHT=450&amp;WIDTH=","450&amp;START_MAXIMIZED=FALSE&amp;VAR:CALENDAR=FIVEDAY&amp;VAR:SYMBOL=ALR&amp;VAR:INDEX=0"}</definedName>
    <definedName name="_122__FDSAUDITLINK___2" hidden="1">{"fdsup://directions/FAT Viewer?action=UPDATE&amp;creator=factset&amp;DYN_ARGS=TRUE&amp;DOC_NAME=FAT:FQL_AUDITING_CLIENT_TEMPLATE.FAT&amp;display_string=Audit&amp;VAR:KEY=CFMTMNEHCF&amp;VAR:QUERY=RkZfRU5UUlBSX1ZBTF9EQUlMWShOT1csLCwsLCdESUwnKQ==&amp;WINDOW=FIRST_POPUP&amp;HEIGHT=450&amp;WIDTH=","450&amp;START_MAXIMIZED=FALSE&amp;VAR:CALENDAR=FIVEDAY&amp;VAR:SYMBOL=ALR&amp;VAR:INDEX=0"}</definedName>
    <definedName name="_123__FDSAUDITLINK__" localSheetId="7" hidden="1">{"fdsup://directions/FAT Viewer?action=UPDATE&amp;creator=factset&amp;DYN_ARGS=TRUE&amp;DOC_NAME=FAT:FQL_AUDITING_CLIENT_TEMPLATE.FAT&amp;display_string=Audit&amp;VAR:KEY=CBUFQRWTMN&amp;VAR:QUERY=RkZfRU5UUlBSX1ZBTF9EQUlMWShOT1csLCwsLCdESUwnKQ==&amp;WINDOW=FIRST_POPUP&amp;HEIGHT=450&amp;WIDTH=","450&amp;START_MAXIMIZED=FALSE&amp;VAR:CALENDAR=FIVEDAY&amp;VAR:SYMBOL=GHDX&amp;VAR:INDEX=0"}</definedName>
    <definedName name="_123__FDSAUDITLINK__" localSheetId="5" hidden="1">{"fdsup://directions/FAT Viewer?action=UPDATE&amp;creator=factset&amp;DYN_ARGS=TRUE&amp;DOC_NAME=FAT:FQL_AUDITING_CLIENT_TEMPLATE.FAT&amp;display_string=Audit&amp;VAR:KEY=CBUFQRWTMN&amp;VAR:QUERY=RkZfRU5UUlBSX1ZBTF9EQUlMWShOT1csLCwsLCdESUwnKQ==&amp;WINDOW=FIRST_POPUP&amp;HEIGHT=450&amp;WIDTH=","450&amp;START_MAXIMIZED=FALSE&amp;VAR:CALENDAR=FIVEDAY&amp;VAR:SYMBOL=GHDX&amp;VAR:INDEX=0"}</definedName>
    <definedName name="_123__FDSAUDITLINK__" hidden="1">{"fdsup://directions/FAT Viewer?action=UPDATE&amp;creator=factset&amp;DYN_ARGS=TRUE&amp;DOC_NAME=FAT:FQL_AUDITING_CLIENT_TEMPLATE.FAT&amp;display_string=Audit&amp;VAR:KEY=CBUFQRWTMN&amp;VAR:QUERY=RkZfRU5UUlBSX1ZBTF9EQUlMWShOT1csLCwsLCdESUwnKQ==&amp;WINDOW=FIRST_POPUP&amp;HEIGHT=450&amp;WIDTH=","450&amp;START_MAXIMIZED=FALSE&amp;VAR:CALENDAR=FIVEDAY&amp;VAR:SYMBOL=GHDX&amp;VAR:INDEX=0"}</definedName>
    <definedName name="_123__FDSAUDITLINK___1" hidden="1">{"fdsup://directions/FAT Viewer?action=UPDATE&amp;creator=factset&amp;DYN_ARGS=TRUE&amp;DOC_NAME=FAT:FQL_AUDITING_CLIENT_TEMPLATE.FAT&amp;display_string=Audit&amp;VAR:KEY=CBUFQRWTMN&amp;VAR:QUERY=RkZfRU5UUlBSX1ZBTF9EQUlMWShOT1csLCwsLCdESUwnKQ==&amp;WINDOW=FIRST_POPUP&amp;HEIGHT=450&amp;WIDTH=","450&amp;START_MAXIMIZED=FALSE&amp;VAR:CALENDAR=FIVEDAY&amp;VAR:SYMBOL=GHDX&amp;VAR:INDEX=0"}</definedName>
    <definedName name="_123__FDSAUDITLINK___2" hidden="1">{"fdsup://directions/FAT Viewer?action=UPDATE&amp;creator=factset&amp;DYN_ARGS=TRUE&amp;DOC_NAME=FAT:FQL_AUDITING_CLIENT_TEMPLATE.FAT&amp;display_string=Audit&amp;VAR:KEY=CBUFQRWTMN&amp;VAR:QUERY=RkZfRU5UUlBSX1ZBTF9EQUlMWShOT1csLCwsLCdESUwnKQ==&amp;WINDOW=FIRST_POPUP&amp;HEIGHT=450&amp;WIDTH=","450&amp;START_MAXIMIZED=FALSE&amp;VAR:CALENDAR=FIVEDAY&amp;VAR:SYMBOL=GHDX&amp;VAR:INDEX=0"}</definedName>
    <definedName name="_124__FDSAUDITLINK__" localSheetId="7" hidden="1">{"fdsup://directions/FAT Viewer?action=UPDATE&amp;creator=factset&amp;DYN_ARGS=TRUE&amp;DOC_NAME=FAT:FQL_AUDITING_CLIENT_TEMPLATE.FAT&amp;display_string=Audit&amp;VAR:KEY=GFSNGJUZGB&amp;VAR:QUERY=RkZfRU5UUlBSX1ZBTF9EQUlMWShOT1csLCwsLCdESUwnKQ==&amp;WINDOW=FIRST_POPUP&amp;HEIGHT=450&amp;WIDTH=","450&amp;START_MAXIMIZED=FALSE&amp;VAR:CALENDAR=FIVEDAY&amp;VAR:SYMBOL=CPHD&amp;VAR:INDEX=0"}</definedName>
    <definedName name="_124__FDSAUDITLINK__" localSheetId="5" hidden="1">{"fdsup://directions/FAT Viewer?action=UPDATE&amp;creator=factset&amp;DYN_ARGS=TRUE&amp;DOC_NAME=FAT:FQL_AUDITING_CLIENT_TEMPLATE.FAT&amp;display_string=Audit&amp;VAR:KEY=GFSNGJUZGB&amp;VAR:QUERY=RkZfRU5UUlBSX1ZBTF9EQUlMWShOT1csLCwsLCdESUwnKQ==&amp;WINDOW=FIRST_POPUP&amp;HEIGHT=450&amp;WIDTH=","450&amp;START_MAXIMIZED=FALSE&amp;VAR:CALENDAR=FIVEDAY&amp;VAR:SYMBOL=CPHD&amp;VAR:INDEX=0"}</definedName>
    <definedName name="_124__FDSAUDITLINK__" hidden="1">{"fdsup://directions/FAT Viewer?action=UPDATE&amp;creator=factset&amp;DYN_ARGS=TRUE&amp;DOC_NAME=FAT:FQL_AUDITING_CLIENT_TEMPLATE.FAT&amp;display_string=Audit&amp;VAR:KEY=GFSNGJUZGB&amp;VAR:QUERY=RkZfRU5UUlBSX1ZBTF9EQUlMWShOT1csLCwsLCdESUwnKQ==&amp;WINDOW=FIRST_POPUP&amp;HEIGHT=450&amp;WIDTH=","450&amp;START_MAXIMIZED=FALSE&amp;VAR:CALENDAR=FIVEDAY&amp;VAR:SYMBOL=CPHD&amp;VAR:INDEX=0"}</definedName>
    <definedName name="_124__FDSAUDITLINK___1" hidden="1">{"fdsup://directions/FAT Viewer?action=UPDATE&amp;creator=factset&amp;DYN_ARGS=TRUE&amp;DOC_NAME=FAT:FQL_AUDITING_CLIENT_TEMPLATE.FAT&amp;display_string=Audit&amp;VAR:KEY=GFSNGJUZGB&amp;VAR:QUERY=RkZfRU5UUlBSX1ZBTF9EQUlMWShOT1csLCwsLCdESUwnKQ==&amp;WINDOW=FIRST_POPUP&amp;HEIGHT=450&amp;WIDTH=","450&amp;START_MAXIMIZED=FALSE&amp;VAR:CALENDAR=FIVEDAY&amp;VAR:SYMBOL=CPHD&amp;VAR:INDEX=0"}</definedName>
    <definedName name="_124__FDSAUDITLINK___2" hidden="1">{"fdsup://directions/FAT Viewer?action=UPDATE&amp;creator=factset&amp;DYN_ARGS=TRUE&amp;DOC_NAME=FAT:FQL_AUDITING_CLIENT_TEMPLATE.FAT&amp;display_string=Audit&amp;VAR:KEY=GFSNGJUZGB&amp;VAR:QUERY=RkZfRU5UUlBSX1ZBTF9EQUlMWShOT1csLCwsLCdESUwnKQ==&amp;WINDOW=FIRST_POPUP&amp;HEIGHT=450&amp;WIDTH=","450&amp;START_MAXIMIZED=FALSE&amp;VAR:CALENDAR=FIVEDAY&amp;VAR:SYMBOL=CPHD&amp;VAR:INDEX=0"}</definedName>
    <definedName name="_125__FDSAUDITLINK__" localSheetId="7" hidden="1">{"fdsup://directions/FAT Viewer?action=UPDATE&amp;creator=factset&amp;DYN_ARGS=TRUE&amp;DOC_NAME=FAT:FQL_AUDITING_CLIENT_TEMPLATE.FAT&amp;display_string=Audit&amp;VAR:KEY=YHONQXAZSR&amp;VAR:QUERY=RkZfRU5UUlBSX1ZBTF9EQUlMWShOT1csLCwsLCdESUwnKQ==&amp;WINDOW=FIRST_POPUP&amp;HEIGHT=450&amp;WIDTH=","450&amp;START_MAXIMIZED=FALSE&amp;VAR:CALENDAR=FIVEDAY&amp;VAR:SYMBOL=VIVO&amp;VAR:INDEX=0"}</definedName>
    <definedName name="_125__FDSAUDITLINK__" localSheetId="5" hidden="1">{"fdsup://directions/FAT Viewer?action=UPDATE&amp;creator=factset&amp;DYN_ARGS=TRUE&amp;DOC_NAME=FAT:FQL_AUDITING_CLIENT_TEMPLATE.FAT&amp;display_string=Audit&amp;VAR:KEY=YHONQXAZSR&amp;VAR:QUERY=RkZfRU5UUlBSX1ZBTF9EQUlMWShOT1csLCwsLCdESUwnKQ==&amp;WINDOW=FIRST_POPUP&amp;HEIGHT=450&amp;WIDTH=","450&amp;START_MAXIMIZED=FALSE&amp;VAR:CALENDAR=FIVEDAY&amp;VAR:SYMBOL=VIVO&amp;VAR:INDEX=0"}</definedName>
    <definedName name="_125__FDSAUDITLINK__" hidden="1">{"fdsup://directions/FAT Viewer?action=UPDATE&amp;creator=factset&amp;DYN_ARGS=TRUE&amp;DOC_NAME=FAT:FQL_AUDITING_CLIENT_TEMPLATE.FAT&amp;display_string=Audit&amp;VAR:KEY=YHONQXAZSR&amp;VAR:QUERY=RkZfRU5UUlBSX1ZBTF9EQUlMWShOT1csLCwsLCdESUwnKQ==&amp;WINDOW=FIRST_POPUP&amp;HEIGHT=450&amp;WIDTH=","450&amp;START_MAXIMIZED=FALSE&amp;VAR:CALENDAR=FIVEDAY&amp;VAR:SYMBOL=VIVO&amp;VAR:INDEX=0"}</definedName>
    <definedName name="_125__FDSAUDITLINK___1" hidden="1">{"fdsup://directions/FAT Viewer?action=UPDATE&amp;creator=factset&amp;DYN_ARGS=TRUE&amp;DOC_NAME=FAT:FQL_AUDITING_CLIENT_TEMPLATE.FAT&amp;display_string=Audit&amp;VAR:KEY=YHONQXAZSR&amp;VAR:QUERY=RkZfRU5UUlBSX1ZBTF9EQUlMWShOT1csLCwsLCdESUwnKQ==&amp;WINDOW=FIRST_POPUP&amp;HEIGHT=450&amp;WIDTH=","450&amp;START_MAXIMIZED=FALSE&amp;VAR:CALENDAR=FIVEDAY&amp;VAR:SYMBOL=VIVO&amp;VAR:INDEX=0"}</definedName>
    <definedName name="_125__FDSAUDITLINK___2" hidden="1">{"fdsup://directions/FAT Viewer?action=UPDATE&amp;creator=factset&amp;DYN_ARGS=TRUE&amp;DOC_NAME=FAT:FQL_AUDITING_CLIENT_TEMPLATE.FAT&amp;display_string=Audit&amp;VAR:KEY=YHONQXAZSR&amp;VAR:QUERY=RkZfRU5UUlBSX1ZBTF9EQUlMWShOT1csLCwsLCdESUwnKQ==&amp;WINDOW=FIRST_POPUP&amp;HEIGHT=450&amp;WIDTH=","450&amp;START_MAXIMIZED=FALSE&amp;VAR:CALENDAR=FIVEDAY&amp;VAR:SYMBOL=VIVO&amp;VAR:INDEX=0"}</definedName>
    <definedName name="_126__FDSAUDITLINK__" localSheetId="7" hidden="1">{"fdsup://directions/FAT Viewer?action=UPDATE&amp;creator=factset&amp;DYN_ARGS=TRUE&amp;DOC_NAME=FAT:FQL_AUDITING_CLIENT_TEMPLATE.FAT&amp;display_string=Audit&amp;VAR:KEY=KDCPCRGJOX&amp;VAR:QUERY=RkZfRU5UUlBSX1ZBTF9EQUlMWShOT1csLCwsLCdESUwnKQ==&amp;WINDOW=FIRST_POPUP&amp;HEIGHT=450&amp;WIDTH=","450&amp;START_MAXIMIZED=FALSE&amp;VAR:CALENDAR=FIVEDAY&amp;VAR:SYMBOL=ILMN&amp;VAR:INDEX=0"}</definedName>
    <definedName name="_126__FDSAUDITLINK__" localSheetId="5" hidden="1">{"fdsup://directions/FAT Viewer?action=UPDATE&amp;creator=factset&amp;DYN_ARGS=TRUE&amp;DOC_NAME=FAT:FQL_AUDITING_CLIENT_TEMPLATE.FAT&amp;display_string=Audit&amp;VAR:KEY=KDCPCRGJOX&amp;VAR:QUERY=RkZfRU5UUlBSX1ZBTF9EQUlMWShOT1csLCwsLCdESUwnKQ==&amp;WINDOW=FIRST_POPUP&amp;HEIGHT=450&amp;WIDTH=","450&amp;START_MAXIMIZED=FALSE&amp;VAR:CALENDAR=FIVEDAY&amp;VAR:SYMBOL=ILMN&amp;VAR:INDEX=0"}</definedName>
    <definedName name="_126__FDSAUDITLINK__" hidden="1">{"fdsup://directions/FAT Viewer?action=UPDATE&amp;creator=factset&amp;DYN_ARGS=TRUE&amp;DOC_NAME=FAT:FQL_AUDITING_CLIENT_TEMPLATE.FAT&amp;display_string=Audit&amp;VAR:KEY=KDCPCRGJOX&amp;VAR:QUERY=RkZfRU5UUlBSX1ZBTF9EQUlMWShOT1csLCwsLCdESUwnKQ==&amp;WINDOW=FIRST_POPUP&amp;HEIGHT=450&amp;WIDTH=","450&amp;START_MAXIMIZED=FALSE&amp;VAR:CALENDAR=FIVEDAY&amp;VAR:SYMBOL=ILMN&amp;VAR:INDEX=0"}</definedName>
    <definedName name="_126__FDSAUDITLINK___1" hidden="1">{"fdsup://directions/FAT Viewer?action=UPDATE&amp;creator=factset&amp;DYN_ARGS=TRUE&amp;DOC_NAME=FAT:FQL_AUDITING_CLIENT_TEMPLATE.FAT&amp;display_string=Audit&amp;VAR:KEY=KDCPCRGJOX&amp;VAR:QUERY=RkZfRU5UUlBSX1ZBTF9EQUlMWShOT1csLCwsLCdESUwnKQ==&amp;WINDOW=FIRST_POPUP&amp;HEIGHT=450&amp;WIDTH=","450&amp;START_MAXIMIZED=FALSE&amp;VAR:CALENDAR=FIVEDAY&amp;VAR:SYMBOL=ILMN&amp;VAR:INDEX=0"}</definedName>
    <definedName name="_126__FDSAUDITLINK___2" hidden="1">{"fdsup://directions/FAT Viewer?action=UPDATE&amp;creator=factset&amp;DYN_ARGS=TRUE&amp;DOC_NAME=FAT:FQL_AUDITING_CLIENT_TEMPLATE.FAT&amp;display_string=Audit&amp;VAR:KEY=KDCPCRGJOX&amp;VAR:QUERY=RkZfRU5UUlBSX1ZBTF9EQUlMWShOT1csLCwsLCdESUwnKQ==&amp;WINDOW=FIRST_POPUP&amp;HEIGHT=450&amp;WIDTH=","450&amp;START_MAXIMIZED=FALSE&amp;VAR:CALENDAR=FIVEDAY&amp;VAR:SYMBOL=ILMN&amp;VAR:INDEX=0"}</definedName>
    <definedName name="_127__FDSAUDITLINK__" localSheetId="7" hidden="1">{"fdsup://directions/FAT Viewer?action=UPDATE&amp;creator=factset&amp;DYN_ARGS=TRUE&amp;DOC_NAME=FAT:FQL_AUDITING_CLIENT_TEMPLATE.FAT&amp;display_string=Audit&amp;VAR:KEY=WNEPKPEBAB&amp;VAR:QUERY=RkZfRU5UUlBSX1ZBTF9EQUlMWShOT1csLCwsLCdESUwnKQ==&amp;WINDOW=FIRST_POPUP&amp;HEIGHT=450&amp;WIDTH=","450&amp;START_MAXIMIZED=FALSE&amp;VAR:CALENDAR=FIVEDAY&amp;VAR:SYMBOL=LIFE&amp;VAR:INDEX=0"}</definedName>
    <definedName name="_127__FDSAUDITLINK__" localSheetId="5" hidden="1">{"fdsup://directions/FAT Viewer?action=UPDATE&amp;creator=factset&amp;DYN_ARGS=TRUE&amp;DOC_NAME=FAT:FQL_AUDITING_CLIENT_TEMPLATE.FAT&amp;display_string=Audit&amp;VAR:KEY=WNEPKPEBAB&amp;VAR:QUERY=RkZfRU5UUlBSX1ZBTF9EQUlMWShOT1csLCwsLCdESUwnKQ==&amp;WINDOW=FIRST_POPUP&amp;HEIGHT=450&amp;WIDTH=","450&amp;START_MAXIMIZED=FALSE&amp;VAR:CALENDAR=FIVEDAY&amp;VAR:SYMBOL=LIFE&amp;VAR:INDEX=0"}</definedName>
    <definedName name="_127__FDSAUDITLINK__" hidden="1">{"fdsup://directions/FAT Viewer?action=UPDATE&amp;creator=factset&amp;DYN_ARGS=TRUE&amp;DOC_NAME=FAT:FQL_AUDITING_CLIENT_TEMPLATE.FAT&amp;display_string=Audit&amp;VAR:KEY=WNEPKPEBAB&amp;VAR:QUERY=RkZfRU5UUlBSX1ZBTF9EQUlMWShOT1csLCwsLCdESUwnKQ==&amp;WINDOW=FIRST_POPUP&amp;HEIGHT=450&amp;WIDTH=","450&amp;START_MAXIMIZED=FALSE&amp;VAR:CALENDAR=FIVEDAY&amp;VAR:SYMBOL=LIFE&amp;VAR:INDEX=0"}</definedName>
    <definedName name="_127__FDSAUDITLINK___1" hidden="1">{"fdsup://directions/FAT Viewer?action=UPDATE&amp;creator=factset&amp;DYN_ARGS=TRUE&amp;DOC_NAME=FAT:FQL_AUDITING_CLIENT_TEMPLATE.FAT&amp;display_string=Audit&amp;VAR:KEY=WNEPKPEBAB&amp;VAR:QUERY=RkZfRU5UUlBSX1ZBTF9EQUlMWShOT1csLCwsLCdESUwnKQ==&amp;WINDOW=FIRST_POPUP&amp;HEIGHT=450&amp;WIDTH=","450&amp;START_MAXIMIZED=FALSE&amp;VAR:CALENDAR=FIVEDAY&amp;VAR:SYMBOL=LIFE&amp;VAR:INDEX=0"}</definedName>
    <definedName name="_127__FDSAUDITLINK___2" hidden="1">{"fdsup://directions/FAT Viewer?action=UPDATE&amp;creator=factset&amp;DYN_ARGS=TRUE&amp;DOC_NAME=FAT:FQL_AUDITING_CLIENT_TEMPLATE.FAT&amp;display_string=Audit&amp;VAR:KEY=WNEPKPEBAB&amp;VAR:QUERY=RkZfRU5UUlBSX1ZBTF9EQUlMWShOT1csLCwsLCdESUwnKQ==&amp;WINDOW=FIRST_POPUP&amp;HEIGHT=450&amp;WIDTH=","450&amp;START_MAXIMIZED=FALSE&amp;VAR:CALENDAR=FIVEDAY&amp;VAR:SYMBOL=LIFE&amp;VAR:INDEX=0"}</definedName>
    <definedName name="_128__FDSAUDITLINK__" localSheetId="7" hidden="1">{"fdsup://directions/FAT Viewer?action=UPDATE&amp;creator=factset&amp;DYN_ARGS=TRUE&amp;DOC_NAME=FAT:FQL_AUDITING_CLIENT_TEMPLATE.FAT&amp;display_string=Audit&amp;VAR:KEY=WHUFCHOVAN&amp;VAR:QUERY=RkZfRU5UUlBSX1ZBTF9EQUlMWShOT1csLCwsLCdESUwnKQ==&amp;WINDOW=FIRST_POPUP&amp;HEIGHT=450&amp;WIDTH=","450&amp;START_MAXIMIZED=FALSE&amp;VAR:CALENDAR=FIVEDAY&amp;VAR:SYMBOL=WAT&amp;VAR:INDEX=0"}</definedName>
    <definedName name="_128__FDSAUDITLINK__" localSheetId="5" hidden="1">{"fdsup://directions/FAT Viewer?action=UPDATE&amp;creator=factset&amp;DYN_ARGS=TRUE&amp;DOC_NAME=FAT:FQL_AUDITING_CLIENT_TEMPLATE.FAT&amp;display_string=Audit&amp;VAR:KEY=WHUFCHOVAN&amp;VAR:QUERY=RkZfRU5UUlBSX1ZBTF9EQUlMWShOT1csLCwsLCdESUwnKQ==&amp;WINDOW=FIRST_POPUP&amp;HEIGHT=450&amp;WIDTH=","450&amp;START_MAXIMIZED=FALSE&amp;VAR:CALENDAR=FIVEDAY&amp;VAR:SYMBOL=WAT&amp;VAR:INDEX=0"}</definedName>
    <definedName name="_128__FDSAUDITLINK__" hidden="1">{"fdsup://directions/FAT Viewer?action=UPDATE&amp;creator=factset&amp;DYN_ARGS=TRUE&amp;DOC_NAME=FAT:FQL_AUDITING_CLIENT_TEMPLATE.FAT&amp;display_string=Audit&amp;VAR:KEY=WHUFCHOVAN&amp;VAR:QUERY=RkZfRU5UUlBSX1ZBTF9EQUlMWShOT1csLCwsLCdESUwnKQ==&amp;WINDOW=FIRST_POPUP&amp;HEIGHT=450&amp;WIDTH=","450&amp;START_MAXIMIZED=FALSE&amp;VAR:CALENDAR=FIVEDAY&amp;VAR:SYMBOL=WAT&amp;VAR:INDEX=0"}</definedName>
    <definedName name="_128__FDSAUDITLINK___1" hidden="1">{"fdsup://directions/FAT Viewer?action=UPDATE&amp;creator=factset&amp;DYN_ARGS=TRUE&amp;DOC_NAME=FAT:FQL_AUDITING_CLIENT_TEMPLATE.FAT&amp;display_string=Audit&amp;VAR:KEY=WHUFCHOVAN&amp;VAR:QUERY=RkZfRU5UUlBSX1ZBTF9EQUlMWShOT1csLCwsLCdESUwnKQ==&amp;WINDOW=FIRST_POPUP&amp;HEIGHT=450&amp;WIDTH=","450&amp;START_MAXIMIZED=FALSE&amp;VAR:CALENDAR=FIVEDAY&amp;VAR:SYMBOL=WAT&amp;VAR:INDEX=0"}</definedName>
    <definedName name="_128__FDSAUDITLINK___2" hidden="1">{"fdsup://directions/FAT Viewer?action=UPDATE&amp;creator=factset&amp;DYN_ARGS=TRUE&amp;DOC_NAME=FAT:FQL_AUDITING_CLIENT_TEMPLATE.FAT&amp;display_string=Audit&amp;VAR:KEY=WHUFCHOVAN&amp;VAR:QUERY=RkZfRU5UUlBSX1ZBTF9EQUlMWShOT1csLCwsLCdESUwnKQ==&amp;WINDOW=FIRST_POPUP&amp;HEIGHT=450&amp;WIDTH=","450&amp;START_MAXIMIZED=FALSE&amp;VAR:CALENDAR=FIVEDAY&amp;VAR:SYMBOL=WAT&amp;VAR:INDEX=0"}</definedName>
    <definedName name="_129__FDSAUDITLINK__" localSheetId="7" hidden="1">{"fdsup://directions/FAT Viewer?action=UPDATE&amp;creator=factset&amp;DYN_ARGS=TRUE&amp;DOC_NAME=FAT:FQL_AUDITING_CLIENT_TEMPLATE.FAT&amp;display_string=Audit&amp;VAR:KEY=CBYLCVWFIZ&amp;VAR:QUERY=RkZfRU5UUlBSX1ZBTF9EQUlMWShOT1csLCwsLCdESUwnKQ==&amp;WINDOW=FIRST_POPUP&amp;HEIGHT=450&amp;WIDTH=","450&amp;START_MAXIMIZED=FALSE&amp;VAR:CALENDAR=FIVEDAY&amp;VAR:SYMBOL=TMO&amp;VAR:INDEX=0"}</definedName>
    <definedName name="_129__FDSAUDITLINK__" localSheetId="5" hidden="1">{"fdsup://directions/FAT Viewer?action=UPDATE&amp;creator=factset&amp;DYN_ARGS=TRUE&amp;DOC_NAME=FAT:FQL_AUDITING_CLIENT_TEMPLATE.FAT&amp;display_string=Audit&amp;VAR:KEY=CBYLCVWFIZ&amp;VAR:QUERY=RkZfRU5UUlBSX1ZBTF9EQUlMWShOT1csLCwsLCdESUwnKQ==&amp;WINDOW=FIRST_POPUP&amp;HEIGHT=450&amp;WIDTH=","450&amp;START_MAXIMIZED=FALSE&amp;VAR:CALENDAR=FIVEDAY&amp;VAR:SYMBOL=TMO&amp;VAR:INDEX=0"}</definedName>
    <definedName name="_129__FDSAUDITLINK__" hidden="1">{"fdsup://directions/FAT Viewer?action=UPDATE&amp;creator=factset&amp;DYN_ARGS=TRUE&amp;DOC_NAME=FAT:FQL_AUDITING_CLIENT_TEMPLATE.FAT&amp;display_string=Audit&amp;VAR:KEY=CBYLCVWFIZ&amp;VAR:QUERY=RkZfRU5UUlBSX1ZBTF9EQUlMWShOT1csLCwsLCdESUwnKQ==&amp;WINDOW=FIRST_POPUP&amp;HEIGHT=450&amp;WIDTH=","450&amp;START_MAXIMIZED=FALSE&amp;VAR:CALENDAR=FIVEDAY&amp;VAR:SYMBOL=TMO&amp;VAR:INDEX=0"}</definedName>
    <definedName name="_129__FDSAUDITLINK___1" hidden="1">{"fdsup://directions/FAT Viewer?action=UPDATE&amp;creator=factset&amp;DYN_ARGS=TRUE&amp;DOC_NAME=FAT:FQL_AUDITING_CLIENT_TEMPLATE.FAT&amp;display_string=Audit&amp;VAR:KEY=CBYLCVWFIZ&amp;VAR:QUERY=RkZfRU5UUlBSX1ZBTF9EQUlMWShOT1csLCwsLCdESUwnKQ==&amp;WINDOW=FIRST_POPUP&amp;HEIGHT=450&amp;WIDTH=","450&amp;START_MAXIMIZED=FALSE&amp;VAR:CALENDAR=FIVEDAY&amp;VAR:SYMBOL=TMO&amp;VAR:INDEX=0"}</definedName>
    <definedName name="_129__FDSAUDITLINK___2" hidden="1">{"fdsup://directions/FAT Viewer?action=UPDATE&amp;creator=factset&amp;DYN_ARGS=TRUE&amp;DOC_NAME=FAT:FQL_AUDITING_CLIENT_TEMPLATE.FAT&amp;display_string=Audit&amp;VAR:KEY=CBYLCVWFIZ&amp;VAR:QUERY=RkZfRU5UUlBSX1ZBTF9EQUlMWShOT1csLCwsLCdESUwnKQ==&amp;WINDOW=FIRST_POPUP&amp;HEIGHT=450&amp;WIDTH=","450&amp;START_MAXIMIZED=FALSE&amp;VAR:CALENDAR=FIVEDAY&amp;VAR:SYMBOL=TMO&amp;VAR:INDEX=0"}</definedName>
    <definedName name="_13__FDSAUDITLINK__" localSheetId="7" hidden="1">{"fdsup://directions/FAT Viewer?action=UPDATE&amp;creator=factset&amp;DYN_ARGS=TRUE&amp;DOC_NAME=FAT:FQL_AUDITING_CLIENT_TEMPLATE.FAT&amp;display_string=Audit&amp;VAR:KEY=WFWDAHQNOB&amp;VAR:QUERY=RkZfREVCVChBTk4sMCk=&amp;WINDOW=FIRST_POPUP&amp;HEIGHT=450&amp;WIDTH=450&amp;START_MAXIMIZED=FALSE&amp;VA","R:CALENDAR=US&amp;VAR:SYMBOL=MDT&amp;VAR:INDEX=0"}</definedName>
    <definedName name="_13__FDSAUDITLINK__" localSheetId="5" hidden="1">{"fdsup://directions/FAT Viewer?action=UPDATE&amp;creator=factset&amp;DYN_ARGS=TRUE&amp;DOC_NAME=FAT:FQL_AUDITING_CLIENT_TEMPLATE.FAT&amp;display_string=Audit&amp;VAR:KEY=WFWDAHQNOB&amp;VAR:QUERY=RkZfREVCVChBTk4sMCk=&amp;WINDOW=FIRST_POPUP&amp;HEIGHT=450&amp;WIDTH=450&amp;START_MAXIMIZED=FALSE&amp;VA","R:CALENDAR=US&amp;VAR:SYMBOL=MDT&amp;VAR:INDEX=0"}</definedName>
    <definedName name="_13__FDSAUDITLINK__" hidden="1">{"fdsup://directions/FAT Viewer?action=UPDATE&amp;creator=factset&amp;DYN_ARGS=TRUE&amp;DOC_NAME=FAT:FQL_AUDITING_CLIENT_TEMPLATE.FAT&amp;display_string=Audit&amp;VAR:KEY=WFWDAHQNOB&amp;VAR:QUERY=RkZfREVCVChBTk4sMCk=&amp;WINDOW=FIRST_POPUP&amp;HEIGHT=450&amp;WIDTH=450&amp;START_MAXIMIZED=FALSE&amp;VA","R:CALENDAR=US&amp;VAR:SYMBOL=MDT&amp;VAR:INDEX=0"}</definedName>
    <definedName name="_13__FDSAUDITLINK___1" hidden="1">{"fdsup://directions/FAT Viewer?action=UPDATE&amp;creator=factset&amp;DYN_ARGS=TRUE&amp;DOC_NAME=FAT:FQL_AUDITING_CLIENT_TEMPLATE.FAT&amp;display_string=Audit&amp;VAR:KEY=WFWDAHQNOB&amp;VAR:QUERY=RkZfREVCVChBTk4sMCk=&amp;WINDOW=FIRST_POPUP&amp;HEIGHT=450&amp;WIDTH=450&amp;START_MAXIMIZED=FALSE&amp;VA","R:CALENDAR=US&amp;VAR:SYMBOL=MDT&amp;VAR:INDEX=0"}</definedName>
    <definedName name="_13__FDSAUDITLINK___2" hidden="1">{"fdsup://directions/FAT Viewer?action=UPDATE&amp;creator=factset&amp;DYN_ARGS=TRUE&amp;DOC_NAME=FAT:FQL_AUDITING_CLIENT_TEMPLATE.FAT&amp;display_string=Audit&amp;VAR:KEY=WFWDAHQNOB&amp;VAR:QUERY=RkZfREVCVChBTk4sMCk=&amp;WINDOW=FIRST_POPUP&amp;HEIGHT=450&amp;WIDTH=450&amp;START_MAXIMIZED=FALSE&amp;VA","R:CALENDAR=US&amp;VAR:SYMBOL=MDT&amp;VAR:INDEX=0"}</definedName>
    <definedName name="_130__FDSAUDITLINK__" localSheetId="7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30__FDSAUDITLINK__" localSheetId="5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30__FDSAUDITLINK__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30__FDSAUDITLINK___1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30__FDSAUDITLINK___2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31__FDSAUDITLINK__" localSheetId="7" hidden="1">{"fdsup://directions/FAT Viewer?action=UPDATE&amp;creator=factset&amp;DYN_ARGS=TRUE&amp;DOC_NAME=FAT:FQL_AUDITING_CLIENT_TEMPLATE.FAT&amp;display_string=Audit&amp;VAR:KEY=OZKRUNWHIL&amp;VAR:QUERY=RkZfRU5UUlBSX1ZBTF9EQUlMWShOT1csLCwsLCdESUwnKQ==&amp;WINDOW=FIRST_POPUP&amp;HEIGHT=450&amp;WIDTH=","450&amp;START_MAXIMIZED=FALSE&amp;VAR:CALENDAR=FIVEDAY&amp;VAR:SYMBOL=MTD&amp;VAR:INDEX=0"}</definedName>
    <definedName name="_131__FDSAUDITLINK__" localSheetId="5" hidden="1">{"fdsup://directions/FAT Viewer?action=UPDATE&amp;creator=factset&amp;DYN_ARGS=TRUE&amp;DOC_NAME=FAT:FQL_AUDITING_CLIENT_TEMPLATE.FAT&amp;display_string=Audit&amp;VAR:KEY=OZKRUNWHIL&amp;VAR:QUERY=RkZfRU5UUlBSX1ZBTF9EQUlMWShOT1csLCwsLCdESUwnKQ==&amp;WINDOW=FIRST_POPUP&amp;HEIGHT=450&amp;WIDTH=","450&amp;START_MAXIMIZED=FALSE&amp;VAR:CALENDAR=FIVEDAY&amp;VAR:SYMBOL=MTD&amp;VAR:INDEX=0"}</definedName>
    <definedName name="_131__FDSAUDITLINK__" hidden="1">{"fdsup://directions/FAT Viewer?action=UPDATE&amp;creator=factset&amp;DYN_ARGS=TRUE&amp;DOC_NAME=FAT:FQL_AUDITING_CLIENT_TEMPLATE.FAT&amp;display_string=Audit&amp;VAR:KEY=OZKRUNWHIL&amp;VAR:QUERY=RkZfRU5UUlBSX1ZBTF9EQUlMWShOT1csLCwsLCdESUwnKQ==&amp;WINDOW=FIRST_POPUP&amp;HEIGHT=450&amp;WIDTH=","450&amp;START_MAXIMIZED=FALSE&amp;VAR:CALENDAR=FIVEDAY&amp;VAR:SYMBOL=MTD&amp;VAR:INDEX=0"}</definedName>
    <definedName name="_131__FDSAUDITLINK___1" hidden="1">{"fdsup://directions/FAT Viewer?action=UPDATE&amp;creator=factset&amp;DYN_ARGS=TRUE&amp;DOC_NAME=FAT:FQL_AUDITING_CLIENT_TEMPLATE.FAT&amp;display_string=Audit&amp;VAR:KEY=OZKRUNWHIL&amp;VAR:QUERY=RkZfRU5UUlBSX1ZBTF9EQUlMWShOT1csLCwsLCdESUwnKQ==&amp;WINDOW=FIRST_POPUP&amp;HEIGHT=450&amp;WIDTH=","450&amp;START_MAXIMIZED=FALSE&amp;VAR:CALENDAR=FIVEDAY&amp;VAR:SYMBOL=MTD&amp;VAR:INDEX=0"}</definedName>
    <definedName name="_131__FDSAUDITLINK___2" hidden="1">{"fdsup://directions/FAT Viewer?action=UPDATE&amp;creator=factset&amp;DYN_ARGS=TRUE&amp;DOC_NAME=FAT:FQL_AUDITING_CLIENT_TEMPLATE.FAT&amp;display_string=Audit&amp;VAR:KEY=OZKRUNWHIL&amp;VAR:QUERY=RkZfRU5UUlBSX1ZBTF9EQUlMWShOT1csLCwsLCdESUwnKQ==&amp;WINDOW=FIRST_POPUP&amp;HEIGHT=450&amp;WIDTH=","450&amp;START_MAXIMIZED=FALSE&amp;VAR:CALENDAR=FIVEDAY&amp;VAR:SYMBOL=MTD&amp;VAR:INDEX=0"}</definedName>
    <definedName name="_132__FDSAUDITLINK__" localSheetId="7" hidden="1">{"fdsup://directions/FAT Viewer?action=UPDATE&amp;creator=factset&amp;DYN_ARGS=TRUE&amp;DOC_NAME=FAT:FQL_AUDITING_CLIENT_TEMPLATE.FAT&amp;display_string=Audit&amp;VAR:KEY=EFKFOZQBKX&amp;VAR:QUERY=RkZfRU5UUlBSX1ZBTF9EQUlMWShOT1csLCwsLCdESUwnKQ==&amp;WINDOW=FIRST_POPUP&amp;HEIGHT=450&amp;WIDTH=","450&amp;START_MAXIMIZED=FALSE&amp;VAR:CALENDAR=FIVEDAY&amp;VAR:SYMBOL=PKI&amp;VAR:INDEX=0"}</definedName>
    <definedName name="_132__FDSAUDITLINK__" localSheetId="5" hidden="1">{"fdsup://directions/FAT Viewer?action=UPDATE&amp;creator=factset&amp;DYN_ARGS=TRUE&amp;DOC_NAME=FAT:FQL_AUDITING_CLIENT_TEMPLATE.FAT&amp;display_string=Audit&amp;VAR:KEY=EFKFOZQBKX&amp;VAR:QUERY=RkZfRU5UUlBSX1ZBTF9EQUlMWShOT1csLCwsLCdESUwnKQ==&amp;WINDOW=FIRST_POPUP&amp;HEIGHT=450&amp;WIDTH=","450&amp;START_MAXIMIZED=FALSE&amp;VAR:CALENDAR=FIVEDAY&amp;VAR:SYMBOL=PKI&amp;VAR:INDEX=0"}</definedName>
    <definedName name="_132__FDSAUDITLINK__" hidden="1">{"fdsup://directions/FAT Viewer?action=UPDATE&amp;creator=factset&amp;DYN_ARGS=TRUE&amp;DOC_NAME=FAT:FQL_AUDITING_CLIENT_TEMPLATE.FAT&amp;display_string=Audit&amp;VAR:KEY=EFKFOZQBKX&amp;VAR:QUERY=RkZfRU5UUlBSX1ZBTF9EQUlMWShOT1csLCwsLCdESUwnKQ==&amp;WINDOW=FIRST_POPUP&amp;HEIGHT=450&amp;WIDTH=","450&amp;START_MAXIMIZED=FALSE&amp;VAR:CALENDAR=FIVEDAY&amp;VAR:SYMBOL=PKI&amp;VAR:INDEX=0"}</definedName>
    <definedName name="_132__FDSAUDITLINK___1" hidden="1">{"fdsup://directions/FAT Viewer?action=UPDATE&amp;creator=factset&amp;DYN_ARGS=TRUE&amp;DOC_NAME=FAT:FQL_AUDITING_CLIENT_TEMPLATE.FAT&amp;display_string=Audit&amp;VAR:KEY=EFKFOZQBKX&amp;VAR:QUERY=RkZfRU5UUlBSX1ZBTF9EQUlMWShOT1csLCwsLCdESUwnKQ==&amp;WINDOW=FIRST_POPUP&amp;HEIGHT=450&amp;WIDTH=","450&amp;START_MAXIMIZED=FALSE&amp;VAR:CALENDAR=FIVEDAY&amp;VAR:SYMBOL=PKI&amp;VAR:INDEX=0"}</definedName>
    <definedName name="_132__FDSAUDITLINK___2" hidden="1">{"fdsup://directions/FAT Viewer?action=UPDATE&amp;creator=factset&amp;DYN_ARGS=TRUE&amp;DOC_NAME=FAT:FQL_AUDITING_CLIENT_TEMPLATE.FAT&amp;display_string=Audit&amp;VAR:KEY=EFKFOZQBKX&amp;VAR:QUERY=RkZfRU5UUlBSX1ZBTF9EQUlMWShOT1csLCwsLCdESUwnKQ==&amp;WINDOW=FIRST_POPUP&amp;HEIGHT=450&amp;WIDTH=","450&amp;START_MAXIMIZED=FALSE&amp;VAR:CALENDAR=FIVEDAY&amp;VAR:SYMBOL=PKI&amp;VAR:INDEX=0"}</definedName>
    <definedName name="_133__FDSAUDITLINK__" localSheetId="7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133__FDSAUDITLINK__" localSheetId="5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133__FDSAUDITLINK__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133__FDSAUDITLINK___1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133__FDSAUDITLINK___2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134__FDSAUDITLINK__" localSheetId="7" hidden="1">{"fdsup://directions/FAT Viewer?action=UPDATE&amp;creator=factset&amp;DYN_ARGS=TRUE&amp;DOC_NAME=FAT:FQL_AUDITING_CLIENT_TEMPLATE.FAT&amp;display_string=Audit&amp;VAR:KEY=ELINIDUNIT&amp;VAR:QUERY=RkZfRU5UUlBSX1ZBTF9EQUlMWShOT1csLCwsLCdESUwnKQ==&amp;WINDOW=FIRST_POPUP&amp;HEIGHT=450&amp;WIDTH=","450&amp;START_MAXIMIZED=FALSE&amp;VAR:CALENDAR=FIVEDAY&amp;VAR:SYMBOL=ZIGO&amp;VAR:INDEX=0"}</definedName>
    <definedName name="_134__FDSAUDITLINK__" localSheetId="5" hidden="1">{"fdsup://directions/FAT Viewer?action=UPDATE&amp;creator=factset&amp;DYN_ARGS=TRUE&amp;DOC_NAME=FAT:FQL_AUDITING_CLIENT_TEMPLATE.FAT&amp;display_string=Audit&amp;VAR:KEY=ELINIDUNIT&amp;VAR:QUERY=RkZfRU5UUlBSX1ZBTF9EQUlMWShOT1csLCwsLCdESUwnKQ==&amp;WINDOW=FIRST_POPUP&amp;HEIGHT=450&amp;WIDTH=","450&amp;START_MAXIMIZED=FALSE&amp;VAR:CALENDAR=FIVEDAY&amp;VAR:SYMBOL=ZIGO&amp;VAR:INDEX=0"}</definedName>
    <definedName name="_134__FDSAUDITLINK__" hidden="1">{"fdsup://directions/FAT Viewer?action=UPDATE&amp;creator=factset&amp;DYN_ARGS=TRUE&amp;DOC_NAME=FAT:FQL_AUDITING_CLIENT_TEMPLATE.FAT&amp;display_string=Audit&amp;VAR:KEY=ELINIDUNIT&amp;VAR:QUERY=RkZfRU5UUlBSX1ZBTF9EQUlMWShOT1csLCwsLCdESUwnKQ==&amp;WINDOW=FIRST_POPUP&amp;HEIGHT=450&amp;WIDTH=","450&amp;START_MAXIMIZED=FALSE&amp;VAR:CALENDAR=FIVEDAY&amp;VAR:SYMBOL=ZIGO&amp;VAR:INDEX=0"}</definedName>
    <definedName name="_134__FDSAUDITLINK___1" hidden="1">{"fdsup://directions/FAT Viewer?action=UPDATE&amp;creator=factset&amp;DYN_ARGS=TRUE&amp;DOC_NAME=FAT:FQL_AUDITING_CLIENT_TEMPLATE.FAT&amp;display_string=Audit&amp;VAR:KEY=ELINIDUNIT&amp;VAR:QUERY=RkZfRU5UUlBSX1ZBTF9EQUlMWShOT1csLCwsLCdESUwnKQ==&amp;WINDOW=FIRST_POPUP&amp;HEIGHT=450&amp;WIDTH=","450&amp;START_MAXIMIZED=FALSE&amp;VAR:CALENDAR=FIVEDAY&amp;VAR:SYMBOL=ZIGO&amp;VAR:INDEX=0"}</definedName>
    <definedName name="_134__FDSAUDITLINK___2" hidden="1">{"fdsup://directions/FAT Viewer?action=UPDATE&amp;creator=factset&amp;DYN_ARGS=TRUE&amp;DOC_NAME=FAT:FQL_AUDITING_CLIENT_TEMPLATE.FAT&amp;display_string=Audit&amp;VAR:KEY=ELINIDUNIT&amp;VAR:QUERY=RkZfRU5UUlBSX1ZBTF9EQUlMWShOT1csLCwsLCdESUwnKQ==&amp;WINDOW=FIRST_POPUP&amp;HEIGHT=450&amp;WIDTH=","450&amp;START_MAXIMIZED=FALSE&amp;VAR:CALENDAR=FIVEDAY&amp;VAR:SYMBOL=ZIGO&amp;VAR:INDEX=0"}</definedName>
    <definedName name="_135__FDSAUDITLINK__" localSheetId="7" hidden="1">{"fdsup://directions/FAT Viewer?action=UPDATE&amp;creator=factset&amp;DYN_ARGS=TRUE&amp;DOC_NAME=FAT:FQL_AUDITING_CLIENT_TEMPLATE.FAT&amp;display_string=Audit&amp;VAR:KEY=CBWBYDQBYR&amp;VAR:QUERY=RkZfRU5UUlBSX1ZBTF9EQUlMWShOT1csLCwsLCdESUwnKQ==&amp;WINDOW=FIRST_POPUP&amp;HEIGHT=450&amp;WIDTH=","450&amp;START_MAXIMIZED=FALSE&amp;VAR:CALENDAR=FIVEDAY&amp;VAR:SYMBOL=LCRY&amp;VAR:INDEX=0"}</definedName>
    <definedName name="_135__FDSAUDITLINK__" localSheetId="5" hidden="1">{"fdsup://directions/FAT Viewer?action=UPDATE&amp;creator=factset&amp;DYN_ARGS=TRUE&amp;DOC_NAME=FAT:FQL_AUDITING_CLIENT_TEMPLATE.FAT&amp;display_string=Audit&amp;VAR:KEY=CBWBYDQBYR&amp;VAR:QUERY=RkZfRU5UUlBSX1ZBTF9EQUlMWShOT1csLCwsLCdESUwnKQ==&amp;WINDOW=FIRST_POPUP&amp;HEIGHT=450&amp;WIDTH=","450&amp;START_MAXIMIZED=FALSE&amp;VAR:CALENDAR=FIVEDAY&amp;VAR:SYMBOL=LCRY&amp;VAR:INDEX=0"}</definedName>
    <definedName name="_135__FDSAUDITLINK__" hidden="1">{"fdsup://directions/FAT Viewer?action=UPDATE&amp;creator=factset&amp;DYN_ARGS=TRUE&amp;DOC_NAME=FAT:FQL_AUDITING_CLIENT_TEMPLATE.FAT&amp;display_string=Audit&amp;VAR:KEY=CBWBYDQBYR&amp;VAR:QUERY=RkZfRU5UUlBSX1ZBTF9EQUlMWShOT1csLCwsLCdESUwnKQ==&amp;WINDOW=FIRST_POPUP&amp;HEIGHT=450&amp;WIDTH=","450&amp;START_MAXIMIZED=FALSE&amp;VAR:CALENDAR=FIVEDAY&amp;VAR:SYMBOL=LCRY&amp;VAR:INDEX=0"}</definedName>
    <definedName name="_135__FDSAUDITLINK___1" hidden="1">{"fdsup://directions/FAT Viewer?action=UPDATE&amp;creator=factset&amp;DYN_ARGS=TRUE&amp;DOC_NAME=FAT:FQL_AUDITING_CLIENT_TEMPLATE.FAT&amp;display_string=Audit&amp;VAR:KEY=CBWBYDQBYR&amp;VAR:QUERY=RkZfRU5UUlBSX1ZBTF9EQUlMWShOT1csLCwsLCdESUwnKQ==&amp;WINDOW=FIRST_POPUP&amp;HEIGHT=450&amp;WIDTH=","450&amp;START_MAXIMIZED=FALSE&amp;VAR:CALENDAR=FIVEDAY&amp;VAR:SYMBOL=LCRY&amp;VAR:INDEX=0"}</definedName>
    <definedName name="_135__FDSAUDITLINK___2" hidden="1">{"fdsup://directions/FAT Viewer?action=UPDATE&amp;creator=factset&amp;DYN_ARGS=TRUE&amp;DOC_NAME=FAT:FQL_AUDITING_CLIENT_TEMPLATE.FAT&amp;display_string=Audit&amp;VAR:KEY=CBWBYDQBYR&amp;VAR:QUERY=RkZfRU5UUlBSX1ZBTF9EQUlMWShOT1csLCwsLCdESUwnKQ==&amp;WINDOW=FIRST_POPUP&amp;HEIGHT=450&amp;WIDTH=","450&amp;START_MAXIMIZED=FALSE&amp;VAR:CALENDAR=FIVEDAY&amp;VAR:SYMBOL=LCRY&amp;VAR:INDEX=0"}</definedName>
    <definedName name="_136__FDSAUDITLINK__" localSheetId="7" hidden="1">{"fdsup://directions/FAT Viewer?action=UPDATE&amp;creator=factset&amp;DYN_ARGS=TRUE&amp;DOC_NAME=FAT:FQL_AUDITING_CLIENT_TEMPLATE.FAT&amp;display_string=Audit&amp;VAR:KEY=ODUDADIPCV&amp;VAR:QUERY=RkZfRU5UUlBSX1ZBTF9EQUlMWShOT1csLCwsLCdESUwnKQ==&amp;WINDOW=FIRST_POPUP&amp;HEIGHT=450&amp;WIDTH=","450&amp;START_MAXIMIZED=FALSE&amp;VAR:CALENDAR=FIVEDAY&amp;VAR:SYMBOL=TER&amp;VAR:INDEX=0"}</definedName>
    <definedName name="_136__FDSAUDITLINK__" localSheetId="5" hidden="1">{"fdsup://directions/FAT Viewer?action=UPDATE&amp;creator=factset&amp;DYN_ARGS=TRUE&amp;DOC_NAME=FAT:FQL_AUDITING_CLIENT_TEMPLATE.FAT&amp;display_string=Audit&amp;VAR:KEY=ODUDADIPCV&amp;VAR:QUERY=RkZfRU5UUlBSX1ZBTF9EQUlMWShOT1csLCwsLCdESUwnKQ==&amp;WINDOW=FIRST_POPUP&amp;HEIGHT=450&amp;WIDTH=","450&amp;START_MAXIMIZED=FALSE&amp;VAR:CALENDAR=FIVEDAY&amp;VAR:SYMBOL=TER&amp;VAR:INDEX=0"}</definedName>
    <definedName name="_136__FDSAUDITLINK__" hidden="1">{"fdsup://directions/FAT Viewer?action=UPDATE&amp;creator=factset&amp;DYN_ARGS=TRUE&amp;DOC_NAME=FAT:FQL_AUDITING_CLIENT_TEMPLATE.FAT&amp;display_string=Audit&amp;VAR:KEY=ODUDADIPCV&amp;VAR:QUERY=RkZfRU5UUlBSX1ZBTF9EQUlMWShOT1csLCwsLCdESUwnKQ==&amp;WINDOW=FIRST_POPUP&amp;HEIGHT=450&amp;WIDTH=","450&amp;START_MAXIMIZED=FALSE&amp;VAR:CALENDAR=FIVEDAY&amp;VAR:SYMBOL=TER&amp;VAR:INDEX=0"}</definedName>
    <definedName name="_136__FDSAUDITLINK___1" hidden="1">{"fdsup://directions/FAT Viewer?action=UPDATE&amp;creator=factset&amp;DYN_ARGS=TRUE&amp;DOC_NAME=FAT:FQL_AUDITING_CLIENT_TEMPLATE.FAT&amp;display_string=Audit&amp;VAR:KEY=ODUDADIPCV&amp;VAR:QUERY=RkZfRU5UUlBSX1ZBTF9EQUlMWShOT1csLCwsLCdESUwnKQ==&amp;WINDOW=FIRST_POPUP&amp;HEIGHT=450&amp;WIDTH=","450&amp;START_MAXIMIZED=FALSE&amp;VAR:CALENDAR=FIVEDAY&amp;VAR:SYMBOL=TER&amp;VAR:INDEX=0"}</definedName>
    <definedName name="_136__FDSAUDITLINK___2" hidden="1">{"fdsup://directions/FAT Viewer?action=UPDATE&amp;creator=factset&amp;DYN_ARGS=TRUE&amp;DOC_NAME=FAT:FQL_AUDITING_CLIENT_TEMPLATE.FAT&amp;display_string=Audit&amp;VAR:KEY=ODUDADIPCV&amp;VAR:QUERY=RkZfRU5UUlBSX1ZBTF9EQUlMWShOT1csLCwsLCdESUwnKQ==&amp;WINDOW=FIRST_POPUP&amp;HEIGHT=450&amp;WIDTH=","450&amp;START_MAXIMIZED=FALSE&amp;VAR:CALENDAR=FIVEDAY&amp;VAR:SYMBOL=TER&amp;VAR:INDEX=0"}</definedName>
    <definedName name="_137__FDSAUDITLINK__" localSheetId="7" hidden="1">{"fdsup://directions/FAT Viewer?action=UPDATE&amp;creator=factset&amp;DYN_ARGS=TRUE&amp;DOC_NAME=FAT:FQL_AUDITING_CLIENT_TEMPLATE.FAT&amp;display_string=Audit&amp;VAR:KEY=YHOZMZUDYT&amp;VAR:QUERY=RkZfRU5UUlBSX1ZBTF9EQUlMWShOT1csLCwsLCdESUwnKQ==&amp;WINDOW=FIRST_POPUP&amp;HEIGHT=450&amp;WIDTH=","450&amp;START_MAXIMIZED=FALSE&amp;VAR:CALENDAR=FIVEDAY&amp;VAR:SYMBOL=NATI&amp;VAR:INDEX=0"}</definedName>
    <definedName name="_137__FDSAUDITLINK__" localSheetId="5" hidden="1">{"fdsup://directions/FAT Viewer?action=UPDATE&amp;creator=factset&amp;DYN_ARGS=TRUE&amp;DOC_NAME=FAT:FQL_AUDITING_CLIENT_TEMPLATE.FAT&amp;display_string=Audit&amp;VAR:KEY=YHOZMZUDYT&amp;VAR:QUERY=RkZfRU5UUlBSX1ZBTF9EQUlMWShOT1csLCwsLCdESUwnKQ==&amp;WINDOW=FIRST_POPUP&amp;HEIGHT=450&amp;WIDTH=","450&amp;START_MAXIMIZED=FALSE&amp;VAR:CALENDAR=FIVEDAY&amp;VAR:SYMBOL=NATI&amp;VAR:INDEX=0"}</definedName>
    <definedName name="_137__FDSAUDITLINK__" hidden="1">{"fdsup://directions/FAT Viewer?action=UPDATE&amp;creator=factset&amp;DYN_ARGS=TRUE&amp;DOC_NAME=FAT:FQL_AUDITING_CLIENT_TEMPLATE.FAT&amp;display_string=Audit&amp;VAR:KEY=YHOZMZUDYT&amp;VAR:QUERY=RkZfRU5UUlBSX1ZBTF9EQUlMWShOT1csLCwsLCdESUwnKQ==&amp;WINDOW=FIRST_POPUP&amp;HEIGHT=450&amp;WIDTH=","450&amp;START_MAXIMIZED=FALSE&amp;VAR:CALENDAR=FIVEDAY&amp;VAR:SYMBOL=NATI&amp;VAR:INDEX=0"}</definedName>
    <definedName name="_137__FDSAUDITLINK___1" hidden="1">{"fdsup://directions/FAT Viewer?action=UPDATE&amp;creator=factset&amp;DYN_ARGS=TRUE&amp;DOC_NAME=FAT:FQL_AUDITING_CLIENT_TEMPLATE.FAT&amp;display_string=Audit&amp;VAR:KEY=YHOZMZUDYT&amp;VAR:QUERY=RkZfRU5UUlBSX1ZBTF9EQUlMWShOT1csLCwsLCdESUwnKQ==&amp;WINDOW=FIRST_POPUP&amp;HEIGHT=450&amp;WIDTH=","450&amp;START_MAXIMIZED=FALSE&amp;VAR:CALENDAR=FIVEDAY&amp;VAR:SYMBOL=NATI&amp;VAR:INDEX=0"}</definedName>
    <definedName name="_137__FDSAUDITLINK___2" hidden="1">{"fdsup://directions/FAT Viewer?action=UPDATE&amp;creator=factset&amp;DYN_ARGS=TRUE&amp;DOC_NAME=FAT:FQL_AUDITING_CLIENT_TEMPLATE.FAT&amp;display_string=Audit&amp;VAR:KEY=YHOZMZUDYT&amp;VAR:QUERY=RkZfRU5UUlBSX1ZBTF9EQUlMWShOT1csLCwsLCdESUwnKQ==&amp;WINDOW=FIRST_POPUP&amp;HEIGHT=450&amp;WIDTH=","450&amp;START_MAXIMIZED=FALSE&amp;VAR:CALENDAR=FIVEDAY&amp;VAR:SYMBOL=NATI&amp;VAR:INDEX=0"}</definedName>
    <definedName name="_138__FDSAUDITLINK__" localSheetId="7" hidden="1">{"fdsup://directions/FAT Viewer?action=UPDATE&amp;creator=factset&amp;DYN_ARGS=TRUE&amp;DOC_NAME=FAT:FQL_AUDITING_CLIENT_TEMPLATE.FAT&amp;display_string=Audit&amp;VAR:KEY=UZOZGRKXKL&amp;VAR:QUERY=RkZfRU5UUlBSX1ZBTF9EQUlMWShOT1csLCwsLCdESUwnKQ==&amp;WINDOW=FIRST_POPUP&amp;HEIGHT=450&amp;WIDTH=","450&amp;START_MAXIMIZED=FALSE&amp;VAR:CALENDAR=FIVEDAY&amp;VAR:SYMBOL=JDSU&amp;VAR:INDEX=0"}</definedName>
    <definedName name="_138__FDSAUDITLINK__" localSheetId="5" hidden="1">{"fdsup://directions/FAT Viewer?action=UPDATE&amp;creator=factset&amp;DYN_ARGS=TRUE&amp;DOC_NAME=FAT:FQL_AUDITING_CLIENT_TEMPLATE.FAT&amp;display_string=Audit&amp;VAR:KEY=UZOZGRKXKL&amp;VAR:QUERY=RkZfRU5UUlBSX1ZBTF9EQUlMWShOT1csLCwsLCdESUwnKQ==&amp;WINDOW=FIRST_POPUP&amp;HEIGHT=450&amp;WIDTH=","450&amp;START_MAXIMIZED=FALSE&amp;VAR:CALENDAR=FIVEDAY&amp;VAR:SYMBOL=JDSU&amp;VAR:INDEX=0"}</definedName>
    <definedName name="_138__FDSAUDITLINK__" hidden="1">{"fdsup://directions/FAT Viewer?action=UPDATE&amp;creator=factset&amp;DYN_ARGS=TRUE&amp;DOC_NAME=FAT:FQL_AUDITING_CLIENT_TEMPLATE.FAT&amp;display_string=Audit&amp;VAR:KEY=UZOZGRKXKL&amp;VAR:QUERY=RkZfRU5UUlBSX1ZBTF9EQUlMWShOT1csLCwsLCdESUwnKQ==&amp;WINDOW=FIRST_POPUP&amp;HEIGHT=450&amp;WIDTH=","450&amp;START_MAXIMIZED=FALSE&amp;VAR:CALENDAR=FIVEDAY&amp;VAR:SYMBOL=JDSU&amp;VAR:INDEX=0"}</definedName>
    <definedName name="_138__FDSAUDITLINK___1" hidden="1">{"fdsup://directions/FAT Viewer?action=UPDATE&amp;creator=factset&amp;DYN_ARGS=TRUE&amp;DOC_NAME=FAT:FQL_AUDITING_CLIENT_TEMPLATE.FAT&amp;display_string=Audit&amp;VAR:KEY=UZOZGRKXKL&amp;VAR:QUERY=RkZfRU5UUlBSX1ZBTF9EQUlMWShOT1csLCwsLCdESUwnKQ==&amp;WINDOW=FIRST_POPUP&amp;HEIGHT=450&amp;WIDTH=","450&amp;START_MAXIMIZED=FALSE&amp;VAR:CALENDAR=FIVEDAY&amp;VAR:SYMBOL=JDSU&amp;VAR:INDEX=0"}</definedName>
    <definedName name="_138__FDSAUDITLINK___2" hidden="1">{"fdsup://directions/FAT Viewer?action=UPDATE&amp;creator=factset&amp;DYN_ARGS=TRUE&amp;DOC_NAME=FAT:FQL_AUDITING_CLIENT_TEMPLATE.FAT&amp;display_string=Audit&amp;VAR:KEY=UZOZGRKXKL&amp;VAR:QUERY=RkZfRU5UUlBSX1ZBTF9EQUlMWShOT1csLCwsLCdESUwnKQ==&amp;WINDOW=FIRST_POPUP&amp;HEIGHT=450&amp;WIDTH=","450&amp;START_MAXIMIZED=FALSE&amp;VAR:CALENDAR=FIVEDAY&amp;VAR:SYMBOL=JDSU&amp;VAR:INDEX=0"}</definedName>
    <definedName name="_139__FDSAUDITLINK__" localSheetId="7" hidden="1">{"fdsup://directions/FAT Viewer?action=UPDATE&amp;creator=factset&amp;DYN_ARGS=TRUE&amp;DOC_NAME=FAT:FQL_AUDITING_CLIENT_TEMPLATE.FAT&amp;display_string=Audit&amp;VAR:KEY=QTSVONSRIP&amp;VAR:QUERY=RkZfRU5UUlBSX1ZBTF9EQUlMWShOT1csLCwsLCdESUwnKQ==&amp;WINDOW=FIRST_POPUP&amp;HEIGHT=450&amp;WIDTH=","450&amp;START_MAXIMIZED=FALSE&amp;VAR:CALENDAR=FIVEDAY&amp;VAR:SYMBOL=DHR&amp;VAR:INDEX=0"}</definedName>
    <definedName name="_139__FDSAUDITLINK__" localSheetId="5" hidden="1">{"fdsup://directions/FAT Viewer?action=UPDATE&amp;creator=factset&amp;DYN_ARGS=TRUE&amp;DOC_NAME=FAT:FQL_AUDITING_CLIENT_TEMPLATE.FAT&amp;display_string=Audit&amp;VAR:KEY=QTSVONSRIP&amp;VAR:QUERY=RkZfRU5UUlBSX1ZBTF9EQUlMWShOT1csLCwsLCdESUwnKQ==&amp;WINDOW=FIRST_POPUP&amp;HEIGHT=450&amp;WIDTH=","450&amp;START_MAXIMIZED=FALSE&amp;VAR:CALENDAR=FIVEDAY&amp;VAR:SYMBOL=DHR&amp;VAR:INDEX=0"}</definedName>
    <definedName name="_139__FDSAUDITLINK__" hidden="1">{"fdsup://directions/FAT Viewer?action=UPDATE&amp;creator=factset&amp;DYN_ARGS=TRUE&amp;DOC_NAME=FAT:FQL_AUDITING_CLIENT_TEMPLATE.FAT&amp;display_string=Audit&amp;VAR:KEY=QTSVONSRIP&amp;VAR:QUERY=RkZfRU5UUlBSX1ZBTF9EQUlMWShOT1csLCwsLCdESUwnKQ==&amp;WINDOW=FIRST_POPUP&amp;HEIGHT=450&amp;WIDTH=","450&amp;START_MAXIMIZED=FALSE&amp;VAR:CALENDAR=FIVEDAY&amp;VAR:SYMBOL=DHR&amp;VAR:INDEX=0"}</definedName>
    <definedName name="_139__FDSAUDITLINK___1" hidden="1">{"fdsup://directions/FAT Viewer?action=UPDATE&amp;creator=factset&amp;DYN_ARGS=TRUE&amp;DOC_NAME=FAT:FQL_AUDITING_CLIENT_TEMPLATE.FAT&amp;display_string=Audit&amp;VAR:KEY=QTSVONSRIP&amp;VAR:QUERY=RkZfRU5UUlBSX1ZBTF9EQUlMWShOT1csLCwsLCdESUwnKQ==&amp;WINDOW=FIRST_POPUP&amp;HEIGHT=450&amp;WIDTH=","450&amp;START_MAXIMIZED=FALSE&amp;VAR:CALENDAR=FIVEDAY&amp;VAR:SYMBOL=DHR&amp;VAR:INDEX=0"}</definedName>
    <definedName name="_139__FDSAUDITLINK___2" hidden="1">{"fdsup://directions/FAT Viewer?action=UPDATE&amp;creator=factset&amp;DYN_ARGS=TRUE&amp;DOC_NAME=FAT:FQL_AUDITING_CLIENT_TEMPLATE.FAT&amp;display_string=Audit&amp;VAR:KEY=QTSVONSRIP&amp;VAR:QUERY=RkZfRU5UUlBSX1ZBTF9EQUlMWShOT1csLCwsLCdESUwnKQ==&amp;WINDOW=FIRST_POPUP&amp;HEIGHT=450&amp;WIDTH=","450&amp;START_MAXIMIZED=FALSE&amp;VAR:CALENDAR=FIVEDAY&amp;VAR:SYMBOL=DHR&amp;VAR:INDEX=0"}</definedName>
    <definedName name="_14__FDSAUDITLINK__" localSheetId="7" hidden="1">{"fdsup://directions/FAT Viewer?action=UPDATE&amp;creator=factset&amp;DYN_ARGS=TRUE&amp;DOC_NAME=FAT:FQL_AUDITING_CLIENT_TEMPLATE.FAT&amp;display_string=Audit&amp;VAR:KEY=IHYVYNANAD&amp;VAR:QUERY=RkZfU0hMRFJTX0VRKEFOTiwwKQ==&amp;WINDOW=FIRST_POPUP&amp;HEIGHT=450&amp;WIDTH=450&amp;START_MAXIMIZED=","FALSE&amp;VAR:CALENDAR=US&amp;VAR:SYMBOL=MDT&amp;VAR:INDEX=0"}</definedName>
    <definedName name="_14__FDSAUDITLINK__" localSheetId="5" hidden="1">{"fdsup://directions/FAT Viewer?action=UPDATE&amp;creator=factset&amp;DYN_ARGS=TRUE&amp;DOC_NAME=FAT:FQL_AUDITING_CLIENT_TEMPLATE.FAT&amp;display_string=Audit&amp;VAR:KEY=IHYVYNANAD&amp;VAR:QUERY=RkZfU0hMRFJTX0VRKEFOTiwwKQ==&amp;WINDOW=FIRST_POPUP&amp;HEIGHT=450&amp;WIDTH=450&amp;START_MAXIMIZED=","FALSE&amp;VAR:CALENDAR=US&amp;VAR:SYMBOL=MDT&amp;VAR:INDEX=0"}</definedName>
    <definedName name="_14__FDSAUDITLINK__" hidden="1">{"fdsup://directions/FAT Viewer?action=UPDATE&amp;creator=factset&amp;DYN_ARGS=TRUE&amp;DOC_NAME=FAT:FQL_AUDITING_CLIENT_TEMPLATE.FAT&amp;display_string=Audit&amp;VAR:KEY=IHYVYNANAD&amp;VAR:QUERY=RkZfU0hMRFJTX0VRKEFOTiwwKQ==&amp;WINDOW=FIRST_POPUP&amp;HEIGHT=450&amp;WIDTH=450&amp;START_MAXIMIZED=","FALSE&amp;VAR:CALENDAR=US&amp;VAR:SYMBOL=MDT&amp;VAR:INDEX=0"}</definedName>
    <definedName name="_14__FDSAUDITLINK___1" hidden="1">{"fdsup://directions/FAT Viewer?action=UPDATE&amp;creator=factset&amp;DYN_ARGS=TRUE&amp;DOC_NAME=FAT:FQL_AUDITING_CLIENT_TEMPLATE.FAT&amp;display_string=Audit&amp;VAR:KEY=IHYVYNANAD&amp;VAR:QUERY=RkZfU0hMRFJTX0VRKEFOTiwwKQ==&amp;WINDOW=FIRST_POPUP&amp;HEIGHT=450&amp;WIDTH=450&amp;START_MAXIMIZED=","FALSE&amp;VAR:CALENDAR=US&amp;VAR:SYMBOL=MDT&amp;VAR:INDEX=0"}</definedName>
    <definedName name="_14__FDSAUDITLINK___2" hidden="1">{"fdsup://directions/FAT Viewer?action=UPDATE&amp;creator=factset&amp;DYN_ARGS=TRUE&amp;DOC_NAME=FAT:FQL_AUDITING_CLIENT_TEMPLATE.FAT&amp;display_string=Audit&amp;VAR:KEY=IHYVYNANAD&amp;VAR:QUERY=RkZfU0hMRFJTX0VRKEFOTiwwKQ==&amp;WINDOW=FIRST_POPUP&amp;HEIGHT=450&amp;WIDTH=450&amp;START_MAXIMIZED=","FALSE&amp;VAR:CALENDAR=US&amp;VAR:SYMBOL=MDT&amp;VAR:INDEX=0"}</definedName>
    <definedName name="_140__FDSAUDITLINK__" localSheetId="7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40__FDSAUDITLINK__" localSheetId="5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40__FDSAUDITLINK__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40__FDSAUDITLINK___1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40__FDSAUDITLINK___2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41__FDSAUDITLINK__" localSheetId="7" hidden="1">{"fdsup://directions/FAT Viewer?action=UPDATE&amp;creator=factset&amp;DYN_ARGS=TRUE&amp;DOC_NAME=FAT:FQL_AUDITING_CLIENT_TEMPLATE.FAT&amp;display_string=Audit&amp;VAR:KEY=SZKFETWBYZ&amp;VAR:QUERY=RkZfRU5UUlBSX1ZBTF9EQUlMWShOT1csLCwsLCdESUwnKQ==&amp;WINDOW=FIRST_POPUP&amp;HEIGHT=450&amp;WIDTH=","450&amp;START_MAXIMIZED=FALSE&amp;VAR:CALENDAR=FIVEDAY&amp;VAR:SYMBOL=ANSS&amp;VAR:INDEX=0"}</definedName>
    <definedName name="_141__FDSAUDITLINK__" localSheetId="5" hidden="1">{"fdsup://directions/FAT Viewer?action=UPDATE&amp;creator=factset&amp;DYN_ARGS=TRUE&amp;DOC_NAME=FAT:FQL_AUDITING_CLIENT_TEMPLATE.FAT&amp;display_string=Audit&amp;VAR:KEY=SZKFETWBYZ&amp;VAR:QUERY=RkZfRU5UUlBSX1ZBTF9EQUlMWShOT1csLCwsLCdESUwnKQ==&amp;WINDOW=FIRST_POPUP&amp;HEIGHT=450&amp;WIDTH=","450&amp;START_MAXIMIZED=FALSE&amp;VAR:CALENDAR=FIVEDAY&amp;VAR:SYMBOL=ANSS&amp;VAR:INDEX=0"}</definedName>
    <definedName name="_141__FDSAUDITLINK__" hidden="1">{"fdsup://directions/FAT Viewer?action=UPDATE&amp;creator=factset&amp;DYN_ARGS=TRUE&amp;DOC_NAME=FAT:FQL_AUDITING_CLIENT_TEMPLATE.FAT&amp;display_string=Audit&amp;VAR:KEY=SZKFETWBYZ&amp;VAR:QUERY=RkZfRU5UUlBSX1ZBTF9EQUlMWShOT1csLCwsLCdESUwnKQ==&amp;WINDOW=FIRST_POPUP&amp;HEIGHT=450&amp;WIDTH=","450&amp;START_MAXIMIZED=FALSE&amp;VAR:CALENDAR=FIVEDAY&amp;VAR:SYMBOL=ANSS&amp;VAR:INDEX=0"}</definedName>
    <definedName name="_141__FDSAUDITLINK___1" hidden="1">{"fdsup://directions/FAT Viewer?action=UPDATE&amp;creator=factset&amp;DYN_ARGS=TRUE&amp;DOC_NAME=FAT:FQL_AUDITING_CLIENT_TEMPLATE.FAT&amp;display_string=Audit&amp;VAR:KEY=SZKFETWBYZ&amp;VAR:QUERY=RkZfRU5UUlBSX1ZBTF9EQUlMWShOT1csLCwsLCdESUwnKQ==&amp;WINDOW=FIRST_POPUP&amp;HEIGHT=450&amp;WIDTH=","450&amp;START_MAXIMIZED=FALSE&amp;VAR:CALENDAR=FIVEDAY&amp;VAR:SYMBOL=ANSS&amp;VAR:INDEX=0"}</definedName>
    <definedName name="_141__FDSAUDITLINK___2" hidden="1">{"fdsup://directions/FAT Viewer?action=UPDATE&amp;creator=factset&amp;DYN_ARGS=TRUE&amp;DOC_NAME=FAT:FQL_AUDITING_CLIENT_TEMPLATE.FAT&amp;display_string=Audit&amp;VAR:KEY=SZKFETWBYZ&amp;VAR:QUERY=RkZfRU5UUlBSX1ZBTF9EQUlMWShOT1csLCwsLCdESUwnKQ==&amp;WINDOW=FIRST_POPUP&amp;HEIGHT=450&amp;WIDTH=","450&amp;START_MAXIMIZED=FALSE&amp;VAR:CALENDAR=FIVEDAY&amp;VAR:SYMBOL=ANSS&amp;VAR:INDEX=0"}</definedName>
    <definedName name="_142__FDSAUDITLINK__" localSheetId="7" hidden="1">{"fdsup://directions/FAT Viewer?action=UPDATE&amp;creator=factset&amp;DYN_ARGS=TRUE&amp;DOC_NAME=FAT:FQL_AUDITING_CLIENT_TEMPLATE.FAT&amp;display_string=Audit&amp;VAR:KEY=ALUTYBGPKX&amp;VAR:QUERY=RkZfRU5UUlBSX1ZBTF9EQUlMWShOT1csLCwsLCdESUwnKQ==&amp;WINDOW=FIRST_POPUP&amp;HEIGHT=450&amp;WIDTH=","450&amp;START_MAXIMIZED=FALSE&amp;VAR:CALENDAR=FIVEDAY&amp;VAR:SYMBOL=ARX&amp;VAR:INDEX=0"}</definedName>
    <definedName name="_142__FDSAUDITLINK__" localSheetId="5" hidden="1">{"fdsup://directions/FAT Viewer?action=UPDATE&amp;creator=factset&amp;DYN_ARGS=TRUE&amp;DOC_NAME=FAT:FQL_AUDITING_CLIENT_TEMPLATE.FAT&amp;display_string=Audit&amp;VAR:KEY=ALUTYBGPKX&amp;VAR:QUERY=RkZfRU5UUlBSX1ZBTF9EQUlMWShOT1csLCwsLCdESUwnKQ==&amp;WINDOW=FIRST_POPUP&amp;HEIGHT=450&amp;WIDTH=","450&amp;START_MAXIMIZED=FALSE&amp;VAR:CALENDAR=FIVEDAY&amp;VAR:SYMBOL=ARX&amp;VAR:INDEX=0"}</definedName>
    <definedName name="_142__FDSAUDITLINK__" hidden="1">{"fdsup://directions/FAT Viewer?action=UPDATE&amp;creator=factset&amp;DYN_ARGS=TRUE&amp;DOC_NAME=FAT:FQL_AUDITING_CLIENT_TEMPLATE.FAT&amp;display_string=Audit&amp;VAR:KEY=ALUTYBGPKX&amp;VAR:QUERY=RkZfRU5UUlBSX1ZBTF9EQUlMWShOT1csLCwsLCdESUwnKQ==&amp;WINDOW=FIRST_POPUP&amp;HEIGHT=450&amp;WIDTH=","450&amp;START_MAXIMIZED=FALSE&amp;VAR:CALENDAR=FIVEDAY&amp;VAR:SYMBOL=ARX&amp;VAR:INDEX=0"}</definedName>
    <definedName name="_142__FDSAUDITLINK___1" hidden="1">{"fdsup://directions/FAT Viewer?action=UPDATE&amp;creator=factset&amp;DYN_ARGS=TRUE&amp;DOC_NAME=FAT:FQL_AUDITING_CLIENT_TEMPLATE.FAT&amp;display_string=Audit&amp;VAR:KEY=ALUTYBGPKX&amp;VAR:QUERY=RkZfRU5UUlBSX1ZBTF9EQUlMWShOT1csLCwsLCdESUwnKQ==&amp;WINDOW=FIRST_POPUP&amp;HEIGHT=450&amp;WIDTH=","450&amp;START_MAXIMIZED=FALSE&amp;VAR:CALENDAR=FIVEDAY&amp;VAR:SYMBOL=ARX&amp;VAR:INDEX=0"}</definedName>
    <definedName name="_142__FDSAUDITLINK___2" hidden="1">{"fdsup://directions/FAT Viewer?action=UPDATE&amp;creator=factset&amp;DYN_ARGS=TRUE&amp;DOC_NAME=FAT:FQL_AUDITING_CLIENT_TEMPLATE.FAT&amp;display_string=Audit&amp;VAR:KEY=ALUTYBGPKX&amp;VAR:QUERY=RkZfRU5UUlBSX1ZBTF9EQUlMWShOT1csLCwsLCdESUwnKQ==&amp;WINDOW=FIRST_POPUP&amp;HEIGHT=450&amp;WIDTH=","450&amp;START_MAXIMIZED=FALSE&amp;VAR:CALENDAR=FIVEDAY&amp;VAR:SYMBOL=ARX&amp;VAR:INDEX=0"}</definedName>
    <definedName name="_15__FDSAUDITLINK__" localSheetId="7" hidden="1">{"fdsup://directions/FAT Viewer?action=UPDATE&amp;creator=factset&amp;DYN_ARGS=TRUE&amp;DOC_NAME=FAT:FQL_AUDITING_CLIENT_TEMPLATE.FAT&amp;display_string=Audit&amp;VAR:KEY=WFWDAHQNOB&amp;VAR:QUERY=RkZfREVCVChBTk4sMCk=&amp;WINDOW=FIRST_POPUP&amp;HEIGHT=450&amp;WIDTH=450&amp;START_MAXIMIZED=FALSE&amp;VA","R:CALENDAR=US&amp;VAR:SYMBOL=MDT&amp;VAR:INDEX=0"}</definedName>
    <definedName name="_15__FDSAUDITLINK__" localSheetId="5" hidden="1">{"fdsup://directions/FAT Viewer?action=UPDATE&amp;creator=factset&amp;DYN_ARGS=TRUE&amp;DOC_NAME=FAT:FQL_AUDITING_CLIENT_TEMPLATE.FAT&amp;display_string=Audit&amp;VAR:KEY=WFWDAHQNOB&amp;VAR:QUERY=RkZfREVCVChBTk4sMCk=&amp;WINDOW=FIRST_POPUP&amp;HEIGHT=450&amp;WIDTH=450&amp;START_MAXIMIZED=FALSE&amp;VA","R:CALENDAR=US&amp;VAR:SYMBOL=MDT&amp;VAR:INDEX=0"}</definedName>
    <definedName name="_15__FDSAUDITLINK__" hidden="1">{"fdsup://directions/FAT Viewer?action=UPDATE&amp;creator=factset&amp;DYN_ARGS=TRUE&amp;DOC_NAME=FAT:FQL_AUDITING_CLIENT_TEMPLATE.FAT&amp;display_string=Audit&amp;VAR:KEY=WFWDAHQNOB&amp;VAR:QUERY=RkZfREVCVChBTk4sMCk=&amp;WINDOW=FIRST_POPUP&amp;HEIGHT=450&amp;WIDTH=450&amp;START_MAXIMIZED=FALSE&amp;VA","R:CALENDAR=US&amp;VAR:SYMBOL=MDT&amp;VAR:INDEX=0"}</definedName>
    <definedName name="_15__FDSAUDITLINK___1" hidden="1">{"fdsup://directions/FAT Viewer?action=UPDATE&amp;creator=factset&amp;DYN_ARGS=TRUE&amp;DOC_NAME=FAT:FQL_AUDITING_CLIENT_TEMPLATE.FAT&amp;display_string=Audit&amp;VAR:KEY=WFWDAHQNOB&amp;VAR:QUERY=RkZfREVCVChBTk4sMCk=&amp;WINDOW=FIRST_POPUP&amp;HEIGHT=450&amp;WIDTH=450&amp;START_MAXIMIZED=FALSE&amp;VA","R:CALENDAR=US&amp;VAR:SYMBOL=MDT&amp;VAR:INDEX=0"}</definedName>
    <definedName name="_15__FDSAUDITLINK___2" hidden="1">{"fdsup://directions/FAT Viewer?action=UPDATE&amp;creator=factset&amp;DYN_ARGS=TRUE&amp;DOC_NAME=FAT:FQL_AUDITING_CLIENT_TEMPLATE.FAT&amp;display_string=Audit&amp;VAR:KEY=WFWDAHQNOB&amp;VAR:QUERY=RkZfREVCVChBTk4sMCk=&amp;WINDOW=FIRST_POPUP&amp;HEIGHT=450&amp;WIDTH=450&amp;START_MAXIMIZED=FALSE&amp;VA","R:CALENDAR=US&amp;VAR:SYMBOL=MDT&amp;VAR:INDEX=0"}</definedName>
    <definedName name="_16__FDSAUDITLINK__" localSheetId="7" hidden="1">{"fdsup://directions/FAT Viewer?action=UPDATE&amp;creator=factset&amp;DYN_ARGS=TRUE&amp;DOC_NAME=FAT:FQL_AUDITING_CLIENT_TEMPLATE.FAT&amp;display_string=Audit&amp;VAR:KEY=WZKLGRUJID&amp;VAR:QUERY=RkZfREVCVChBTk4sMCk=&amp;WINDOW=FIRST_POPUP&amp;HEIGHT=450&amp;WIDTH=450&amp;START_MAXIMIZED=FALSE&amp;VA","R:CALENDAR=US&amp;VAR:SYMBOL=IART&amp;VAR:INDEX=0"}</definedName>
    <definedName name="_16__FDSAUDITLINK__" localSheetId="5" hidden="1">{"fdsup://directions/FAT Viewer?action=UPDATE&amp;creator=factset&amp;DYN_ARGS=TRUE&amp;DOC_NAME=FAT:FQL_AUDITING_CLIENT_TEMPLATE.FAT&amp;display_string=Audit&amp;VAR:KEY=WZKLGRUJID&amp;VAR:QUERY=RkZfREVCVChBTk4sMCk=&amp;WINDOW=FIRST_POPUP&amp;HEIGHT=450&amp;WIDTH=450&amp;START_MAXIMIZED=FALSE&amp;VA","R:CALENDAR=US&amp;VAR:SYMBOL=IART&amp;VAR:INDEX=0"}</definedName>
    <definedName name="_16__FDSAUDITLINK__" hidden="1">{"fdsup://directions/FAT Viewer?action=UPDATE&amp;creator=factset&amp;DYN_ARGS=TRUE&amp;DOC_NAME=FAT:FQL_AUDITING_CLIENT_TEMPLATE.FAT&amp;display_string=Audit&amp;VAR:KEY=WZKLGRUJID&amp;VAR:QUERY=RkZfREVCVChBTk4sMCk=&amp;WINDOW=FIRST_POPUP&amp;HEIGHT=450&amp;WIDTH=450&amp;START_MAXIMIZED=FALSE&amp;VA","R:CALENDAR=US&amp;VAR:SYMBOL=IART&amp;VAR:INDEX=0"}</definedName>
    <definedName name="_16__FDSAUDITLINK___1" hidden="1">{"fdsup://directions/FAT Viewer?action=UPDATE&amp;creator=factset&amp;DYN_ARGS=TRUE&amp;DOC_NAME=FAT:FQL_AUDITING_CLIENT_TEMPLATE.FAT&amp;display_string=Audit&amp;VAR:KEY=WZKLGRUJID&amp;VAR:QUERY=RkZfREVCVChBTk4sMCk=&amp;WINDOW=FIRST_POPUP&amp;HEIGHT=450&amp;WIDTH=450&amp;START_MAXIMIZED=FALSE&amp;VA","R:CALENDAR=US&amp;VAR:SYMBOL=IART&amp;VAR:INDEX=0"}</definedName>
    <definedName name="_16__FDSAUDITLINK___2" hidden="1">{"fdsup://directions/FAT Viewer?action=UPDATE&amp;creator=factset&amp;DYN_ARGS=TRUE&amp;DOC_NAME=FAT:FQL_AUDITING_CLIENT_TEMPLATE.FAT&amp;display_string=Audit&amp;VAR:KEY=WZKLGRUJID&amp;VAR:QUERY=RkZfREVCVChBTk4sMCk=&amp;WINDOW=FIRST_POPUP&amp;HEIGHT=450&amp;WIDTH=450&amp;START_MAXIMIZED=FALSE&amp;VA","R:CALENDAR=US&amp;VAR:SYMBOL=IART&amp;VAR:INDEX=0"}</definedName>
    <definedName name="_17__FDSAUDITLINK__" localSheetId="7" hidden="1">{"fdsup://directions/FAT Viewer?action=UPDATE&amp;creator=factset&amp;DYN_ARGS=TRUE&amp;DOC_NAME=FAT:FQL_AUDITING_CLIENT_TEMPLATE.FAT&amp;display_string=Audit&amp;VAR:KEY=ADKHANUJIB&amp;VAR:QUERY=RkZfU0hMRFJTX0VRKEFOTiwwKQ==&amp;WINDOW=FIRST_POPUP&amp;HEIGHT=450&amp;WIDTH=450&amp;START_MAXIMIZED=","FALSE&amp;VAR:CALENDAR=US&amp;VAR:SYMBOL=IART&amp;VAR:INDEX=0"}</definedName>
    <definedName name="_17__FDSAUDITLINK__" localSheetId="5" hidden="1">{"fdsup://directions/FAT Viewer?action=UPDATE&amp;creator=factset&amp;DYN_ARGS=TRUE&amp;DOC_NAME=FAT:FQL_AUDITING_CLIENT_TEMPLATE.FAT&amp;display_string=Audit&amp;VAR:KEY=ADKHANUJIB&amp;VAR:QUERY=RkZfU0hMRFJTX0VRKEFOTiwwKQ==&amp;WINDOW=FIRST_POPUP&amp;HEIGHT=450&amp;WIDTH=450&amp;START_MAXIMIZED=","FALSE&amp;VAR:CALENDAR=US&amp;VAR:SYMBOL=IART&amp;VAR:INDEX=0"}</definedName>
    <definedName name="_17__FDSAUDITLINK__" hidden="1">{"fdsup://directions/FAT Viewer?action=UPDATE&amp;creator=factset&amp;DYN_ARGS=TRUE&amp;DOC_NAME=FAT:FQL_AUDITING_CLIENT_TEMPLATE.FAT&amp;display_string=Audit&amp;VAR:KEY=ADKHANUJIB&amp;VAR:QUERY=RkZfU0hMRFJTX0VRKEFOTiwwKQ==&amp;WINDOW=FIRST_POPUP&amp;HEIGHT=450&amp;WIDTH=450&amp;START_MAXIMIZED=","FALSE&amp;VAR:CALENDAR=US&amp;VAR:SYMBOL=IART&amp;VAR:INDEX=0"}</definedName>
    <definedName name="_17__FDSAUDITLINK___1" hidden="1">{"fdsup://directions/FAT Viewer?action=UPDATE&amp;creator=factset&amp;DYN_ARGS=TRUE&amp;DOC_NAME=FAT:FQL_AUDITING_CLIENT_TEMPLATE.FAT&amp;display_string=Audit&amp;VAR:KEY=ADKHANUJIB&amp;VAR:QUERY=RkZfU0hMRFJTX0VRKEFOTiwwKQ==&amp;WINDOW=FIRST_POPUP&amp;HEIGHT=450&amp;WIDTH=450&amp;START_MAXIMIZED=","FALSE&amp;VAR:CALENDAR=US&amp;VAR:SYMBOL=IART&amp;VAR:INDEX=0"}</definedName>
    <definedName name="_17__FDSAUDITLINK___2" hidden="1">{"fdsup://directions/FAT Viewer?action=UPDATE&amp;creator=factset&amp;DYN_ARGS=TRUE&amp;DOC_NAME=FAT:FQL_AUDITING_CLIENT_TEMPLATE.FAT&amp;display_string=Audit&amp;VAR:KEY=ADKHANUJIB&amp;VAR:QUERY=RkZfU0hMRFJTX0VRKEFOTiwwKQ==&amp;WINDOW=FIRST_POPUP&amp;HEIGHT=450&amp;WIDTH=450&amp;START_MAXIMIZED=","FALSE&amp;VAR:CALENDAR=US&amp;VAR:SYMBOL=IART&amp;VAR:INDEX=0"}</definedName>
    <definedName name="_18__FDSAUDITLINK__" localSheetId="7" hidden="1">{"fdsup://directions/FAT Viewer?action=UPDATE&amp;creator=factset&amp;DYN_ARGS=TRUE&amp;DOC_NAME=FAT:FQL_AUDITING_CLIENT_TEMPLATE.FAT&amp;display_string=Audit&amp;VAR:KEY=WZKLGRUJID&amp;VAR:QUERY=RkZfREVCVChBTk4sMCk=&amp;WINDOW=FIRST_POPUP&amp;HEIGHT=450&amp;WIDTH=450&amp;START_MAXIMIZED=FALSE&amp;VA","R:CALENDAR=US&amp;VAR:SYMBOL=IART&amp;VAR:INDEX=0"}</definedName>
    <definedName name="_18__FDSAUDITLINK__" localSheetId="5" hidden="1">{"fdsup://directions/FAT Viewer?action=UPDATE&amp;creator=factset&amp;DYN_ARGS=TRUE&amp;DOC_NAME=FAT:FQL_AUDITING_CLIENT_TEMPLATE.FAT&amp;display_string=Audit&amp;VAR:KEY=WZKLGRUJID&amp;VAR:QUERY=RkZfREVCVChBTk4sMCk=&amp;WINDOW=FIRST_POPUP&amp;HEIGHT=450&amp;WIDTH=450&amp;START_MAXIMIZED=FALSE&amp;VA","R:CALENDAR=US&amp;VAR:SYMBOL=IART&amp;VAR:INDEX=0"}</definedName>
    <definedName name="_18__FDSAUDITLINK__" hidden="1">{"fdsup://directions/FAT Viewer?action=UPDATE&amp;creator=factset&amp;DYN_ARGS=TRUE&amp;DOC_NAME=FAT:FQL_AUDITING_CLIENT_TEMPLATE.FAT&amp;display_string=Audit&amp;VAR:KEY=WZKLGRUJID&amp;VAR:QUERY=RkZfREVCVChBTk4sMCk=&amp;WINDOW=FIRST_POPUP&amp;HEIGHT=450&amp;WIDTH=450&amp;START_MAXIMIZED=FALSE&amp;VA","R:CALENDAR=US&amp;VAR:SYMBOL=IART&amp;VAR:INDEX=0"}</definedName>
    <definedName name="_18__FDSAUDITLINK___1" hidden="1">{"fdsup://directions/FAT Viewer?action=UPDATE&amp;creator=factset&amp;DYN_ARGS=TRUE&amp;DOC_NAME=FAT:FQL_AUDITING_CLIENT_TEMPLATE.FAT&amp;display_string=Audit&amp;VAR:KEY=WZKLGRUJID&amp;VAR:QUERY=RkZfREVCVChBTk4sMCk=&amp;WINDOW=FIRST_POPUP&amp;HEIGHT=450&amp;WIDTH=450&amp;START_MAXIMIZED=FALSE&amp;VA","R:CALENDAR=US&amp;VAR:SYMBOL=IART&amp;VAR:INDEX=0"}</definedName>
    <definedName name="_18__FDSAUDITLINK___2" hidden="1">{"fdsup://directions/FAT Viewer?action=UPDATE&amp;creator=factset&amp;DYN_ARGS=TRUE&amp;DOC_NAME=FAT:FQL_AUDITING_CLIENT_TEMPLATE.FAT&amp;display_string=Audit&amp;VAR:KEY=WZKLGRUJID&amp;VAR:QUERY=RkZfREVCVChBTk4sMCk=&amp;WINDOW=FIRST_POPUP&amp;HEIGHT=450&amp;WIDTH=450&amp;START_MAXIMIZED=FALSE&amp;VA","R:CALENDAR=US&amp;VAR:SYMBOL=IART&amp;VAR:INDEX=0"}</definedName>
    <definedName name="_19__FDSAUDITLINK__" localSheetId="7" hidden="1">{"fdsup://directions/FAT Viewer?action=UPDATE&amp;creator=factset&amp;DYN_ARGS=TRUE&amp;DOC_NAME=FAT:FQL_AUDITING_CLIENT_TEMPLATE.FAT&amp;display_string=Audit&amp;VAR:KEY=OZKFURUTKB&amp;VAR:QUERY=RkZfREVCVChBTk4sMCk=&amp;WINDOW=FIRST_POPUP&amp;HEIGHT=450&amp;WIDTH=450&amp;START_MAXIMIZED=FALSE&amp;VA","R:CALENDAR=US&amp;VAR:SYMBOL=ISRG&amp;VAR:INDEX=0"}</definedName>
    <definedName name="_19__FDSAUDITLINK__" localSheetId="5" hidden="1">{"fdsup://directions/FAT Viewer?action=UPDATE&amp;creator=factset&amp;DYN_ARGS=TRUE&amp;DOC_NAME=FAT:FQL_AUDITING_CLIENT_TEMPLATE.FAT&amp;display_string=Audit&amp;VAR:KEY=OZKFURUTKB&amp;VAR:QUERY=RkZfREVCVChBTk4sMCk=&amp;WINDOW=FIRST_POPUP&amp;HEIGHT=450&amp;WIDTH=450&amp;START_MAXIMIZED=FALSE&amp;VA","R:CALENDAR=US&amp;VAR:SYMBOL=ISRG&amp;VAR:INDEX=0"}</definedName>
    <definedName name="_19__FDSAUDITLINK__" hidden="1">{"fdsup://directions/FAT Viewer?action=UPDATE&amp;creator=factset&amp;DYN_ARGS=TRUE&amp;DOC_NAME=FAT:FQL_AUDITING_CLIENT_TEMPLATE.FAT&amp;display_string=Audit&amp;VAR:KEY=OZKFURUTKB&amp;VAR:QUERY=RkZfREVCVChBTk4sMCk=&amp;WINDOW=FIRST_POPUP&amp;HEIGHT=450&amp;WIDTH=450&amp;START_MAXIMIZED=FALSE&amp;VA","R:CALENDAR=US&amp;VAR:SYMBOL=ISRG&amp;VAR:INDEX=0"}</definedName>
    <definedName name="_19__FDSAUDITLINK___1" hidden="1">{"fdsup://directions/FAT Viewer?action=UPDATE&amp;creator=factset&amp;DYN_ARGS=TRUE&amp;DOC_NAME=FAT:FQL_AUDITING_CLIENT_TEMPLATE.FAT&amp;display_string=Audit&amp;VAR:KEY=OZKFURUTKB&amp;VAR:QUERY=RkZfREVCVChBTk4sMCk=&amp;WINDOW=FIRST_POPUP&amp;HEIGHT=450&amp;WIDTH=450&amp;START_MAXIMIZED=FALSE&amp;VA","R:CALENDAR=US&amp;VAR:SYMBOL=ISRG&amp;VAR:INDEX=0"}</definedName>
    <definedName name="_19__FDSAUDITLINK___2" hidden="1">{"fdsup://directions/FAT Viewer?action=UPDATE&amp;creator=factset&amp;DYN_ARGS=TRUE&amp;DOC_NAME=FAT:FQL_AUDITING_CLIENT_TEMPLATE.FAT&amp;display_string=Audit&amp;VAR:KEY=OZKFURUTKB&amp;VAR:QUERY=RkZfREVCVChBTk4sMCk=&amp;WINDOW=FIRST_POPUP&amp;HEIGHT=450&amp;WIDTH=450&amp;START_MAXIMIZED=FALSE&amp;VA","R:CALENDAR=US&amp;VAR:SYMBOL=ISRG&amp;VAR:INDEX=0"}</definedName>
    <definedName name="_1Q_01E">"_01"</definedName>
    <definedName name="_2__FDSAUDITLINK__" localSheetId="7" hidden="1">{"fdsup://directions/FAT Viewer?action=UPDATE&amp;creator=factset&amp;DYN_ARGS=TRUE&amp;DOC_NAME=FAT:FQL_AUDITING_CLIENT_TEMPLATE.FAT&amp;display_string=Audit&amp;VAR:KEY=INSRWVSTON&amp;VAR:QUERY=RkZfU0hMRFJTX0VRKEFOTiwwKQ==&amp;WINDOW=FIRST_POPUP&amp;HEIGHT=450&amp;WIDTH=450&amp;START_MAXIMIZED=","FALSE&amp;VAR:CALENDAR=US&amp;VAR:SYMBOL=HNSN&amp;VAR:INDEX=0"}</definedName>
    <definedName name="_2__FDSAUDITLINK__" localSheetId="5" hidden="1">{"fdsup://directions/FAT Viewer?action=UPDATE&amp;creator=factset&amp;DYN_ARGS=TRUE&amp;DOC_NAME=FAT:FQL_AUDITING_CLIENT_TEMPLATE.FAT&amp;display_string=Audit&amp;VAR:KEY=INSRWVSTON&amp;VAR:QUERY=RkZfU0hMRFJTX0VRKEFOTiwwKQ==&amp;WINDOW=FIRST_POPUP&amp;HEIGHT=450&amp;WIDTH=450&amp;START_MAXIMIZED=","FALSE&amp;VAR:CALENDAR=US&amp;VAR:SYMBOL=HNSN&amp;VAR:INDEX=0"}</definedName>
    <definedName name="_2__FDSAUDITLINK__" hidden="1">{"fdsup://directions/FAT Viewer?action=UPDATE&amp;creator=factset&amp;DYN_ARGS=TRUE&amp;DOC_NAME=FAT:FQL_AUDITING_CLIENT_TEMPLATE.FAT&amp;display_string=Audit&amp;VAR:KEY=INSRWVSTON&amp;VAR:QUERY=RkZfU0hMRFJTX0VRKEFOTiwwKQ==&amp;WINDOW=FIRST_POPUP&amp;HEIGHT=450&amp;WIDTH=450&amp;START_MAXIMIZED=","FALSE&amp;VAR:CALENDAR=US&amp;VAR:SYMBOL=HNSN&amp;VAR:INDEX=0"}</definedName>
    <definedName name="_2__FDSAUDITLINK___1" hidden="1">{"fdsup://directions/FAT Viewer?action=UPDATE&amp;creator=factset&amp;DYN_ARGS=TRUE&amp;DOC_NAME=FAT:FQL_AUDITING_CLIENT_TEMPLATE.FAT&amp;display_string=Audit&amp;VAR:KEY=INSRWVSTON&amp;VAR:QUERY=RkZfU0hMRFJTX0VRKEFOTiwwKQ==&amp;WINDOW=FIRST_POPUP&amp;HEIGHT=450&amp;WIDTH=450&amp;START_MAXIMIZED=","FALSE&amp;VAR:CALENDAR=US&amp;VAR:SYMBOL=HNSN&amp;VAR:INDEX=0"}</definedName>
    <definedName name="_2__FDSAUDITLINK___2" hidden="1">{"fdsup://directions/FAT Viewer?action=UPDATE&amp;creator=factset&amp;DYN_ARGS=TRUE&amp;DOC_NAME=FAT:FQL_AUDITING_CLIENT_TEMPLATE.FAT&amp;display_string=Audit&amp;VAR:KEY=INSRWVSTON&amp;VAR:QUERY=RkZfU0hMRFJTX0VRKEFOTiwwKQ==&amp;WINDOW=FIRST_POPUP&amp;HEIGHT=450&amp;WIDTH=450&amp;START_MAXIMIZED=","FALSE&amp;VAR:CALENDAR=US&amp;VAR:SYMBOL=HNSN&amp;VAR:INDEX=0"}</definedName>
    <definedName name="_20__FDSAUDITLINK__" localSheetId="7" hidden="1">{"fdsup://directions/FAT Viewer?action=UPDATE&amp;creator=factset&amp;DYN_ARGS=TRUE&amp;DOC_NAME=FAT:FQL_AUDITING_CLIENT_TEMPLATE.FAT&amp;display_string=Audit&amp;VAR:KEY=ATKJAZWHCF&amp;VAR:QUERY=RkZfU0hMRFJTX0VRKEFOTiwwKQ==&amp;WINDOW=FIRST_POPUP&amp;HEIGHT=450&amp;WIDTH=450&amp;START_MAXIMIZED=","FALSE&amp;VAR:CALENDAR=US&amp;VAR:SYMBOL=ISRG&amp;VAR:INDEX=0"}</definedName>
    <definedName name="_20__FDSAUDITLINK__" localSheetId="5" hidden="1">{"fdsup://directions/FAT Viewer?action=UPDATE&amp;creator=factset&amp;DYN_ARGS=TRUE&amp;DOC_NAME=FAT:FQL_AUDITING_CLIENT_TEMPLATE.FAT&amp;display_string=Audit&amp;VAR:KEY=ATKJAZWHCF&amp;VAR:QUERY=RkZfU0hMRFJTX0VRKEFOTiwwKQ==&amp;WINDOW=FIRST_POPUP&amp;HEIGHT=450&amp;WIDTH=450&amp;START_MAXIMIZED=","FALSE&amp;VAR:CALENDAR=US&amp;VAR:SYMBOL=ISRG&amp;VAR:INDEX=0"}</definedName>
    <definedName name="_20__FDSAUDITLINK__" hidden="1">{"fdsup://directions/FAT Viewer?action=UPDATE&amp;creator=factset&amp;DYN_ARGS=TRUE&amp;DOC_NAME=FAT:FQL_AUDITING_CLIENT_TEMPLATE.FAT&amp;display_string=Audit&amp;VAR:KEY=ATKJAZWHCF&amp;VAR:QUERY=RkZfU0hMRFJTX0VRKEFOTiwwKQ==&amp;WINDOW=FIRST_POPUP&amp;HEIGHT=450&amp;WIDTH=450&amp;START_MAXIMIZED=","FALSE&amp;VAR:CALENDAR=US&amp;VAR:SYMBOL=ISRG&amp;VAR:INDEX=0"}</definedName>
    <definedName name="_20__FDSAUDITLINK___1" hidden="1">{"fdsup://directions/FAT Viewer?action=UPDATE&amp;creator=factset&amp;DYN_ARGS=TRUE&amp;DOC_NAME=FAT:FQL_AUDITING_CLIENT_TEMPLATE.FAT&amp;display_string=Audit&amp;VAR:KEY=ATKJAZWHCF&amp;VAR:QUERY=RkZfU0hMRFJTX0VRKEFOTiwwKQ==&amp;WINDOW=FIRST_POPUP&amp;HEIGHT=450&amp;WIDTH=450&amp;START_MAXIMIZED=","FALSE&amp;VAR:CALENDAR=US&amp;VAR:SYMBOL=ISRG&amp;VAR:INDEX=0"}</definedName>
    <definedName name="_20__FDSAUDITLINK___2" hidden="1">{"fdsup://directions/FAT Viewer?action=UPDATE&amp;creator=factset&amp;DYN_ARGS=TRUE&amp;DOC_NAME=FAT:FQL_AUDITING_CLIENT_TEMPLATE.FAT&amp;display_string=Audit&amp;VAR:KEY=ATKJAZWHCF&amp;VAR:QUERY=RkZfU0hMRFJTX0VRKEFOTiwwKQ==&amp;WINDOW=FIRST_POPUP&amp;HEIGHT=450&amp;WIDTH=450&amp;START_MAXIMIZED=","FALSE&amp;VAR:CALENDAR=US&amp;VAR:SYMBOL=ISRG&amp;VAR:INDEX=0"}</definedName>
    <definedName name="_21__FDSAUDITLINK__" localSheetId="7" hidden="1">{"fdsup://directions/FAT Viewer?action=UPDATE&amp;creator=factset&amp;DYN_ARGS=TRUE&amp;DOC_NAME=FAT:FQL_AUDITING_CLIENT_TEMPLATE.FAT&amp;display_string=Audit&amp;VAR:KEY=OZKFURUTKB&amp;VAR:QUERY=RkZfREVCVChBTk4sMCk=&amp;WINDOW=FIRST_POPUP&amp;HEIGHT=450&amp;WIDTH=450&amp;START_MAXIMIZED=FALSE&amp;VA","R:CALENDAR=US&amp;VAR:SYMBOL=ISRG&amp;VAR:INDEX=0"}</definedName>
    <definedName name="_21__FDSAUDITLINK__" localSheetId="5" hidden="1">{"fdsup://directions/FAT Viewer?action=UPDATE&amp;creator=factset&amp;DYN_ARGS=TRUE&amp;DOC_NAME=FAT:FQL_AUDITING_CLIENT_TEMPLATE.FAT&amp;display_string=Audit&amp;VAR:KEY=OZKFURUTKB&amp;VAR:QUERY=RkZfREVCVChBTk4sMCk=&amp;WINDOW=FIRST_POPUP&amp;HEIGHT=450&amp;WIDTH=450&amp;START_MAXIMIZED=FALSE&amp;VA","R:CALENDAR=US&amp;VAR:SYMBOL=ISRG&amp;VAR:INDEX=0"}</definedName>
    <definedName name="_21__FDSAUDITLINK__" hidden="1">{"fdsup://directions/FAT Viewer?action=UPDATE&amp;creator=factset&amp;DYN_ARGS=TRUE&amp;DOC_NAME=FAT:FQL_AUDITING_CLIENT_TEMPLATE.FAT&amp;display_string=Audit&amp;VAR:KEY=OZKFURUTKB&amp;VAR:QUERY=RkZfREVCVChBTk4sMCk=&amp;WINDOW=FIRST_POPUP&amp;HEIGHT=450&amp;WIDTH=450&amp;START_MAXIMIZED=FALSE&amp;VA","R:CALENDAR=US&amp;VAR:SYMBOL=ISRG&amp;VAR:INDEX=0"}</definedName>
    <definedName name="_21__FDSAUDITLINK___1" hidden="1">{"fdsup://directions/FAT Viewer?action=UPDATE&amp;creator=factset&amp;DYN_ARGS=TRUE&amp;DOC_NAME=FAT:FQL_AUDITING_CLIENT_TEMPLATE.FAT&amp;display_string=Audit&amp;VAR:KEY=OZKFURUTKB&amp;VAR:QUERY=RkZfREVCVChBTk4sMCk=&amp;WINDOW=FIRST_POPUP&amp;HEIGHT=450&amp;WIDTH=450&amp;START_MAXIMIZED=FALSE&amp;VA","R:CALENDAR=US&amp;VAR:SYMBOL=ISRG&amp;VAR:INDEX=0"}</definedName>
    <definedName name="_21__FDSAUDITLINK___2" hidden="1">{"fdsup://directions/FAT Viewer?action=UPDATE&amp;creator=factset&amp;DYN_ARGS=TRUE&amp;DOC_NAME=FAT:FQL_AUDITING_CLIENT_TEMPLATE.FAT&amp;display_string=Audit&amp;VAR:KEY=OZKFURUTKB&amp;VAR:QUERY=RkZfREVCVChBTk4sMCk=&amp;WINDOW=FIRST_POPUP&amp;HEIGHT=450&amp;WIDTH=450&amp;START_MAXIMIZED=FALSE&amp;VA","R:CALENDAR=US&amp;VAR:SYMBOL=ISRG&amp;VAR:INDEX=0"}</definedName>
    <definedName name="_22__FDSAUDITLINK__" localSheetId="7" hidden="1">{"fdsup://directions/FAT Viewer?action=UPDATE&amp;creator=factset&amp;DYN_ARGS=TRUE&amp;DOC_NAME=FAT:FQL_AUDITING_CLIENT_TEMPLATE.FAT&amp;display_string=Audit&amp;VAR:KEY=KPEXYJQLQR&amp;VAR:QUERY=RkZfREVCVChBTk4sMCk=&amp;WINDOW=FIRST_POPUP&amp;HEIGHT=450&amp;WIDTH=450&amp;START_MAXIMIZED=FALSE&amp;VA","R:CALENDAR=US&amp;VAR:SYMBOL=HOLX&amp;VAR:INDEX=0"}</definedName>
    <definedName name="_22__FDSAUDITLINK__" localSheetId="5" hidden="1">{"fdsup://directions/FAT Viewer?action=UPDATE&amp;creator=factset&amp;DYN_ARGS=TRUE&amp;DOC_NAME=FAT:FQL_AUDITING_CLIENT_TEMPLATE.FAT&amp;display_string=Audit&amp;VAR:KEY=KPEXYJQLQR&amp;VAR:QUERY=RkZfREVCVChBTk4sMCk=&amp;WINDOW=FIRST_POPUP&amp;HEIGHT=450&amp;WIDTH=450&amp;START_MAXIMIZED=FALSE&amp;VA","R:CALENDAR=US&amp;VAR:SYMBOL=HOLX&amp;VAR:INDEX=0"}</definedName>
    <definedName name="_22__FDSAUDITLINK__" hidden="1">{"fdsup://directions/FAT Viewer?action=UPDATE&amp;creator=factset&amp;DYN_ARGS=TRUE&amp;DOC_NAME=FAT:FQL_AUDITING_CLIENT_TEMPLATE.FAT&amp;display_string=Audit&amp;VAR:KEY=KPEXYJQLQR&amp;VAR:QUERY=RkZfREVCVChBTk4sMCk=&amp;WINDOW=FIRST_POPUP&amp;HEIGHT=450&amp;WIDTH=450&amp;START_MAXIMIZED=FALSE&amp;VA","R:CALENDAR=US&amp;VAR:SYMBOL=HOLX&amp;VAR:INDEX=0"}</definedName>
    <definedName name="_22__FDSAUDITLINK___1" hidden="1">{"fdsup://directions/FAT Viewer?action=UPDATE&amp;creator=factset&amp;DYN_ARGS=TRUE&amp;DOC_NAME=FAT:FQL_AUDITING_CLIENT_TEMPLATE.FAT&amp;display_string=Audit&amp;VAR:KEY=KPEXYJQLQR&amp;VAR:QUERY=RkZfREVCVChBTk4sMCk=&amp;WINDOW=FIRST_POPUP&amp;HEIGHT=450&amp;WIDTH=450&amp;START_MAXIMIZED=FALSE&amp;VA","R:CALENDAR=US&amp;VAR:SYMBOL=HOLX&amp;VAR:INDEX=0"}</definedName>
    <definedName name="_22__FDSAUDITLINK___2" hidden="1">{"fdsup://directions/FAT Viewer?action=UPDATE&amp;creator=factset&amp;DYN_ARGS=TRUE&amp;DOC_NAME=FAT:FQL_AUDITING_CLIENT_TEMPLATE.FAT&amp;display_string=Audit&amp;VAR:KEY=KPEXYJQLQR&amp;VAR:QUERY=RkZfREVCVChBTk4sMCk=&amp;WINDOW=FIRST_POPUP&amp;HEIGHT=450&amp;WIDTH=450&amp;START_MAXIMIZED=FALSE&amp;VA","R:CALENDAR=US&amp;VAR:SYMBOL=HOLX&amp;VAR:INDEX=0"}</definedName>
    <definedName name="_23__FDSAUDITLINK__" localSheetId="7" hidden="1">{"fdsup://directions/FAT Viewer?action=UPDATE&amp;creator=factset&amp;DYN_ARGS=TRUE&amp;DOC_NAME=FAT:FQL_AUDITING_CLIENT_TEMPLATE.FAT&amp;display_string=Audit&amp;VAR:KEY=EDUDMBAJMN&amp;VAR:QUERY=RkZfU0hMRFJTX0VRKEFOTiwwKQ==&amp;WINDOW=FIRST_POPUP&amp;HEIGHT=450&amp;WIDTH=450&amp;START_MAXIMIZED=","FALSE&amp;VAR:CALENDAR=US&amp;VAR:SYMBOL=HOLX&amp;VAR:INDEX=0"}</definedName>
    <definedName name="_23__FDSAUDITLINK__" localSheetId="5" hidden="1">{"fdsup://directions/FAT Viewer?action=UPDATE&amp;creator=factset&amp;DYN_ARGS=TRUE&amp;DOC_NAME=FAT:FQL_AUDITING_CLIENT_TEMPLATE.FAT&amp;display_string=Audit&amp;VAR:KEY=EDUDMBAJMN&amp;VAR:QUERY=RkZfU0hMRFJTX0VRKEFOTiwwKQ==&amp;WINDOW=FIRST_POPUP&amp;HEIGHT=450&amp;WIDTH=450&amp;START_MAXIMIZED=","FALSE&amp;VAR:CALENDAR=US&amp;VAR:SYMBOL=HOLX&amp;VAR:INDEX=0"}</definedName>
    <definedName name="_23__FDSAUDITLINK__" hidden="1">{"fdsup://directions/FAT Viewer?action=UPDATE&amp;creator=factset&amp;DYN_ARGS=TRUE&amp;DOC_NAME=FAT:FQL_AUDITING_CLIENT_TEMPLATE.FAT&amp;display_string=Audit&amp;VAR:KEY=EDUDMBAJMN&amp;VAR:QUERY=RkZfU0hMRFJTX0VRKEFOTiwwKQ==&amp;WINDOW=FIRST_POPUP&amp;HEIGHT=450&amp;WIDTH=450&amp;START_MAXIMIZED=","FALSE&amp;VAR:CALENDAR=US&amp;VAR:SYMBOL=HOLX&amp;VAR:INDEX=0"}</definedName>
    <definedName name="_23__FDSAUDITLINK___1" hidden="1">{"fdsup://directions/FAT Viewer?action=UPDATE&amp;creator=factset&amp;DYN_ARGS=TRUE&amp;DOC_NAME=FAT:FQL_AUDITING_CLIENT_TEMPLATE.FAT&amp;display_string=Audit&amp;VAR:KEY=EDUDMBAJMN&amp;VAR:QUERY=RkZfU0hMRFJTX0VRKEFOTiwwKQ==&amp;WINDOW=FIRST_POPUP&amp;HEIGHT=450&amp;WIDTH=450&amp;START_MAXIMIZED=","FALSE&amp;VAR:CALENDAR=US&amp;VAR:SYMBOL=HOLX&amp;VAR:INDEX=0"}</definedName>
    <definedName name="_23__FDSAUDITLINK___2" hidden="1">{"fdsup://directions/FAT Viewer?action=UPDATE&amp;creator=factset&amp;DYN_ARGS=TRUE&amp;DOC_NAME=FAT:FQL_AUDITING_CLIENT_TEMPLATE.FAT&amp;display_string=Audit&amp;VAR:KEY=EDUDMBAJMN&amp;VAR:QUERY=RkZfU0hMRFJTX0VRKEFOTiwwKQ==&amp;WINDOW=FIRST_POPUP&amp;HEIGHT=450&amp;WIDTH=450&amp;START_MAXIMIZED=","FALSE&amp;VAR:CALENDAR=US&amp;VAR:SYMBOL=HOLX&amp;VAR:INDEX=0"}</definedName>
    <definedName name="_24__FDSAUDITLINK__" localSheetId="7" hidden="1">{"fdsup://directions/FAT Viewer?action=UPDATE&amp;creator=factset&amp;DYN_ARGS=TRUE&amp;DOC_NAME=FAT:FQL_AUDITING_CLIENT_TEMPLATE.FAT&amp;display_string=Audit&amp;VAR:KEY=KPEXYJQLQR&amp;VAR:QUERY=RkZfREVCVChBTk4sMCk=&amp;WINDOW=FIRST_POPUP&amp;HEIGHT=450&amp;WIDTH=450&amp;START_MAXIMIZED=FALSE&amp;VA","R:CALENDAR=US&amp;VAR:SYMBOL=HOLX&amp;VAR:INDEX=0"}</definedName>
    <definedName name="_24__FDSAUDITLINK__" localSheetId="5" hidden="1">{"fdsup://directions/FAT Viewer?action=UPDATE&amp;creator=factset&amp;DYN_ARGS=TRUE&amp;DOC_NAME=FAT:FQL_AUDITING_CLIENT_TEMPLATE.FAT&amp;display_string=Audit&amp;VAR:KEY=KPEXYJQLQR&amp;VAR:QUERY=RkZfREVCVChBTk4sMCk=&amp;WINDOW=FIRST_POPUP&amp;HEIGHT=450&amp;WIDTH=450&amp;START_MAXIMIZED=FALSE&amp;VA","R:CALENDAR=US&amp;VAR:SYMBOL=HOLX&amp;VAR:INDEX=0"}</definedName>
    <definedName name="_24__FDSAUDITLINK__" hidden="1">{"fdsup://directions/FAT Viewer?action=UPDATE&amp;creator=factset&amp;DYN_ARGS=TRUE&amp;DOC_NAME=FAT:FQL_AUDITING_CLIENT_TEMPLATE.FAT&amp;display_string=Audit&amp;VAR:KEY=KPEXYJQLQR&amp;VAR:QUERY=RkZfREVCVChBTk4sMCk=&amp;WINDOW=FIRST_POPUP&amp;HEIGHT=450&amp;WIDTH=450&amp;START_MAXIMIZED=FALSE&amp;VA","R:CALENDAR=US&amp;VAR:SYMBOL=HOLX&amp;VAR:INDEX=0"}</definedName>
    <definedName name="_24__FDSAUDITLINK___1" hidden="1">{"fdsup://directions/FAT Viewer?action=UPDATE&amp;creator=factset&amp;DYN_ARGS=TRUE&amp;DOC_NAME=FAT:FQL_AUDITING_CLIENT_TEMPLATE.FAT&amp;display_string=Audit&amp;VAR:KEY=KPEXYJQLQR&amp;VAR:QUERY=RkZfREVCVChBTk4sMCk=&amp;WINDOW=FIRST_POPUP&amp;HEIGHT=450&amp;WIDTH=450&amp;START_MAXIMIZED=FALSE&amp;VA","R:CALENDAR=US&amp;VAR:SYMBOL=HOLX&amp;VAR:INDEX=0"}</definedName>
    <definedName name="_24__FDSAUDITLINK___2" hidden="1">{"fdsup://directions/FAT Viewer?action=UPDATE&amp;creator=factset&amp;DYN_ARGS=TRUE&amp;DOC_NAME=FAT:FQL_AUDITING_CLIENT_TEMPLATE.FAT&amp;display_string=Audit&amp;VAR:KEY=KPEXYJQLQR&amp;VAR:QUERY=RkZfREVCVChBTk4sMCk=&amp;WINDOW=FIRST_POPUP&amp;HEIGHT=450&amp;WIDTH=450&amp;START_MAXIMIZED=FALSE&amp;VA","R:CALENDAR=US&amp;VAR:SYMBOL=HOLX&amp;VAR:INDEX=0"}</definedName>
    <definedName name="_25__FDSAUDITLINK__" localSheetId="7" hidden="1">{"fdsup://directions/FAT Viewer?action=UPDATE&amp;creator=factset&amp;DYN_ARGS=TRUE&amp;DOC_NAME=FAT:FQL_AUDITING_CLIENT_TEMPLATE.FAT&amp;display_string=Audit&amp;VAR:KEY=CJSFYZMLYV&amp;VAR:QUERY=RkZfREVCVChBTk4sMCk=&amp;WINDOW=FIRST_POPUP&amp;HEIGHT=450&amp;WIDTH=450&amp;START_MAXIMIZED=FALSE&amp;VA","R:CALENDAR=US&amp;VAR:SYMBOL=MAKO&amp;VAR:INDEX=0"}</definedName>
    <definedName name="_25__FDSAUDITLINK__" localSheetId="5" hidden="1">{"fdsup://directions/FAT Viewer?action=UPDATE&amp;creator=factset&amp;DYN_ARGS=TRUE&amp;DOC_NAME=FAT:FQL_AUDITING_CLIENT_TEMPLATE.FAT&amp;display_string=Audit&amp;VAR:KEY=CJSFYZMLYV&amp;VAR:QUERY=RkZfREVCVChBTk4sMCk=&amp;WINDOW=FIRST_POPUP&amp;HEIGHT=450&amp;WIDTH=450&amp;START_MAXIMIZED=FALSE&amp;VA","R:CALENDAR=US&amp;VAR:SYMBOL=MAKO&amp;VAR:INDEX=0"}</definedName>
    <definedName name="_25__FDSAUDITLINK__" hidden="1">{"fdsup://directions/FAT Viewer?action=UPDATE&amp;creator=factset&amp;DYN_ARGS=TRUE&amp;DOC_NAME=FAT:FQL_AUDITING_CLIENT_TEMPLATE.FAT&amp;display_string=Audit&amp;VAR:KEY=CJSFYZMLYV&amp;VAR:QUERY=RkZfREVCVChBTk4sMCk=&amp;WINDOW=FIRST_POPUP&amp;HEIGHT=450&amp;WIDTH=450&amp;START_MAXIMIZED=FALSE&amp;VA","R:CALENDAR=US&amp;VAR:SYMBOL=MAKO&amp;VAR:INDEX=0"}</definedName>
    <definedName name="_25__FDSAUDITLINK___1" hidden="1">{"fdsup://directions/FAT Viewer?action=UPDATE&amp;creator=factset&amp;DYN_ARGS=TRUE&amp;DOC_NAME=FAT:FQL_AUDITING_CLIENT_TEMPLATE.FAT&amp;display_string=Audit&amp;VAR:KEY=CJSFYZMLYV&amp;VAR:QUERY=RkZfREVCVChBTk4sMCk=&amp;WINDOW=FIRST_POPUP&amp;HEIGHT=450&amp;WIDTH=450&amp;START_MAXIMIZED=FALSE&amp;VA","R:CALENDAR=US&amp;VAR:SYMBOL=MAKO&amp;VAR:INDEX=0"}</definedName>
    <definedName name="_25__FDSAUDITLINK___2" hidden="1">{"fdsup://directions/FAT Viewer?action=UPDATE&amp;creator=factset&amp;DYN_ARGS=TRUE&amp;DOC_NAME=FAT:FQL_AUDITING_CLIENT_TEMPLATE.FAT&amp;display_string=Audit&amp;VAR:KEY=CJSFYZMLYV&amp;VAR:QUERY=RkZfREVCVChBTk4sMCk=&amp;WINDOW=FIRST_POPUP&amp;HEIGHT=450&amp;WIDTH=450&amp;START_MAXIMIZED=FALSE&amp;VA","R:CALENDAR=US&amp;VAR:SYMBOL=MAKO&amp;VAR:INDEX=0"}</definedName>
    <definedName name="_26__FDSAUDITLINK__" localSheetId="7" hidden="1">{"fdsup://directions/FAT Viewer?action=UPDATE&amp;creator=factset&amp;DYN_ARGS=TRUE&amp;DOC_NAME=FAT:FQL_AUDITING_CLIENT_TEMPLATE.FAT&amp;display_string=Audit&amp;VAR:KEY=ODONEVYNGP&amp;VAR:QUERY=RkZfU0hMRFJTX0VRKEFOTiwwKQ==&amp;WINDOW=FIRST_POPUP&amp;HEIGHT=450&amp;WIDTH=450&amp;START_MAXIMIZED=","FALSE&amp;VAR:CALENDAR=US&amp;VAR:SYMBOL=MAKO&amp;VAR:INDEX=0"}</definedName>
    <definedName name="_26__FDSAUDITLINK__" localSheetId="5" hidden="1">{"fdsup://directions/FAT Viewer?action=UPDATE&amp;creator=factset&amp;DYN_ARGS=TRUE&amp;DOC_NAME=FAT:FQL_AUDITING_CLIENT_TEMPLATE.FAT&amp;display_string=Audit&amp;VAR:KEY=ODONEVYNGP&amp;VAR:QUERY=RkZfU0hMRFJTX0VRKEFOTiwwKQ==&amp;WINDOW=FIRST_POPUP&amp;HEIGHT=450&amp;WIDTH=450&amp;START_MAXIMIZED=","FALSE&amp;VAR:CALENDAR=US&amp;VAR:SYMBOL=MAKO&amp;VAR:INDEX=0"}</definedName>
    <definedName name="_26__FDSAUDITLINK__" hidden="1">{"fdsup://directions/FAT Viewer?action=UPDATE&amp;creator=factset&amp;DYN_ARGS=TRUE&amp;DOC_NAME=FAT:FQL_AUDITING_CLIENT_TEMPLATE.FAT&amp;display_string=Audit&amp;VAR:KEY=ODONEVYNGP&amp;VAR:QUERY=RkZfU0hMRFJTX0VRKEFOTiwwKQ==&amp;WINDOW=FIRST_POPUP&amp;HEIGHT=450&amp;WIDTH=450&amp;START_MAXIMIZED=","FALSE&amp;VAR:CALENDAR=US&amp;VAR:SYMBOL=MAKO&amp;VAR:INDEX=0"}</definedName>
    <definedName name="_26__FDSAUDITLINK___1" hidden="1">{"fdsup://directions/FAT Viewer?action=UPDATE&amp;creator=factset&amp;DYN_ARGS=TRUE&amp;DOC_NAME=FAT:FQL_AUDITING_CLIENT_TEMPLATE.FAT&amp;display_string=Audit&amp;VAR:KEY=ODONEVYNGP&amp;VAR:QUERY=RkZfU0hMRFJTX0VRKEFOTiwwKQ==&amp;WINDOW=FIRST_POPUP&amp;HEIGHT=450&amp;WIDTH=450&amp;START_MAXIMIZED=","FALSE&amp;VAR:CALENDAR=US&amp;VAR:SYMBOL=MAKO&amp;VAR:INDEX=0"}</definedName>
    <definedName name="_26__FDSAUDITLINK___2" hidden="1">{"fdsup://directions/FAT Viewer?action=UPDATE&amp;creator=factset&amp;DYN_ARGS=TRUE&amp;DOC_NAME=FAT:FQL_AUDITING_CLIENT_TEMPLATE.FAT&amp;display_string=Audit&amp;VAR:KEY=ODONEVYNGP&amp;VAR:QUERY=RkZfU0hMRFJTX0VRKEFOTiwwKQ==&amp;WINDOW=FIRST_POPUP&amp;HEIGHT=450&amp;WIDTH=450&amp;START_MAXIMIZED=","FALSE&amp;VAR:CALENDAR=US&amp;VAR:SYMBOL=MAKO&amp;VAR:INDEX=0"}</definedName>
    <definedName name="_27__FDSAUDITLINK__" localSheetId="7" hidden="1">{"fdsup://directions/FAT Viewer?action=UPDATE&amp;creator=factset&amp;DYN_ARGS=TRUE&amp;DOC_NAME=FAT:FQL_AUDITING_CLIENT_TEMPLATE.FAT&amp;display_string=Audit&amp;VAR:KEY=CJSFYZMLYV&amp;VAR:QUERY=RkZfREVCVChBTk4sMCk=&amp;WINDOW=FIRST_POPUP&amp;HEIGHT=450&amp;WIDTH=450&amp;START_MAXIMIZED=FALSE&amp;VA","R:CALENDAR=US&amp;VAR:SYMBOL=MAKO&amp;VAR:INDEX=0"}</definedName>
    <definedName name="_27__FDSAUDITLINK__" localSheetId="5" hidden="1">{"fdsup://directions/FAT Viewer?action=UPDATE&amp;creator=factset&amp;DYN_ARGS=TRUE&amp;DOC_NAME=FAT:FQL_AUDITING_CLIENT_TEMPLATE.FAT&amp;display_string=Audit&amp;VAR:KEY=CJSFYZMLYV&amp;VAR:QUERY=RkZfREVCVChBTk4sMCk=&amp;WINDOW=FIRST_POPUP&amp;HEIGHT=450&amp;WIDTH=450&amp;START_MAXIMIZED=FALSE&amp;VA","R:CALENDAR=US&amp;VAR:SYMBOL=MAKO&amp;VAR:INDEX=0"}</definedName>
    <definedName name="_27__FDSAUDITLINK__" hidden="1">{"fdsup://directions/FAT Viewer?action=UPDATE&amp;creator=factset&amp;DYN_ARGS=TRUE&amp;DOC_NAME=FAT:FQL_AUDITING_CLIENT_TEMPLATE.FAT&amp;display_string=Audit&amp;VAR:KEY=CJSFYZMLYV&amp;VAR:QUERY=RkZfREVCVChBTk4sMCk=&amp;WINDOW=FIRST_POPUP&amp;HEIGHT=450&amp;WIDTH=450&amp;START_MAXIMIZED=FALSE&amp;VA","R:CALENDAR=US&amp;VAR:SYMBOL=MAKO&amp;VAR:INDEX=0"}</definedName>
    <definedName name="_27__FDSAUDITLINK___1" hidden="1">{"fdsup://directions/FAT Viewer?action=UPDATE&amp;creator=factset&amp;DYN_ARGS=TRUE&amp;DOC_NAME=FAT:FQL_AUDITING_CLIENT_TEMPLATE.FAT&amp;display_string=Audit&amp;VAR:KEY=CJSFYZMLYV&amp;VAR:QUERY=RkZfREVCVChBTk4sMCk=&amp;WINDOW=FIRST_POPUP&amp;HEIGHT=450&amp;WIDTH=450&amp;START_MAXIMIZED=FALSE&amp;VA","R:CALENDAR=US&amp;VAR:SYMBOL=MAKO&amp;VAR:INDEX=0"}</definedName>
    <definedName name="_27__FDSAUDITLINK___2" hidden="1">{"fdsup://directions/FAT Viewer?action=UPDATE&amp;creator=factset&amp;DYN_ARGS=TRUE&amp;DOC_NAME=FAT:FQL_AUDITING_CLIENT_TEMPLATE.FAT&amp;display_string=Audit&amp;VAR:KEY=CJSFYZMLYV&amp;VAR:QUERY=RkZfREVCVChBTk4sMCk=&amp;WINDOW=FIRST_POPUP&amp;HEIGHT=450&amp;WIDTH=450&amp;START_MAXIMIZED=FALSE&amp;VA","R:CALENDAR=US&amp;VAR:SYMBOL=MAKO&amp;VAR:INDEX=0"}</definedName>
    <definedName name="_28__FDSAUDITLINK__" localSheetId="7" hidden="1">{"fdsup://directions/FAT Viewer?action=UPDATE&amp;creator=factset&amp;DYN_ARGS=TRUE&amp;DOC_NAME=FAT:FQL_AUDITING_CLIENT_TEMPLATE.FAT&amp;display_string=Audit&amp;VAR:KEY=SJMDUHEBWL&amp;VAR:QUERY=RkZfREVCVChBTk4sMCk=&amp;WINDOW=FIRST_POPUP&amp;HEIGHT=450&amp;WIDTH=450&amp;START_MAXIMIZED=FALSE&amp;VA","R:CALENDAR=US&amp;VAR:SYMBOL=BCR&amp;VAR:INDEX=0"}</definedName>
    <definedName name="_28__FDSAUDITLINK__" localSheetId="5" hidden="1">{"fdsup://directions/FAT Viewer?action=UPDATE&amp;creator=factset&amp;DYN_ARGS=TRUE&amp;DOC_NAME=FAT:FQL_AUDITING_CLIENT_TEMPLATE.FAT&amp;display_string=Audit&amp;VAR:KEY=SJMDUHEBWL&amp;VAR:QUERY=RkZfREVCVChBTk4sMCk=&amp;WINDOW=FIRST_POPUP&amp;HEIGHT=450&amp;WIDTH=450&amp;START_MAXIMIZED=FALSE&amp;VA","R:CALENDAR=US&amp;VAR:SYMBOL=BCR&amp;VAR:INDEX=0"}</definedName>
    <definedName name="_28__FDSAUDITLINK__" hidden="1">{"fdsup://directions/FAT Viewer?action=UPDATE&amp;creator=factset&amp;DYN_ARGS=TRUE&amp;DOC_NAME=FAT:FQL_AUDITING_CLIENT_TEMPLATE.FAT&amp;display_string=Audit&amp;VAR:KEY=SJMDUHEBWL&amp;VAR:QUERY=RkZfREVCVChBTk4sMCk=&amp;WINDOW=FIRST_POPUP&amp;HEIGHT=450&amp;WIDTH=450&amp;START_MAXIMIZED=FALSE&amp;VA","R:CALENDAR=US&amp;VAR:SYMBOL=BCR&amp;VAR:INDEX=0"}</definedName>
    <definedName name="_28__FDSAUDITLINK___1" hidden="1">{"fdsup://directions/FAT Viewer?action=UPDATE&amp;creator=factset&amp;DYN_ARGS=TRUE&amp;DOC_NAME=FAT:FQL_AUDITING_CLIENT_TEMPLATE.FAT&amp;display_string=Audit&amp;VAR:KEY=SJMDUHEBWL&amp;VAR:QUERY=RkZfREVCVChBTk4sMCk=&amp;WINDOW=FIRST_POPUP&amp;HEIGHT=450&amp;WIDTH=450&amp;START_MAXIMIZED=FALSE&amp;VA","R:CALENDAR=US&amp;VAR:SYMBOL=BCR&amp;VAR:INDEX=0"}</definedName>
    <definedName name="_28__FDSAUDITLINK___2" hidden="1">{"fdsup://directions/FAT Viewer?action=UPDATE&amp;creator=factset&amp;DYN_ARGS=TRUE&amp;DOC_NAME=FAT:FQL_AUDITING_CLIENT_TEMPLATE.FAT&amp;display_string=Audit&amp;VAR:KEY=SJMDUHEBWL&amp;VAR:QUERY=RkZfREVCVChBTk4sMCk=&amp;WINDOW=FIRST_POPUP&amp;HEIGHT=450&amp;WIDTH=450&amp;START_MAXIMIZED=FALSE&amp;VA","R:CALENDAR=US&amp;VAR:SYMBOL=BCR&amp;VAR:INDEX=0"}</definedName>
    <definedName name="_29__FDSAUDITLINK__" localSheetId="7" hidden="1">{"fdsup://directions/FAT Viewer?action=UPDATE&amp;creator=factset&amp;DYN_ARGS=TRUE&amp;DOC_NAME=FAT:FQL_AUDITING_CLIENT_TEMPLATE.FAT&amp;display_string=Audit&amp;VAR:KEY=SPIJALOVOX&amp;VAR:QUERY=RkZfU0hMRFJTX0VRKEFOTiwwKQ==&amp;WINDOW=FIRST_POPUP&amp;HEIGHT=450&amp;WIDTH=450&amp;START_MAXIMIZED=","FALSE&amp;VAR:CALENDAR=US&amp;VAR:SYMBOL=BCR&amp;VAR:INDEX=0"}</definedName>
    <definedName name="_29__FDSAUDITLINK__" localSheetId="5" hidden="1">{"fdsup://directions/FAT Viewer?action=UPDATE&amp;creator=factset&amp;DYN_ARGS=TRUE&amp;DOC_NAME=FAT:FQL_AUDITING_CLIENT_TEMPLATE.FAT&amp;display_string=Audit&amp;VAR:KEY=SPIJALOVOX&amp;VAR:QUERY=RkZfU0hMRFJTX0VRKEFOTiwwKQ==&amp;WINDOW=FIRST_POPUP&amp;HEIGHT=450&amp;WIDTH=450&amp;START_MAXIMIZED=","FALSE&amp;VAR:CALENDAR=US&amp;VAR:SYMBOL=BCR&amp;VAR:INDEX=0"}</definedName>
    <definedName name="_29__FDSAUDITLINK__" hidden="1">{"fdsup://directions/FAT Viewer?action=UPDATE&amp;creator=factset&amp;DYN_ARGS=TRUE&amp;DOC_NAME=FAT:FQL_AUDITING_CLIENT_TEMPLATE.FAT&amp;display_string=Audit&amp;VAR:KEY=SPIJALOVOX&amp;VAR:QUERY=RkZfU0hMRFJTX0VRKEFOTiwwKQ==&amp;WINDOW=FIRST_POPUP&amp;HEIGHT=450&amp;WIDTH=450&amp;START_MAXIMIZED=","FALSE&amp;VAR:CALENDAR=US&amp;VAR:SYMBOL=BCR&amp;VAR:INDEX=0"}</definedName>
    <definedName name="_29__FDSAUDITLINK___1" hidden="1">{"fdsup://directions/FAT Viewer?action=UPDATE&amp;creator=factset&amp;DYN_ARGS=TRUE&amp;DOC_NAME=FAT:FQL_AUDITING_CLIENT_TEMPLATE.FAT&amp;display_string=Audit&amp;VAR:KEY=SPIJALOVOX&amp;VAR:QUERY=RkZfU0hMRFJTX0VRKEFOTiwwKQ==&amp;WINDOW=FIRST_POPUP&amp;HEIGHT=450&amp;WIDTH=450&amp;START_MAXIMIZED=","FALSE&amp;VAR:CALENDAR=US&amp;VAR:SYMBOL=BCR&amp;VAR:INDEX=0"}</definedName>
    <definedName name="_29__FDSAUDITLINK___2" hidden="1">{"fdsup://directions/FAT Viewer?action=UPDATE&amp;creator=factset&amp;DYN_ARGS=TRUE&amp;DOC_NAME=FAT:FQL_AUDITING_CLIENT_TEMPLATE.FAT&amp;display_string=Audit&amp;VAR:KEY=SPIJALOVOX&amp;VAR:QUERY=RkZfU0hMRFJTX0VRKEFOTiwwKQ==&amp;WINDOW=FIRST_POPUP&amp;HEIGHT=450&amp;WIDTH=450&amp;START_MAXIMIZED=","FALSE&amp;VAR:CALENDAR=US&amp;VAR:SYMBOL=BCR&amp;VAR:INDEX=0"}</definedName>
    <definedName name="_3__FDSAUDITLINK__" localSheetId="7" hidden="1">{"fdsup://directions/FAT Viewer?action=UPDATE&amp;creator=factset&amp;DYN_ARGS=TRUE&amp;DOC_NAME=FAT:FQL_AUDITING_CLIENT_TEMPLATE.FAT&amp;display_string=Audit&amp;VAR:KEY=UNMNIXCVWL&amp;VAR:QUERY=RkZfREVCVChBTk4sMCk=&amp;WINDOW=FIRST_POPUP&amp;HEIGHT=450&amp;WIDTH=450&amp;START_MAXIMIZED=FALSE&amp;VA","R:CALENDAR=US&amp;VAR:SYMBOL=HNSN&amp;VAR:INDEX=0"}</definedName>
    <definedName name="_3__FDSAUDITLINK__" localSheetId="5" hidden="1">{"fdsup://directions/FAT Viewer?action=UPDATE&amp;creator=factset&amp;DYN_ARGS=TRUE&amp;DOC_NAME=FAT:FQL_AUDITING_CLIENT_TEMPLATE.FAT&amp;display_string=Audit&amp;VAR:KEY=UNMNIXCVWL&amp;VAR:QUERY=RkZfREVCVChBTk4sMCk=&amp;WINDOW=FIRST_POPUP&amp;HEIGHT=450&amp;WIDTH=450&amp;START_MAXIMIZED=FALSE&amp;VA","R:CALENDAR=US&amp;VAR:SYMBOL=HNSN&amp;VAR:INDEX=0"}</definedName>
    <definedName name="_3__FDSAUDITLINK__" hidden="1">{"fdsup://directions/FAT Viewer?action=UPDATE&amp;creator=factset&amp;DYN_ARGS=TRUE&amp;DOC_NAME=FAT:FQL_AUDITING_CLIENT_TEMPLATE.FAT&amp;display_string=Audit&amp;VAR:KEY=UNMNIXCVWL&amp;VAR:QUERY=RkZfREVCVChBTk4sMCk=&amp;WINDOW=FIRST_POPUP&amp;HEIGHT=450&amp;WIDTH=450&amp;START_MAXIMIZED=FALSE&amp;VA","R:CALENDAR=US&amp;VAR:SYMBOL=HNSN&amp;VAR:INDEX=0"}</definedName>
    <definedName name="_3__FDSAUDITLINK___1" hidden="1">{"fdsup://directions/FAT Viewer?action=UPDATE&amp;creator=factset&amp;DYN_ARGS=TRUE&amp;DOC_NAME=FAT:FQL_AUDITING_CLIENT_TEMPLATE.FAT&amp;display_string=Audit&amp;VAR:KEY=UNMNIXCVWL&amp;VAR:QUERY=RkZfREVCVChBTk4sMCk=&amp;WINDOW=FIRST_POPUP&amp;HEIGHT=450&amp;WIDTH=450&amp;START_MAXIMIZED=FALSE&amp;VA","R:CALENDAR=US&amp;VAR:SYMBOL=HNSN&amp;VAR:INDEX=0"}</definedName>
    <definedName name="_3__FDSAUDITLINK___2" hidden="1">{"fdsup://directions/FAT Viewer?action=UPDATE&amp;creator=factset&amp;DYN_ARGS=TRUE&amp;DOC_NAME=FAT:FQL_AUDITING_CLIENT_TEMPLATE.FAT&amp;display_string=Audit&amp;VAR:KEY=UNMNIXCVWL&amp;VAR:QUERY=RkZfREVCVChBTk4sMCk=&amp;WINDOW=FIRST_POPUP&amp;HEIGHT=450&amp;WIDTH=450&amp;START_MAXIMIZED=FALSE&amp;VA","R:CALENDAR=US&amp;VAR:SYMBOL=HNSN&amp;VAR:INDEX=0"}</definedName>
    <definedName name="_30__FDSAUDITLINK__" localSheetId="7" hidden="1">{"fdsup://directions/FAT Viewer?action=UPDATE&amp;creator=factset&amp;DYN_ARGS=TRUE&amp;DOC_NAME=FAT:FQL_AUDITING_CLIENT_TEMPLATE.FAT&amp;display_string=Audit&amp;VAR:KEY=SJMDUHEBWL&amp;VAR:QUERY=RkZfREVCVChBTk4sMCk=&amp;WINDOW=FIRST_POPUP&amp;HEIGHT=450&amp;WIDTH=450&amp;START_MAXIMIZED=FALSE&amp;VA","R:CALENDAR=US&amp;VAR:SYMBOL=BCR&amp;VAR:INDEX=0"}</definedName>
    <definedName name="_30__FDSAUDITLINK__" localSheetId="5" hidden="1">{"fdsup://directions/FAT Viewer?action=UPDATE&amp;creator=factset&amp;DYN_ARGS=TRUE&amp;DOC_NAME=FAT:FQL_AUDITING_CLIENT_TEMPLATE.FAT&amp;display_string=Audit&amp;VAR:KEY=SJMDUHEBWL&amp;VAR:QUERY=RkZfREVCVChBTk4sMCk=&amp;WINDOW=FIRST_POPUP&amp;HEIGHT=450&amp;WIDTH=450&amp;START_MAXIMIZED=FALSE&amp;VA","R:CALENDAR=US&amp;VAR:SYMBOL=BCR&amp;VAR:INDEX=0"}</definedName>
    <definedName name="_30__FDSAUDITLINK__" hidden="1">{"fdsup://directions/FAT Viewer?action=UPDATE&amp;creator=factset&amp;DYN_ARGS=TRUE&amp;DOC_NAME=FAT:FQL_AUDITING_CLIENT_TEMPLATE.FAT&amp;display_string=Audit&amp;VAR:KEY=SJMDUHEBWL&amp;VAR:QUERY=RkZfREVCVChBTk4sMCk=&amp;WINDOW=FIRST_POPUP&amp;HEIGHT=450&amp;WIDTH=450&amp;START_MAXIMIZED=FALSE&amp;VA","R:CALENDAR=US&amp;VAR:SYMBOL=BCR&amp;VAR:INDEX=0"}</definedName>
    <definedName name="_30__FDSAUDITLINK___1" hidden="1">{"fdsup://directions/FAT Viewer?action=UPDATE&amp;creator=factset&amp;DYN_ARGS=TRUE&amp;DOC_NAME=FAT:FQL_AUDITING_CLIENT_TEMPLATE.FAT&amp;display_string=Audit&amp;VAR:KEY=SJMDUHEBWL&amp;VAR:QUERY=RkZfREVCVChBTk4sMCk=&amp;WINDOW=FIRST_POPUP&amp;HEIGHT=450&amp;WIDTH=450&amp;START_MAXIMIZED=FALSE&amp;VA","R:CALENDAR=US&amp;VAR:SYMBOL=BCR&amp;VAR:INDEX=0"}</definedName>
    <definedName name="_30__FDSAUDITLINK___2" hidden="1">{"fdsup://directions/FAT Viewer?action=UPDATE&amp;creator=factset&amp;DYN_ARGS=TRUE&amp;DOC_NAME=FAT:FQL_AUDITING_CLIENT_TEMPLATE.FAT&amp;display_string=Audit&amp;VAR:KEY=SJMDUHEBWL&amp;VAR:QUERY=RkZfREVCVChBTk4sMCk=&amp;WINDOW=FIRST_POPUP&amp;HEIGHT=450&amp;WIDTH=450&amp;START_MAXIMIZED=FALSE&amp;VA","R:CALENDAR=US&amp;VAR:SYMBOL=BCR&amp;VAR:INDEX=0"}</definedName>
    <definedName name="_31__FDSAUDITLINK__" localSheetId="7" hidden="1">{"fdsup://directions/FAT Viewer?action=UPDATE&amp;creator=factset&amp;DYN_ARGS=TRUE&amp;DOC_NAME=FAT:FQL_AUDITING_CLIENT_TEMPLATE.FAT&amp;display_string=Audit&amp;VAR:KEY=UZUJEHQVMN&amp;VAR:QUERY=RkZfREVCVChBTk4sMCk=&amp;WINDOW=FIRST_POPUP&amp;HEIGHT=450&amp;WIDTH=450&amp;START_MAXIMIZED=FALSE&amp;VA","R:CALENDAR=US&amp;VAR:SYMBOL=EW&amp;VAR:INDEX=0"}</definedName>
    <definedName name="_31__FDSAUDITLINK__" localSheetId="5" hidden="1">{"fdsup://directions/FAT Viewer?action=UPDATE&amp;creator=factset&amp;DYN_ARGS=TRUE&amp;DOC_NAME=FAT:FQL_AUDITING_CLIENT_TEMPLATE.FAT&amp;display_string=Audit&amp;VAR:KEY=UZUJEHQVMN&amp;VAR:QUERY=RkZfREVCVChBTk4sMCk=&amp;WINDOW=FIRST_POPUP&amp;HEIGHT=450&amp;WIDTH=450&amp;START_MAXIMIZED=FALSE&amp;VA","R:CALENDAR=US&amp;VAR:SYMBOL=EW&amp;VAR:INDEX=0"}</definedName>
    <definedName name="_31__FDSAUDITLINK__" hidden="1">{"fdsup://directions/FAT Viewer?action=UPDATE&amp;creator=factset&amp;DYN_ARGS=TRUE&amp;DOC_NAME=FAT:FQL_AUDITING_CLIENT_TEMPLATE.FAT&amp;display_string=Audit&amp;VAR:KEY=UZUJEHQVMN&amp;VAR:QUERY=RkZfREVCVChBTk4sMCk=&amp;WINDOW=FIRST_POPUP&amp;HEIGHT=450&amp;WIDTH=450&amp;START_MAXIMIZED=FALSE&amp;VA","R:CALENDAR=US&amp;VAR:SYMBOL=EW&amp;VAR:INDEX=0"}</definedName>
    <definedName name="_31__FDSAUDITLINK___1" hidden="1">{"fdsup://directions/FAT Viewer?action=UPDATE&amp;creator=factset&amp;DYN_ARGS=TRUE&amp;DOC_NAME=FAT:FQL_AUDITING_CLIENT_TEMPLATE.FAT&amp;display_string=Audit&amp;VAR:KEY=UZUJEHQVMN&amp;VAR:QUERY=RkZfREVCVChBTk4sMCk=&amp;WINDOW=FIRST_POPUP&amp;HEIGHT=450&amp;WIDTH=450&amp;START_MAXIMIZED=FALSE&amp;VA","R:CALENDAR=US&amp;VAR:SYMBOL=EW&amp;VAR:INDEX=0"}</definedName>
    <definedName name="_31__FDSAUDITLINK___2" hidden="1">{"fdsup://directions/FAT Viewer?action=UPDATE&amp;creator=factset&amp;DYN_ARGS=TRUE&amp;DOC_NAME=FAT:FQL_AUDITING_CLIENT_TEMPLATE.FAT&amp;display_string=Audit&amp;VAR:KEY=UZUJEHQVMN&amp;VAR:QUERY=RkZfREVCVChBTk4sMCk=&amp;WINDOW=FIRST_POPUP&amp;HEIGHT=450&amp;WIDTH=450&amp;START_MAXIMIZED=FALSE&amp;VA","R:CALENDAR=US&amp;VAR:SYMBOL=EW&amp;VAR:INDEX=0"}</definedName>
    <definedName name="_32__FDSAUDITLINK__" localSheetId="7" hidden="1">{"fdsup://directions/FAT Viewer?action=UPDATE&amp;creator=factset&amp;DYN_ARGS=TRUE&amp;DOC_NAME=FAT:FQL_AUDITING_CLIENT_TEMPLATE.FAT&amp;display_string=Audit&amp;VAR:KEY=SBADOJWLUZ&amp;VAR:QUERY=RkZfU0hMRFJTX0VRKEFOTiwwKQ==&amp;WINDOW=FIRST_POPUP&amp;HEIGHT=450&amp;WIDTH=450&amp;START_MAXIMIZED=","FALSE&amp;VAR:CALENDAR=US&amp;VAR:SYMBOL=EW&amp;VAR:INDEX=0"}</definedName>
    <definedName name="_32__FDSAUDITLINK__" localSheetId="5" hidden="1">{"fdsup://directions/FAT Viewer?action=UPDATE&amp;creator=factset&amp;DYN_ARGS=TRUE&amp;DOC_NAME=FAT:FQL_AUDITING_CLIENT_TEMPLATE.FAT&amp;display_string=Audit&amp;VAR:KEY=SBADOJWLUZ&amp;VAR:QUERY=RkZfU0hMRFJTX0VRKEFOTiwwKQ==&amp;WINDOW=FIRST_POPUP&amp;HEIGHT=450&amp;WIDTH=450&amp;START_MAXIMIZED=","FALSE&amp;VAR:CALENDAR=US&amp;VAR:SYMBOL=EW&amp;VAR:INDEX=0"}</definedName>
    <definedName name="_32__FDSAUDITLINK__" hidden="1">{"fdsup://directions/FAT Viewer?action=UPDATE&amp;creator=factset&amp;DYN_ARGS=TRUE&amp;DOC_NAME=FAT:FQL_AUDITING_CLIENT_TEMPLATE.FAT&amp;display_string=Audit&amp;VAR:KEY=SBADOJWLUZ&amp;VAR:QUERY=RkZfU0hMRFJTX0VRKEFOTiwwKQ==&amp;WINDOW=FIRST_POPUP&amp;HEIGHT=450&amp;WIDTH=450&amp;START_MAXIMIZED=","FALSE&amp;VAR:CALENDAR=US&amp;VAR:SYMBOL=EW&amp;VAR:INDEX=0"}</definedName>
    <definedName name="_32__FDSAUDITLINK___1" hidden="1">{"fdsup://directions/FAT Viewer?action=UPDATE&amp;creator=factset&amp;DYN_ARGS=TRUE&amp;DOC_NAME=FAT:FQL_AUDITING_CLIENT_TEMPLATE.FAT&amp;display_string=Audit&amp;VAR:KEY=SBADOJWLUZ&amp;VAR:QUERY=RkZfU0hMRFJTX0VRKEFOTiwwKQ==&amp;WINDOW=FIRST_POPUP&amp;HEIGHT=450&amp;WIDTH=450&amp;START_MAXIMIZED=","FALSE&amp;VAR:CALENDAR=US&amp;VAR:SYMBOL=EW&amp;VAR:INDEX=0"}</definedName>
    <definedName name="_32__FDSAUDITLINK___2" hidden="1">{"fdsup://directions/FAT Viewer?action=UPDATE&amp;creator=factset&amp;DYN_ARGS=TRUE&amp;DOC_NAME=FAT:FQL_AUDITING_CLIENT_TEMPLATE.FAT&amp;display_string=Audit&amp;VAR:KEY=SBADOJWLUZ&amp;VAR:QUERY=RkZfU0hMRFJTX0VRKEFOTiwwKQ==&amp;WINDOW=FIRST_POPUP&amp;HEIGHT=450&amp;WIDTH=450&amp;START_MAXIMIZED=","FALSE&amp;VAR:CALENDAR=US&amp;VAR:SYMBOL=EW&amp;VAR:INDEX=0"}</definedName>
    <definedName name="_33__FDSAUDITLINK__" localSheetId="7" hidden="1">{"fdsup://directions/FAT Viewer?action=UPDATE&amp;creator=factset&amp;DYN_ARGS=TRUE&amp;DOC_NAME=FAT:FQL_AUDITING_CLIENT_TEMPLATE.FAT&amp;display_string=Audit&amp;VAR:KEY=UZUJEHQVMN&amp;VAR:QUERY=RkZfREVCVChBTk4sMCk=&amp;WINDOW=FIRST_POPUP&amp;HEIGHT=450&amp;WIDTH=450&amp;START_MAXIMIZED=FALSE&amp;VA","R:CALENDAR=US&amp;VAR:SYMBOL=EW&amp;VAR:INDEX=0"}</definedName>
    <definedName name="_33__FDSAUDITLINK__" localSheetId="5" hidden="1">{"fdsup://directions/FAT Viewer?action=UPDATE&amp;creator=factset&amp;DYN_ARGS=TRUE&amp;DOC_NAME=FAT:FQL_AUDITING_CLIENT_TEMPLATE.FAT&amp;display_string=Audit&amp;VAR:KEY=UZUJEHQVMN&amp;VAR:QUERY=RkZfREVCVChBTk4sMCk=&amp;WINDOW=FIRST_POPUP&amp;HEIGHT=450&amp;WIDTH=450&amp;START_MAXIMIZED=FALSE&amp;VA","R:CALENDAR=US&amp;VAR:SYMBOL=EW&amp;VAR:INDEX=0"}</definedName>
    <definedName name="_33__FDSAUDITLINK__" hidden="1">{"fdsup://directions/FAT Viewer?action=UPDATE&amp;creator=factset&amp;DYN_ARGS=TRUE&amp;DOC_NAME=FAT:FQL_AUDITING_CLIENT_TEMPLATE.FAT&amp;display_string=Audit&amp;VAR:KEY=UZUJEHQVMN&amp;VAR:QUERY=RkZfREVCVChBTk4sMCk=&amp;WINDOW=FIRST_POPUP&amp;HEIGHT=450&amp;WIDTH=450&amp;START_MAXIMIZED=FALSE&amp;VA","R:CALENDAR=US&amp;VAR:SYMBOL=EW&amp;VAR:INDEX=0"}</definedName>
    <definedName name="_33__FDSAUDITLINK___1" hidden="1">{"fdsup://directions/FAT Viewer?action=UPDATE&amp;creator=factset&amp;DYN_ARGS=TRUE&amp;DOC_NAME=FAT:FQL_AUDITING_CLIENT_TEMPLATE.FAT&amp;display_string=Audit&amp;VAR:KEY=UZUJEHQVMN&amp;VAR:QUERY=RkZfREVCVChBTk4sMCk=&amp;WINDOW=FIRST_POPUP&amp;HEIGHT=450&amp;WIDTH=450&amp;START_MAXIMIZED=FALSE&amp;VA","R:CALENDAR=US&amp;VAR:SYMBOL=EW&amp;VAR:INDEX=0"}</definedName>
    <definedName name="_33__FDSAUDITLINK___2" hidden="1">{"fdsup://directions/FAT Viewer?action=UPDATE&amp;creator=factset&amp;DYN_ARGS=TRUE&amp;DOC_NAME=FAT:FQL_AUDITING_CLIENT_TEMPLATE.FAT&amp;display_string=Audit&amp;VAR:KEY=UZUJEHQVMN&amp;VAR:QUERY=RkZfREVCVChBTk4sMCk=&amp;WINDOW=FIRST_POPUP&amp;HEIGHT=450&amp;WIDTH=450&amp;START_MAXIMIZED=FALSE&amp;VA","R:CALENDAR=US&amp;VAR:SYMBOL=EW&amp;VAR:INDEX=0"}</definedName>
    <definedName name="_34__FDSAUDITLINK__" localSheetId="7" hidden="1">{"fdsup://directions/FAT Viewer?action=UPDATE&amp;creator=factset&amp;DYN_ARGS=TRUE&amp;DOC_NAME=FAT:FQL_AUDITING_CLIENT_TEMPLATE.FAT&amp;display_string=Audit&amp;VAR:KEY=SPEJQTEBEN&amp;VAR:QUERY=RkZfREVCVChBTk4sMCk=&amp;WINDOW=FIRST_POPUP&amp;HEIGHT=450&amp;WIDTH=450&amp;START_MAXIMIZED=FALSE&amp;VA","R:CALENDAR=US&amp;VAR:SYMBOL=BSX&amp;VAR:INDEX=0"}</definedName>
    <definedName name="_34__FDSAUDITLINK__" localSheetId="5" hidden="1">{"fdsup://directions/FAT Viewer?action=UPDATE&amp;creator=factset&amp;DYN_ARGS=TRUE&amp;DOC_NAME=FAT:FQL_AUDITING_CLIENT_TEMPLATE.FAT&amp;display_string=Audit&amp;VAR:KEY=SPEJQTEBEN&amp;VAR:QUERY=RkZfREVCVChBTk4sMCk=&amp;WINDOW=FIRST_POPUP&amp;HEIGHT=450&amp;WIDTH=450&amp;START_MAXIMIZED=FALSE&amp;VA","R:CALENDAR=US&amp;VAR:SYMBOL=BSX&amp;VAR:INDEX=0"}</definedName>
    <definedName name="_34__FDSAUDITLINK__" hidden="1">{"fdsup://directions/FAT Viewer?action=UPDATE&amp;creator=factset&amp;DYN_ARGS=TRUE&amp;DOC_NAME=FAT:FQL_AUDITING_CLIENT_TEMPLATE.FAT&amp;display_string=Audit&amp;VAR:KEY=SPEJQTEBEN&amp;VAR:QUERY=RkZfREVCVChBTk4sMCk=&amp;WINDOW=FIRST_POPUP&amp;HEIGHT=450&amp;WIDTH=450&amp;START_MAXIMIZED=FALSE&amp;VA","R:CALENDAR=US&amp;VAR:SYMBOL=BSX&amp;VAR:INDEX=0"}</definedName>
    <definedName name="_34__FDSAUDITLINK___1" hidden="1">{"fdsup://directions/FAT Viewer?action=UPDATE&amp;creator=factset&amp;DYN_ARGS=TRUE&amp;DOC_NAME=FAT:FQL_AUDITING_CLIENT_TEMPLATE.FAT&amp;display_string=Audit&amp;VAR:KEY=SPEJQTEBEN&amp;VAR:QUERY=RkZfREVCVChBTk4sMCk=&amp;WINDOW=FIRST_POPUP&amp;HEIGHT=450&amp;WIDTH=450&amp;START_MAXIMIZED=FALSE&amp;VA","R:CALENDAR=US&amp;VAR:SYMBOL=BSX&amp;VAR:INDEX=0"}</definedName>
    <definedName name="_34__FDSAUDITLINK___2" hidden="1">{"fdsup://directions/FAT Viewer?action=UPDATE&amp;creator=factset&amp;DYN_ARGS=TRUE&amp;DOC_NAME=FAT:FQL_AUDITING_CLIENT_TEMPLATE.FAT&amp;display_string=Audit&amp;VAR:KEY=SPEJQTEBEN&amp;VAR:QUERY=RkZfREVCVChBTk4sMCk=&amp;WINDOW=FIRST_POPUP&amp;HEIGHT=450&amp;WIDTH=450&amp;START_MAXIMIZED=FALSE&amp;VA","R:CALENDAR=US&amp;VAR:SYMBOL=BSX&amp;VAR:INDEX=0"}</definedName>
    <definedName name="_35__FDSAUDITLINK__" localSheetId="7" hidden="1">{"fdsup://directions/FAT Viewer?action=UPDATE&amp;creator=factset&amp;DYN_ARGS=TRUE&amp;DOC_NAME=FAT:FQL_AUDITING_CLIENT_TEMPLATE.FAT&amp;display_string=Audit&amp;VAR:KEY=WPWDABQVWF&amp;VAR:QUERY=RkZfU0hMRFJTX0VRKEFOTiwwKQ==&amp;WINDOW=FIRST_POPUP&amp;HEIGHT=450&amp;WIDTH=450&amp;START_MAXIMIZED=","FALSE&amp;VAR:CALENDAR=US&amp;VAR:SYMBOL=BSX&amp;VAR:INDEX=0"}</definedName>
    <definedName name="_35__FDSAUDITLINK__" localSheetId="5" hidden="1">{"fdsup://directions/FAT Viewer?action=UPDATE&amp;creator=factset&amp;DYN_ARGS=TRUE&amp;DOC_NAME=FAT:FQL_AUDITING_CLIENT_TEMPLATE.FAT&amp;display_string=Audit&amp;VAR:KEY=WPWDABQVWF&amp;VAR:QUERY=RkZfU0hMRFJTX0VRKEFOTiwwKQ==&amp;WINDOW=FIRST_POPUP&amp;HEIGHT=450&amp;WIDTH=450&amp;START_MAXIMIZED=","FALSE&amp;VAR:CALENDAR=US&amp;VAR:SYMBOL=BSX&amp;VAR:INDEX=0"}</definedName>
    <definedName name="_35__FDSAUDITLINK__" hidden="1">{"fdsup://directions/FAT Viewer?action=UPDATE&amp;creator=factset&amp;DYN_ARGS=TRUE&amp;DOC_NAME=FAT:FQL_AUDITING_CLIENT_TEMPLATE.FAT&amp;display_string=Audit&amp;VAR:KEY=WPWDABQVWF&amp;VAR:QUERY=RkZfU0hMRFJTX0VRKEFOTiwwKQ==&amp;WINDOW=FIRST_POPUP&amp;HEIGHT=450&amp;WIDTH=450&amp;START_MAXIMIZED=","FALSE&amp;VAR:CALENDAR=US&amp;VAR:SYMBOL=BSX&amp;VAR:INDEX=0"}</definedName>
    <definedName name="_35__FDSAUDITLINK___1" hidden="1">{"fdsup://directions/FAT Viewer?action=UPDATE&amp;creator=factset&amp;DYN_ARGS=TRUE&amp;DOC_NAME=FAT:FQL_AUDITING_CLIENT_TEMPLATE.FAT&amp;display_string=Audit&amp;VAR:KEY=WPWDABQVWF&amp;VAR:QUERY=RkZfU0hMRFJTX0VRKEFOTiwwKQ==&amp;WINDOW=FIRST_POPUP&amp;HEIGHT=450&amp;WIDTH=450&amp;START_MAXIMIZED=","FALSE&amp;VAR:CALENDAR=US&amp;VAR:SYMBOL=BSX&amp;VAR:INDEX=0"}</definedName>
    <definedName name="_35__FDSAUDITLINK___2" hidden="1">{"fdsup://directions/FAT Viewer?action=UPDATE&amp;creator=factset&amp;DYN_ARGS=TRUE&amp;DOC_NAME=FAT:FQL_AUDITING_CLIENT_TEMPLATE.FAT&amp;display_string=Audit&amp;VAR:KEY=WPWDABQVWF&amp;VAR:QUERY=RkZfU0hMRFJTX0VRKEFOTiwwKQ==&amp;WINDOW=FIRST_POPUP&amp;HEIGHT=450&amp;WIDTH=450&amp;START_MAXIMIZED=","FALSE&amp;VAR:CALENDAR=US&amp;VAR:SYMBOL=BSX&amp;VAR:INDEX=0"}</definedName>
    <definedName name="_36__FDSAUDITLINK__" localSheetId="7" hidden="1">{"fdsup://directions/FAT Viewer?action=UPDATE&amp;creator=factset&amp;DYN_ARGS=TRUE&amp;DOC_NAME=FAT:FQL_AUDITING_CLIENT_TEMPLATE.FAT&amp;display_string=Audit&amp;VAR:KEY=SPEJQTEBEN&amp;VAR:QUERY=RkZfREVCVChBTk4sMCk=&amp;WINDOW=FIRST_POPUP&amp;HEIGHT=450&amp;WIDTH=450&amp;START_MAXIMIZED=FALSE&amp;VA","R:CALENDAR=US&amp;VAR:SYMBOL=BSX&amp;VAR:INDEX=0"}</definedName>
    <definedName name="_36__FDSAUDITLINK__" localSheetId="5" hidden="1">{"fdsup://directions/FAT Viewer?action=UPDATE&amp;creator=factset&amp;DYN_ARGS=TRUE&amp;DOC_NAME=FAT:FQL_AUDITING_CLIENT_TEMPLATE.FAT&amp;display_string=Audit&amp;VAR:KEY=SPEJQTEBEN&amp;VAR:QUERY=RkZfREVCVChBTk4sMCk=&amp;WINDOW=FIRST_POPUP&amp;HEIGHT=450&amp;WIDTH=450&amp;START_MAXIMIZED=FALSE&amp;VA","R:CALENDAR=US&amp;VAR:SYMBOL=BSX&amp;VAR:INDEX=0"}</definedName>
    <definedName name="_36__FDSAUDITLINK__" hidden="1">{"fdsup://directions/FAT Viewer?action=UPDATE&amp;creator=factset&amp;DYN_ARGS=TRUE&amp;DOC_NAME=FAT:FQL_AUDITING_CLIENT_TEMPLATE.FAT&amp;display_string=Audit&amp;VAR:KEY=SPEJQTEBEN&amp;VAR:QUERY=RkZfREVCVChBTk4sMCk=&amp;WINDOW=FIRST_POPUP&amp;HEIGHT=450&amp;WIDTH=450&amp;START_MAXIMIZED=FALSE&amp;VA","R:CALENDAR=US&amp;VAR:SYMBOL=BSX&amp;VAR:INDEX=0"}</definedName>
    <definedName name="_36__FDSAUDITLINK___1" hidden="1">{"fdsup://directions/FAT Viewer?action=UPDATE&amp;creator=factset&amp;DYN_ARGS=TRUE&amp;DOC_NAME=FAT:FQL_AUDITING_CLIENT_TEMPLATE.FAT&amp;display_string=Audit&amp;VAR:KEY=SPEJQTEBEN&amp;VAR:QUERY=RkZfREVCVChBTk4sMCk=&amp;WINDOW=FIRST_POPUP&amp;HEIGHT=450&amp;WIDTH=450&amp;START_MAXIMIZED=FALSE&amp;VA","R:CALENDAR=US&amp;VAR:SYMBOL=BSX&amp;VAR:INDEX=0"}</definedName>
    <definedName name="_36__FDSAUDITLINK___2" hidden="1">{"fdsup://directions/FAT Viewer?action=UPDATE&amp;creator=factset&amp;DYN_ARGS=TRUE&amp;DOC_NAME=FAT:FQL_AUDITING_CLIENT_TEMPLATE.FAT&amp;display_string=Audit&amp;VAR:KEY=SPEJQTEBEN&amp;VAR:QUERY=RkZfREVCVChBTk4sMCk=&amp;WINDOW=FIRST_POPUP&amp;HEIGHT=450&amp;WIDTH=450&amp;START_MAXIMIZED=FALSE&amp;VA","R:CALENDAR=US&amp;VAR:SYMBOL=BSX&amp;VAR:INDEX=0"}</definedName>
    <definedName name="_37__FDSAUDITLINK__" localSheetId="7" hidden="1">{"fdsup://directions/FAT Viewer?action=UPDATE&amp;creator=factset&amp;DYN_ARGS=TRUE&amp;DOC_NAME=FAT:FQL_AUDITING_CLIENT_TEMPLATE.FAT&amp;display_string=Audit&amp;VAR:KEY=SVATOJKTWJ&amp;VAR:QUERY=RkZfREVCVChBTk4sMCk=&amp;WINDOW=FIRST_POPUP&amp;HEIGHT=450&amp;WIDTH=450&amp;START_MAXIMIZED=FALSE&amp;VA","R:CALENDAR=US&amp;VAR:SYMBOL=BDX&amp;VAR:INDEX=0"}</definedName>
    <definedName name="_37__FDSAUDITLINK__" localSheetId="5" hidden="1">{"fdsup://directions/FAT Viewer?action=UPDATE&amp;creator=factset&amp;DYN_ARGS=TRUE&amp;DOC_NAME=FAT:FQL_AUDITING_CLIENT_TEMPLATE.FAT&amp;display_string=Audit&amp;VAR:KEY=SVATOJKTWJ&amp;VAR:QUERY=RkZfREVCVChBTk4sMCk=&amp;WINDOW=FIRST_POPUP&amp;HEIGHT=450&amp;WIDTH=450&amp;START_MAXIMIZED=FALSE&amp;VA","R:CALENDAR=US&amp;VAR:SYMBOL=BDX&amp;VAR:INDEX=0"}</definedName>
    <definedName name="_37__FDSAUDITLINK__" hidden="1">{"fdsup://directions/FAT Viewer?action=UPDATE&amp;creator=factset&amp;DYN_ARGS=TRUE&amp;DOC_NAME=FAT:FQL_AUDITING_CLIENT_TEMPLATE.FAT&amp;display_string=Audit&amp;VAR:KEY=SVATOJKTWJ&amp;VAR:QUERY=RkZfREVCVChBTk4sMCk=&amp;WINDOW=FIRST_POPUP&amp;HEIGHT=450&amp;WIDTH=450&amp;START_MAXIMIZED=FALSE&amp;VA","R:CALENDAR=US&amp;VAR:SYMBOL=BDX&amp;VAR:INDEX=0"}</definedName>
    <definedName name="_37__FDSAUDITLINK___1" hidden="1">{"fdsup://directions/FAT Viewer?action=UPDATE&amp;creator=factset&amp;DYN_ARGS=TRUE&amp;DOC_NAME=FAT:FQL_AUDITING_CLIENT_TEMPLATE.FAT&amp;display_string=Audit&amp;VAR:KEY=SVATOJKTWJ&amp;VAR:QUERY=RkZfREVCVChBTk4sMCk=&amp;WINDOW=FIRST_POPUP&amp;HEIGHT=450&amp;WIDTH=450&amp;START_MAXIMIZED=FALSE&amp;VA","R:CALENDAR=US&amp;VAR:SYMBOL=BDX&amp;VAR:INDEX=0"}</definedName>
    <definedName name="_37__FDSAUDITLINK___2" hidden="1">{"fdsup://directions/FAT Viewer?action=UPDATE&amp;creator=factset&amp;DYN_ARGS=TRUE&amp;DOC_NAME=FAT:FQL_AUDITING_CLIENT_TEMPLATE.FAT&amp;display_string=Audit&amp;VAR:KEY=SVATOJKTWJ&amp;VAR:QUERY=RkZfREVCVChBTk4sMCk=&amp;WINDOW=FIRST_POPUP&amp;HEIGHT=450&amp;WIDTH=450&amp;START_MAXIMIZED=FALSE&amp;VA","R:CALENDAR=US&amp;VAR:SYMBOL=BDX&amp;VAR:INDEX=0"}</definedName>
    <definedName name="_38__FDSAUDITLINK__" localSheetId="7" hidden="1">{"fdsup://directions/FAT Viewer?action=UPDATE&amp;creator=factset&amp;DYN_ARGS=TRUE&amp;DOC_NAME=FAT:FQL_AUDITING_CLIENT_TEMPLATE.FAT&amp;display_string=Audit&amp;VAR:KEY=QBGRYJGXCZ&amp;VAR:QUERY=RkZfU0hMRFJTX0VRKEFOTiwwKQ==&amp;WINDOW=FIRST_POPUP&amp;HEIGHT=450&amp;WIDTH=450&amp;START_MAXIMIZED=","FALSE&amp;VAR:CALENDAR=US&amp;VAR:SYMBOL=BDX&amp;VAR:INDEX=0"}</definedName>
    <definedName name="_38__FDSAUDITLINK__" localSheetId="5" hidden="1">{"fdsup://directions/FAT Viewer?action=UPDATE&amp;creator=factset&amp;DYN_ARGS=TRUE&amp;DOC_NAME=FAT:FQL_AUDITING_CLIENT_TEMPLATE.FAT&amp;display_string=Audit&amp;VAR:KEY=QBGRYJGXCZ&amp;VAR:QUERY=RkZfU0hMRFJTX0VRKEFOTiwwKQ==&amp;WINDOW=FIRST_POPUP&amp;HEIGHT=450&amp;WIDTH=450&amp;START_MAXIMIZED=","FALSE&amp;VAR:CALENDAR=US&amp;VAR:SYMBOL=BDX&amp;VAR:INDEX=0"}</definedName>
    <definedName name="_38__FDSAUDITLINK__" hidden="1">{"fdsup://directions/FAT Viewer?action=UPDATE&amp;creator=factset&amp;DYN_ARGS=TRUE&amp;DOC_NAME=FAT:FQL_AUDITING_CLIENT_TEMPLATE.FAT&amp;display_string=Audit&amp;VAR:KEY=QBGRYJGXCZ&amp;VAR:QUERY=RkZfU0hMRFJTX0VRKEFOTiwwKQ==&amp;WINDOW=FIRST_POPUP&amp;HEIGHT=450&amp;WIDTH=450&amp;START_MAXIMIZED=","FALSE&amp;VAR:CALENDAR=US&amp;VAR:SYMBOL=BDX&amp;VAR:INDEX=0"}</definedName>
    <definedName name="_38__FDSAUDITLINK___1" hidden="1">{"fdsup://directions/FAT Viewer?action=UPDATE&amp;creator=factset&amp;DYN_ARGS=TRUE&amp;DOC_NAME=FAT:FQL_AUDITING_CLIENT_TEMPLATE.FAT&amp;display_string=Audit&amp;VAR:KEY=QBGRYJGXCZ&amp;VAR:QUERY=RkZfU0hMRFJTX0VRKEFOTiwwKQ==&amp;WINDOW=FIRST_POPUP&amp;HEIGHT=450&amp;WIDTH=450&amp;START_MAXIMIZED=","FALSE&amp;VAR:CALENDAR=US&amp;VAR:SYMBOL=BDX&amp;VAR:INDEX=0"}</definedName>
    <definedName name="_38__FDSAUDITLINK___2" hidden="1">{"fdsup://directions/FAT Viewer?action=UPDATE&amp;creator=factset&amp;DYN_ARGS=TRUE&amp;DOC_NAME=FAT:FQL_AUDITING_CLIENT_TEMPLATE.FAT&amp;display_string=Audit&amp;VAR:KEY=QBGRYJGXCZ&amp;VAR:QUERY=RkZfU0hMRFJTX0VRKEFOTiwwKQ==&amp;WINDOW=FIRST_POPUP&amp;HEIGHT=450&amp;WIDTH=450&amp;START_MAXIMIZED=","FALSE&amp;VAR:CALENDAR=US&amp;VAR:SYMBOL=BDX&amp;VAR:INDEX=0"}</definedName>
    <definedName name="_39__FDSAUDITLINK__" localSheetId="7" hidden="1">{"fdsup://directions/FAT Viewer?action=UPDATE&amp;creator=factset&amp;DYN_ARGS=TRUE&amp;DOC_NAME=FAT:FQL_AUDITING_CLIENT_TEMPLATE.FAT&amp;display_string=Audit&amp;VAR:KEY=SVATOJKTWJ&amp;VAR:QUERY=RkZfREVCVChBTk4sMCk=&amp;WINDOW=FIRST_POPUP&amp;HEIGHT=450&amp;WIDTH=450&amp;START_MAXIMIZED=FALSE&amp;VA","R:CALENDAR=US&amp;VAR:SYMBOL=BDX&amp;VAR:INDEX=0"}</definedName>
    <definedName name="_39__FDSAUDITLINK__" localSheetId="5" hidden="1">{"fdsup://directions/FAT Viewer?action=UPDATE&amp;creator=factset&amp;DYN_ARGS=TRUE&amp;DOC_NAME=FAT:FQL_AUDITING_CLIENT_TEMPLATE.FAT&amp;display_string=Audit&amp;VAR:KEY=SVATOJKTWJ&amp;VAR:QUERY=RkZfREVCVChBTk4sMCk=&amp;WINDOW=FIRST_POPUP&amp;HEIGHT=450&amp;WIDTH=450&amp;START_MAXIMIZED=FALSE&amp;VA","R:CALENDAR=US&amp;VAR:SYMBOL=BDX&amp;VAR:INDEX=0"}</definedName>
    <definedName name="_39__FDSAUDITLINK__" hidden="1">{"fdsup://directions/FAT Viewer?action=UPDATE&amp;creator=factset&amp;DYN_ARGS=TRUE&amp;DOC_NAME=FAT:FQL_AUDITING_CLIENT_TEMPLATE.FAT&amp;display_string=Audit&amp;VAR:KEY=SVATOJKTWJ&amp;VAR:QUERY=RkZfREVCVChBTk4sMCk=&amp;WINDOW=FIRST_POPUP&amp;HEIGHT=450&amp;WIDTH=450&amp;START_MAXIMIZED=FALSE&amp;VA","R:CALENDAR=US&amp;VAR:SYMBOL=BDX&amp;VAR:INDEX=0"}</definedName>
    <definedName name="_39__FDSAUDITLINK___1" hidden="1">{"fdsup://directions/FAT Viewer?action=UPDATE&amp;creator=factset&amp;DYN_ARGS=TRUE&amp;DOC_NAME=FAT:FQL_AUDITING_CLIENT_TEMPLATE.FAT&amp;display_string=Audit&amp;VAR:KEY=SVATOJKTWJ&amp;VAR:QUERY=RkZfREVCVChBTk4sMCk=&amp;WINDOW=FIRST_POPUP&amp;HEIGHT=450&amp;WIDTH=450&amp;START_MAXIMIZED=FALSE&amp;VA","R:CALENDAR=US&amp;VAR:SYMBOL=BDX&amp;VAR:INDEX=0"}</definedName>
    <definedName name="_39__FDSAUDITLINK___2" hidden="1">{"fdsup://directions/FAT Viewer?action=UPDATE&amp;creator=factset&amp;DYN_ARGS=TRUE&amp;DOC_NAME=FAT:FQL_AUDITING_CLIENT_TEMPLATE.FAT&amp;display_string=Audit&amp;VAR:KEY=SVATOJKTWJ&amp;VAR:QUERY=RkZfREVCVChBTk4sMCk=&amp;WINDOW=FIRST_POPUP&amp;HEIGHT=450&amp;WIDTH=450&amp;START_MAXIMIZED=FALSE&amp;VA","R:CALENDAR=US&amp;VAR:SYMBOL=BDX&amp;VAR:INDEX=0"}</definedName>
    <definedName name="_4__FDSAUDITLINK__" localSheetId="7" hidden="1">{"fdsup://directions/FAT Viewer?action=UPDATE&amp;creator=factset&amp;DYN_ARGS=TRUE&amp;DOC_NAME=FAT:FQL_AUDITING_CLIENT_TEMPLATE.FAT&amp;display_string=Audit&amp;VAR:KEY=KNEDEHEBGJ&amp;VAR:QUERY=RkZfREVCVChBTk4sMCk=&amp;WINDOW=FIRST_POPUP&amp;HEIGHT=450&amp;WIDTH=450&amp;START_MAXIMIZED=FALSE&amp;VA","R:CALENDAR=US&amp;VAR:SYMBOL=HAE&amp;VAR:INDEX=0"}</definedName>
    <definedName name="_4__FDSAUDITLINK__" localSheetId="5" hidden="1">{"fdsup://directions/FAT Viewer?action=UPDATE&amp;creator=factset&amp;DYN_ARGS=TRUE&amp;DOC_NAME=FAT:FQL_AUDITING_CLIENT_TEMPLATE.FAT&amp;display_string=Audit&amp;VAR:KEY=KNEDEHEBGJ&amp;VAR:QUERY=RkZfREVCVChBTk4sMCk=&amp;WINDOW=FIRST_POPUP&amp;HEIGHT=450&amp;WIDTH=450&amp;START_MAXIMIZED=FALSE&amp;VA","R:CALENDAR=US&amp;VAR:SYMBOL=HAE&amp;VAR:INDEX=0"}</definedName>
    <definedName name="_4__FDSAUDITLINK__" hidden="1">{"fdsup://directions/FAT Viewer?action=UPDATE&amp;creator=factset&amp;DYN_ARGS=TRUE&amp;DOC_NAME=FAT:FQL_AUDITING_CLIENT_TEMPLATE.FAT&amp;display_string=Audit&amp;VAR:KEY=KNEDEHEBGJ&amp;VAR:QUERY=RkZfREVCVChBTk4sMCk=&amp;WINDOW=FIRST_POPUP&amp;HEIGHT=450&amp;WIDTH=450&amp;START_MAXIMIZED=FALSE&amp;VA","R:CALENDAR=US&amp;VAR:SYMBOL=HAE&amp;VAR:INDEX=0"}</definedName>
    <definedName name="_4__FDSAUDITLINK___1" hidden="1">{"fdsup://directions/FAT Viewer?action=UPDATE&amp;creator=factset&amp;DYN_ARGS=TRUE&amp;DOC_NAME=FAT:FQL_AUDITING_CLIENT_TEMPLATE.FAT&amp;display_string=Audit&amp;VAR:KEY=KNEDEHEBGJ&amp;VAR:QUERY=RkZfREVCVChBTk4sMCk=&amp;WINDOW=FIRST_POPUP&amp;HEIGHT=450&amp;WIDTH=450&amp;START_MAXIMIZED=FALSE&amp;VA","R:CALENDAR=US&amp;VAR:SYMBOL=HAE&amp;VAR:INDEX=0"}</definedName>
    <definedName name="_4__FDSAUDITLINK___2" hidden="1">{"fdsup://directions/FAT Viewer?action=UPDATE&amp;creator=factset&amp;DYN_ARGS=TRUE&amp;DOC_NAME=FAT:FQL_AUDITING_CLIENT_TEMPLATE.FAT&amp;display_string=Audit&amp;VAR:KEY=KNEDEHEBGJ&amp;VAR:QUERY=RkZfREVCVChBTk4sMCk=&amp;WINDOW=FIRST_POPUP&amp;HEIGHT=450&amp;WIDTH=450&amp;START_MAXIMIZED=FALSE&amp;VA","R:CALENDAR=US&amp;VAR:SYMBOL=HAE&amp;VAR:INDEX=0"}</definedName>
    <definedName name="_40__FDSAUDITLINK__" localSheetId="7" hidden="1">{"fdsup://directions/FAT Viewer?action=UPDATE&amp;creator=factset&amp;DYN_ARGS=TRUE&amp;DOC_NAME=FAT:FQL_AUDITING_CLIENT_TEMPLATE.FAT&amp;display_string=Audit&amp;VAR:KEY=ATYJWJEXOT&amp;VAR:QUERY=RkZfREVCVChBTk4sMCk=&amp;WINDOW=FIRST_POPUP&amp;HEIGHT=450&amp;WIDTH=450&amp;START_MAXIMIZED=FALSE&amp;VA","R:CALENDAR=US&amp;VAR:SYMBOL=JNJ&amp;VAR:INDEX=0"}</definedName>
    <definedName name="_40__FDSAUDITLINK__" localSheetId="5" hidden="1">{"fdsup://directions/FAT Viewer?action=UPDATE&amp;creator=factset&amp;DYN_ARGS=TRUE&amp;DOC_NAME=FAT:FQL_AUDITING_CLIENT_TEMPLATE.FAT&amp;display_string=Audit&amp;VAR:KEY=ATYJWJEXOT&amp;VAR:QUERY=RkZfREVCVChBTk4sMCk=&amp;WINDOW=FIRST_POPUP&amp;HEIGHT=450&amp;WIDTH=450&amp;START_MAXIMIZED=FALSE&amp;VA","R:CALENDAR=US&amp;VAR:SYMBOL=JNJ&amp;VAR:INDEX=0"}</definedName>
    <definedName name="_40__FDSAUDITLINK__" hidden="1">{"fdsup://directions/FAT Viewer?action=UPDATE&amp;creator=factset&amp;DYN_ARGS=TRUE&amp;DOC_NAME=FAT:FQL_AUDITING_CLIENT_TEMPLATE.FAT&amp;display_string=Audit&amp;VAR:KEY=ATYJWJEXOT&amp;VAR:QUERY=RkZfREVCVChBTk4sMCk=&amp;WINDOW=FIRST_POPUP&amp;HEIGHT=450&amp;WIDTH=450&amp;START_MAXIMIZED=FALSE&amp;VA","R:CALENDAR=US&amp;VAR:SYMBOL=JNJ&amp;VAR:INDEX=0"}</definedName>
    <definedName name="_40__FDSAUDITLINK___1" hidden="1">{"fdsup://directions/FAT Viewer?action=UPDATE&amp;creator=factset&amp;DYN_ARGS=TRUE&amp;DOC_NAME=FAT:FQL_AUDITING_CLIENT_TEMPLATE.FAT&amp;display_string=Audit&amp;VAR:KEY=ATYJWJEXOT&amp;VAR:QUERY=RkZfREVCVChBTk4sMCk=&amp;WINDOW=FIRST_POPUP&amp;HEIGHT=450&amp;WIDTH=450&amp;START_MAXIMIZED=FALSE&amp;VA","R:CALENDAR=US&amp;VAR:SYMBOL=JNJ&amp;VAR:INDEX=0"}</definedName>
    <definedName name="_40__FDSAUDITLINK___2" hidden="1">{"fdsup://directions/FAT Viewer?action=UPDATE&amp;creator=factset&amp;DYN_ARGS=TRUE&amp;DOC_NAME=FAT:FQL_AUDITING_CLIENT_TEMPLATE.FAT&amp;display_string=Audit&amp;VAR:KEY=ATYJWJEXOT&amp;VAR:QUERY=RkZfREVCVChBTk4sMCk=&amp;WINDOW=FIRST_POPUP&amp;HEIGHT=450&amp;WIDTH=450&amp;START_MAXIMIZED=FALSE&amp;VA","R:CALENDAR=US&amp;VAR:SYMBOL=JNJ&amp;VAR:INDEX=0"}</definedName>
    <definedName name="_41__FDSAUDITLINK__" localSheetId="7" hidden="1">{"fdsup://directions/FAT Viewer?action=UPDATE&amp;creator=factset&amp;DYN_ARGS=TRUE&amp;DOC_NAME=FAT:FQL_AUDITING_CLIENT_TEMPLATE.FAT&amp;display_string=Audit&amp;VAR:KEY=AZQJQZGTYH&amp;VAR:QUERY=RkZfU0hMRFJTX0VRKEFOTiwwKQ==&amp;WINDOW=FIRST_POPUP&amp;HEIGHT=450&amp;WIDTH=450&amp;START_MAXIMIZED=","FALSE&amp;VAR:CALENDAR=US&amp;VAR:SYMBOL=JNJ&amp;VAR:INDEX=0"}</definedName>
    <definedName name="_41__FDSAUDITLINK__" localSheetId="5" hidden="1">{"fdsup://directions/FAT Viewer?action=UPDATE&amp;creator=factset&amp;DYN_ARGS=TRUE&amp;DOC_NAME=FAT:FQL_AUDITING_CLIENT_TEMPLATE.FAT&amp;display_string=Audit&amp;VAR:KEY=AZQJQZGTYH&amp;VAR:QUERY=RkZfU0hMRFJTX0VRKEFOTiwwKQ==&amp;WINDOW=FIRST_POPUP&amp;HEIGHT=450&amp;WIDTH=450&amp;START_MAXIMIZED=","FALSE&amp;VAR:CALENDAR=US&amp;VAR:SYMBOL=JNJ&amp;VAR:INDEX=0"}</definedName>
    <definedName name="_41__FDSAUDITLINK__" hidden="1">{"fdsup://directions/FAT Viewer?action=UPDATE&amp;creator=factset&amp;DYN_ARGS=TRUE&amp;DOC_NAME=FAT:FQL_AUDITING_CLIENT_TEMPLATE.FAT&amp;display_string=Audit&amp;VAR:KEY=AZQJQZGTYH&amp;VAR:QUERY=RkZfU0hMRFJTX0VRKEFOTiwwKQ==&amp;WINDOW=FIRST_POPUP&amp;HEIGHT=450&amp;WIDTH=450&amp;START_MAXIMIZED=","FALSE&amp;VAR:CALENDAR=US&amp;VAR:SYMBOL=JNJ&amp;VAR:INDEX=0"}</definedName>
    <definedName name="_41__FDSAUDITLINK___1" hidden="1">{"fdsup://directions/FAT Viewer?action=UPDATE&amp;creator=factset&amp;DYN_ARGS=TRUE&amp;DOC_NAME=FAT:FQL_AUDITING_CLIENT_TEMPLATE.FAT&amp;display_string=Audit&amp;VAR:KEY=AZQJQZGTYH&amp;VAR:QUERY=RkZfU0hMRFJTX0VRKEFOTiwwKQ==&amp;WINDOW=FIRST_POPUP&amp;HEIGHT=450&amp;WIDTH=450&amp;START_MAXIMIZED=","FALSE&amp;VAR:CALENDAR=US&amp;VAR:SYMBOL=JNJ&amp;VAR:INDEX=0"}</definedName>
    <definedName name="_41__FDSAUDITLINK___2" hidden="1">{"fdsup://directions/FAT Viewer?action=UPDATE&amp;creator=factset&amp;DYN_ARGS=TRUE&amp;DOC_NAME=FAT:FQL_AUDITING_CLIENT_TEMPLATE.FAT&amp;display_string=Audit&amp;VAR:KEY=AZQJQZGTYH&amp;VAR:QUERY=RkZfU0hMRFJTX0VRKEFOTiwwKQ==&amp;WINDOW=FIRST_POPUP&amp;HEIGHT=450&amp;WIDTH=450&amp;START_MAXIMIZED=","FALSE&amp;VAR:CALENDAR=US&amp;VAR:SYMBOL=JNJ&amp;VAR:INDEX=0"}</definedName>
    <definedName name="_42__FDSAUDITLINK__" localSheetId="7" hidden="1">{"fdsup://directions/FAT Viewer?action=UPDATE&amp;creator=factset&amp;DYN_ARGS=TRUE&amp;DOC_NAME=FAT:FQL_AUDITING_CLIENT_TEMPLATE.FAT&amp;display_string=Audit&amp;VAR:KEY=ATYJWJEXOT&amp;VAR:QUERY=RkZfREVCVChBTk4sMCk=&amp;WINDOW=FIRST_POPUP&amp;HEIGHT=450&amp;WIDTH=450&amp;START_MAXIMIZED=FALSE&amp;VA","R:CALENDAR=US&amp;VAR:SYMBOL=JNJ&amp;VAR:INDEX=0"}</definedName>
    <definedName name="_42__FDSAUDITLINK__" localSheetId="5" hidden="1">{"fdsup://directions/FAT Viewer?action=UPDATE&amp;creator=factset&amp;DYN_ARGS=TRUE&amp;DOC_NAME=FAT:FQL_AUDITING_CLIENT_TEMPLATE.FAT&amp;display_string=Audit&amp;VAR:KEY=ATYJWJEXOT&amp;VAR:QUERY=RkZfREVCVChBTk4sMCk=&amp;WINDOW=FIRST_POPUP&amp;HEIGHT=450&amp;WIDTH=450&amp;START_MAXIMIZED=FALSE&amp;VA","R:CALENDAR=US&amp;VAR:SYMBOL=JNJ&amp;VAR:INDEX=0"}</definedName>
    <definedName name="_42__FDSAUDITLINK__" hidden="1">{"fdsup://directions/FAT Viewer?action=UPDATE&amp;creator=factset&amp;DYN_ARGS=TRUE&amp;DOC_NAME=FAT:FQL_AUDITING_CLIENT_TEMPLATE.FAT&amp;display_string=Audit&amp;VAR:KEY=ATYJWJEXOT&amp;VAR:QUERY=RkZfREVCVChBTk4sMCk=&amp;WINDOW=FIRST_POPUP&amp;HEIGHT=450&amp;WIDTH=450&amp;START_MAXIMIZED=FALSE&amp;VA","R:CALENDAR=US&amp;VAR:SYMBOL=JNJ&amp;VAR:INDEX=0"}</definedName>
    <definedName name="_42__FDSAUDITLINK___1" hidden="1">{"fdsup://directions/FAT Viewer?action=UPDATE&amp;creator=factset&amp;DYN_ARGS=TRUE&amp;DOC_NAME=FAT:FQL_AUDITING_CLIENT_TEMPLATE.FAT&amp;display_string=Audit&amp;VAR:KEY=ATYJWJEXOT&amp;VAR:QUERY=RkZfREVCVChBTk4sMCk=&amp;WINDOW=FIRST_POPUP&amp;HEIGHT=450&amp;WIDTH=450&amp;START_MAXIMIZED=FALSE&amp;VA","R:CALENDAR=US&amp;VAR:SYMBOL=JNJ&amp;VAR:INDEX=0"}</definedName>
    <definedName name="_42__FDSAUDITLINK___2" hidden="1">{"fdsup://directions/FAT Viewer?action=UPDATE&amp;creator=factset&amp;DYN_ARGS=TRUE&amp;DOC_NAME=FAT:FQL_AUDITING_CLIENT_TEMPLATE.FAT&amp;display_string=Audit&amp;VAR:KEY=ATYJWJEXOT&amp;VAR:QUERY=RkZfREVCVChBTk4sMCk=&amp;WINDOW=FIRST_POPUP&amp;HEIGHT=450&amp;WIDTH=450&amp;START_MAXIMIZED=FALSE&amp;VA","R:CALENDAR=US&amp;VAR:SYMBOL=JNJ&amp;VAR:INDEX=0"}</definedName>
    <definedName name="_43__FDSAUDITLINK__" localSheetId="7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43__FDSAUDITLINK__" localSheetId="5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43__FDSAUDITLINK__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43__FDSAUDITLINK___1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43__FDSAUDITLINK___2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44__FDSAUDITLINK__" localSheetId="7" hidden="1">{"fdsup://directions/FAT Viewer?action=UPDATE&amp;creator=factset&amp;DYN_ARGS=TRUE&amp;DOC_NAME=FAT:FQL_AUDITING_CLIENT_TEMPLATE.FAT&amp;display_string=Audit&amp;VAR:KEY=UPCHEHKTWT&amp;VAR:QUERY=RkZfU0hMRFJTX0VRKEFOTiwwKQ==&amp;WINDOW=FIRST_POPUP&amp;HEIGHT=450&amp;WIDTH=450&amp;START_MAXIMIZED=","FALSE&amp;VAR:CALENDAR=US&amp;VAR:SYMBOL=ABMD&amp;VAR:INDEX=0"}</definedName>
    <definedName name="_44__FDSAUDITLINK__" localSheetId="5" hidden="1">{"fdsup://directions/FAT Viewer?action=UPDATE&amp;creator=factset&amp;DYN_ARGS=TRUE&amp;DOC_NAME=FAT:FQL_AUDITING_CLIENT_TEMPLATE.FAT&amp;display_string=Audit&amp;VAR:KEY=UPCHEHKTWT&amp;VAR:QUERY=RkZfU0hMRFJTX0VRKEFOTiwwKQ==&amp;WINDOW=FIRST_POPUP&amp;HEIGHT=450&amp;WIDTH=450&amp;START_MAXIMIZED=","FALSE&amp;VAR:CALENDAR=US&amp;VAR:SYMBOL=ABMD&amp;VAR:INDEX=0"}</definedName>
    <definedName name="_44__FDSAUDITLINK__" hidden="1">{"fdsup://directions/FAT Viewer?action=UPDATE&amp;creator=factset&amp;DYN_ARGS=TRUE&amp;DOC_NAME=FAT:FQL_AUDITING_CLIENT_TEMPLATE.FAT&amp;display_string=Audit&amp;VAR:KEY=UPCHEHKTWT&amp;VAR:QUERY=RkZfU0hMRFJTX0VRKEFOTiwwKQ==&amp;WINDOW=FIRST_POPUP&amp;HEIGHT=450&amp;WIDTH=450&amp;START_MAXIMIZED=","FALSE&amp;VAR:CALENDAR=US&amp;VAR:SYMBOL=ABMD&amp;VAR:INDEX=0"}</definedName>
    <definedName name="_44__FDSAUDITLINK___1" hidden="1">{"fdsup://directions/FAT Viewer?action=UPDATE&amp;creator=factset&amp;DYN_ARGS=TRUE&amp;DOC_NAME=FAT:FQL_AUDITING_CLIENT_TEMPLATE.FAT&amp;display_string=Audit&amp;VAR:KEY=UPCHEHKTWT&amp;VAR:QUERY=RkZfU0hMRFJTX0VRKEFOTiwwKQ==&amp;WINDOW=FIRST_POPUP&amp;HEIGHT=450&amp;WIDTH=450&amp;START_MAXIMIZED=","FALSE&amp;VAR:CALENDAR=US&amp;VAR:SYMBOL=ABMD&amp;VAR:INDEX=0"}</definedName>
    <definedName name="_44__FDSAUDITLINK___2" hidden="1">{"fdsup://directions/FAT Viewer?action=UPDATE&amp;creator=factset&amp;DYN_ARGS=TRUE&amp;DOC_NAME=FAT:FQL_AUDITING_CLIENT_TEMPLATE.FAT&amp;display_string=Audit&amp;VAR:KEY=UPCHEHKTWT&amp;VAR:QUERY=RkZfU0hMRFJTX0VRKEFOTiwwKQ==&amp;WINDOW=FIRST_POPUP&amp;HEIGHT=450&amp;WIDTH=450&amp;START_MAXIMIZED=","FALSE&amp;VAR:CALENDAR=US&amp;VAR:SYMBOL=ABMD&amp;VAR:INDEX=0"}</definedName>
    <definedName name="_45__FDSAUDITLINK__" localSheetId="7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45__FDSAUDITLINK__" localSheetId="5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45__FDSAUDITLINK__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45__FDSAUDITLINK___1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45__FDSAUDITLINK___2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46__FDSAUDITLINK__" localSheetId="7" hidden="1">{"fdsup://directions/FAT Viewer?action=UPDATE&amp;creator=factset&amp;DYN_ARGS=TRUE&amp;DOC_NAME=FAT:FQL_AUDITING_CLIENT_TEMPLATE.FAT&amp;display_string=Audit&amp;VAR:KEY=ODYTGVKRIB&amp;VAR:QUERY=RkZfREVCVChBTk4sMCk=&amp;WINDOW=FIRST_POPUP&amp;HEIGHT=450&amp;WIDTH=450&amp;START_MAXIMIZED=FALSE&amp;VA","R:CALENDAR=US&amp;VAR:SYMBOL=GRFS&amp;VAR:INDEX=0"}</definedName>
    <definedName name="_46__FDSAUDITLINK__" localSheetId="5" hidden="1">{"fdsup://directions/FAT Viewer?action=UPDATE&amp;creator=factset&amp;DYN_ARGS=TRUE&amp;DOC_NAME=FAT:FQL_AUDITING_CLIENT_TEMPLATE.FAT&amp;display_string=Audit&amp;VAR:KEY=ODYTGVKRIB&amp;VAR:QUERY=RkZfREVCVChBTk4sMCk=&amp;WINDOW=FIRST_POPUP&amp;HEIGHT=450&amp;WIDTH=450&amp;START_MAXIMIZED=FALSE&amp;VA","R:CALENDAR=US&amp;VAR:SYMBOL=GRFS&amp;VAR:INDEX=0"}</definedName>
    <definedName name="_46__FDSAUDITLINK__" hidden="1">{"fdsup://directions/FAT Viewer?action=UPDATE&amp;creator=factset&amp;DYN_ARGS=TRUE&amp;DOC_NAME=FAT:FQL_AUDITING_CLIENT_TEMPLATE.FAT&amp;display_string=Audit&amp;VAR:KEY=ODYTGVKRIB&amp;VAR:QUERY=RkZfREVCVChBTk4sMCk=&amp;WINDOW=FIRST_POPUP&amp;HEIGHT=450&amp;WIDTH=450&amp;START_MAXIMIZED=FALSE&amp;VA","R:CALENDAR=US&amp;VAR:SYMBOL=GRFS&amp;VAR:INDEX=0"}</definedName>
    <definedName name="_46__FDSAUDITLINK___1" hidden="1">{"fdsup://directions/FAT Viewer?action=UPDATE&amp;creator=factset&amp;DYN_ARGS=TRUE&amp;DOC_NAME=FAT:FQL_AUDITING_CLIENT_TEMPLATE.FAT&amp;display_string=Audit&amp;VAR:KEY=ODYTGVKRIB&amp;VAR:QUERY=RkZfREVCVChBTk4sMCk=&amp;WINDOW=FIRST_POPUP&amp;HEIGHT=450&amp;WIDTH=450&amp;START_MAXIMIZED=FALSE&amp;VA","R:CALENDAR=US&amp;VAR:SYMBOL=GRFS&amp;VAR:INDEX=0"}</definedName>
    <definedName name="_46__FDSAUDITLINK___2" hidden="1">{"fdsup://directions/FAT Viewer?action=UPDATE&amp;creator=factset&amp;DYN_ARGS=TRUE&amp;DOC_NAME=FAT:FQL_AUDITING_CLIENT_TEMPLATE.FAT&amp;display_string=Audit&amp;VAR:KEY=ODYTGVKRIB&amp;VAR:QUERY=RkZfREVCVChBTk4sMCk=&amp;WINDOW=FIRST_POPUP&amp;HEIGHT=450&amp;WIDTH=450&amp;START_MAXIMIZED=FALSE&amp;VA","R:CALENDAR=US&amp;VAR:SYMBOL=GRFS&amp;VAR:INDEX=0"}</definedName>
    <definedName name="_47__FDSAUDITLINK__" localSheetId="7" hidden="1">{"fdsup://directions/FAT Viewer?action=UPDATE&amp;creator=factset&amp;DYN_ARGS=TRUE&amp;DOC_NAME=FAT:FQL_AUDITING_CLIENT_TEMPLATE.FAT&amp;display_string=Audit&amp;VAR:KEY=QJQXAFAHUH&amp;VAR:QUERY=RkZfU0hMRFJTX0VRKEFOTiwwKQ==&amp;WINDOW=FIRST_POPUP&amp;HEIGHT=450&amp;WIDTH=450&amp;START_MAXIMIZED=","FALSE&amp;VAR:CALENDAR=US&amp;VAR:SYMBOL=GRFS&amp;VAR:INDEX=0"}</definedName>
    <definedName name="_47__FDSAUDITLINK__" localSheetId="5" hidden="1">{"fdsup://directions/FAT Viewer?action=UPDATE&amp;creator=factset&amp;DYN_ARGS=TRUE&amp;DOC_NAME=FAT:FQL_AUDITING_CLIENT_TEMPLATE.FAT&amp;display_string=Audit&amp;VAR:KEY=QJQXAFAHUH&amp;VAR:QUERY=RkZfU0hMRFJTX0VRKEFOTiwwKQ==&amp;WINDOW=FIRST_POPUP&amp;HEIGHT=450&amp;WIDTH=450&amp;START_MAXIMIZED=","FALSE&amp;VAR:CALENDAR=US&amp;VAR:SYMBOL=GRFS&amp;VAR:INDEX=0"}</definedName>
    <definedName name="_47__FDSAUDITLINK__" hidden="1">{"fdsup://directions/FAT Viewer?action=UPDATE&amp;creator=factset&amp;DYN_ARGS=TRUE&amp;DOC_NAME=FAT:FQL_AUDITING_CLIENT_TEMPLATE.FAT&amp;display_string=Audit&amp;VAR:KEY=QJQXAFAHUH&amp;VAR:QUERY=RkZfU0hMRFJTX0VRKEFOTiwwKQ==&amp;WINDOW=FIRST_POPUP&amp;HEIGHT=450&amp;WIDTH=450&amp;START_MAXIMIZED=","FALSE&amp;VAR:CALENDAR=US&amp;VAR:SYMBOL=GRFS&amp;VAR:INDEX=0"}</definedName>
    <definedName name="_47__FDSAUDITLINK___1" hidden="1">{"fdsup://directions/FAT Viewer?action=UPDATE&amp;creator=factset&amp;DYN_ARGS=TRUE&amp;DOC_NAME=FAT:FQL_AUDITING_CLIENT_TEMPLATE.FAT&amp;display_string=Audit&amp;VAR:KEY=QJQXAFAHUH&amp;VAR:QUERY=RkZfU0hMRFJTX0VRKEFOTiwwKQ==&amp;WINDOW=FIRST_POPUP&amp;HEIGHT=450&amp;WIDTH=450&amp;START_MAXIMIZED=","FALSE&amp;VAR:CALENDAR=US&amp;VAR:SYMBOL=GRFS&amp;VAR:INDEX=0"}</definedName>
    <definedName name="_47__FDSAUDITLINK___2" hidden="1">{"fdsup://directions/FAT Viewer?action=UPDATE&amp;creator=factset&amp;DYN_ARGS=TRUE&amp;DOC_NAME=FAT:FQL_AUDITING_CLIENT_TEMPLATE.FAT&amp;display_string=Audit&amp;VAR:KEY=QJQXAFAHUH&amp;VAR:QUERY=RkZfU0hMRFJTX0VRKEFOTiwwKQ==&amp;WINDOW=FIRST_POPUP&amp;HEIGHT=450&amp;WIDTH=450&amp;START_MAXIMIZED=","FALSE&amp;VAR:CALENDAR=US&amp;VAR:SYMBOL=GRFS&amp;VAR:INDEX=0"}</definedName>
    <definedName name="_48__FDSAUDITLINK__" localSheetId="7" hidden="1">{"fdsup://directions/FAT Viewer?action=UPDATE&amp;creator=factset&amp;DYN_ARGS=TRUE&amp;DOC_NAME=FAT:FQL_AUDITING_CLIENT_TEMPLATE.FAT&amp;display_string=Audit&amp;VAR:KEY=ODYTGVKRIB&amp;VAR:QUERY=RkZfREVCVChBTk4sMCk=&amp;WINDOW=FIRST_POPUP&amp;HEIGHT=450&amp;WIDTH=450&amp;START_MAXIMIZED=FALSE&amp;VA","R:CALENDAR=US&amp;VAR:SYMBOL=GRFS&amp;VAR:INDEX=0"}</definedName>
    <definedName name="_48__FDSAUDITLINK__" localSheetId="5" hidden="1">{"fdsup://directions/FAT Viewer?action=UPDATE&amp;creator=factset&amp;DYN_ARGS=TRUE&amp;DOC_NAME=FAT:FQL_AUDITING_CLIENT_TEMPLATE.FAT&amp;display_string=Audit&amp;VAR:KEY=ODYTGVKRIB&amp;VAR:QUERY=RkZfREVCVChBTk4sMCk=&amp;WINDOW=FIRST_POPUP&amp;HEIGHT=450&amp;WIDTH=450&amp;START_MAXIMIZED=FALSE&amp;VA","R:CALENDAR=US&amp;VAR:SYMBOL=GRFS&amp;VAR:INDEX=0"}</definedName>
    <definedName name="_48__FDSAUDITLINK__" hidden="1">{"fdsup://directions/FAT Viewer?action=UPDATE&amp;creator=factset&amp;DYN_ARGS=TRUE&amp;DOC_NAME=FAT:FQL_AUDITING_CLIENT_TEMPLATE.FAT&amp;display_string=Audit&amp;VAR:KEY=ODYTGVKRIB&amp;VAR:QUERY=RkZfREVCVChBTk4sMCk=&amp;WINDOW=FIRST_POPUP&amp;HEIGHT=450&amp;WIDTH=450&amp;START_MAXIMIZED=FALSE&amp;VA","R:CALENDAR=US&amp;VAR:SYMBOL=GRFS&amp;VAR:INDEX=0"}</definedName>
    <definedName name="_48__FDSAUDITLINK___1" hidden="1">{"fdsup://directions/FAT Viewer?action=UPDATE&amp;creator=factset&amp;DYN_ARGS=TRUE&amp;DOC_NAME=FAT:FQL_AUDITING_CLIENT_TEMPLATE.FAT&amp;display_string=Audit&amp;VAR:KEY=ODYTGVKRIB&amp;VAR:QUERY=RkZfREVCVChBTk4sMCk=&amp;WINDOW=FIRST_POPUP&amp;HEIGHT=450&amp;WIDTH=450&amp;START_MAXIMIZED=FALSE&amp;VA","R:CALENDAR=US&amp;VAR:SYMBOL=GRFS&amp;VAR:INDEX=0"}</definedName>
    <definedName name="_48__FDSAUDITLINK___2" hidden="1">{"fdsup://directions/FAT Viewer?action=UPDATE&amp;creator=factset&amp;DYN_ARGS=TRUE&amp;DOC_NAME=FAT:FQL_AUDITING_CLIENT_TEMPLATE.FAT&amp;display_string=Audit&amp;VAR:KEY=ODYTGVKRIB&amp;VAR:QUERY=RkZfREVCVChBTk4sMCk=&amp;WINDOW=FIRST_POPUP&amp;HEIGHT=450&amp;WIDTH=450&amp;START_MAXIMIZED=FALSE&amp;VA","R:CALENDAR=US&amp;VAR:SYMBOL=GRFS&amp;VAR:INDEX=0"}</definedName>
    <definedName name="_49__FDSAUDITLINK__" localSheetId="7" hidden="1">{"fdsup://directions/FAT Viewer?action=UPDATE&amp;creator=factset&amp;DYN_ARGS=TRUE&amp;DOC_NAME=FAT:FQL_AUDITING_CLIENT_TEMPLATE.FAT&amp;display_string=Audit&amp;VAR:KEY=GNIPCHATSZ&amp;VAR:QUERY=RkZfREVCVChBTk4sMCk=&amp;WINDOW=FIRST_POPUP&amp;HEIGHT=450&amp;WIDTH=450&amp;START_MAXIMIZED=FALSE&amp;VA","R:CALENDAR=US&amp;VAR:SYMBOL=SYK&amp;VAR:INDEX=0"}</definedName>
    <definedName name="_49__FDSAUDITLINK__" localSheetId="5" hidden="1">{"fdsup://directions/FAT Viewer?action=UPDATE&amp;creator=factset&amp;DYN_ARGS=TRUE&amp;DOC_NAME=FAT:FQL_AUDITING_CLIENT_TEMPLATE.FAT&amp;display_string=Audit&amp;VAR:KEY=GNIPCHATSZ&amp;VAR:QUERY=RkZfREVCVChBTk4sMCk=&amp;WINDOW=FIRST_POPUP&amp;HEIGHT=450&amp;WIDTH=450&amp;START_MAXIMIZED=FALSE&amp;VA","R:CALENDAR=US&amp;VAR:SYMBOL=SYK&amp;VAR:INDEX=0"}</definedName>
    <definedName name="_49__FDSAUDITLINK__" hidden="1">{"fdsup://directions/FAT Viewer?action=UPDATE&amp;creator=factset&amp;DYN_ARGS=TRUE&amp;DOC_NAME=FAT:FQL_AUDITING_CLIENT_TEMPLATE.FAT&amp;display_string=Audit&amp;VAR:KEY=GNIPCHATSZ&amp;VAR:QUERY=RkZfREVCVChBTk4sMCk=&amp;WINDOW=FIRST_POPUP&amp;HEIGHT=450&amp;WIDTH=450&amp;START_MAXIMIZED=FALSE&amp;VA","R:CALENDAR=US&amp;VAR:SYMBOL=SYK&amp;VAR:INDEX=0"}</definedName>
    <definedName name="_49__FDSAUDITLINK___1" hidden="1">{"fdsup://directions/FAT Viewer?action=UPDATE&amp;creator=factset&amp;DYN_ARGS=TRUE&amp;DOC_NAME=FAT:FQL_AUDITING_CLIENT_TEMPLATE.FAT&amp;display_string=Audit&amp;VAR:KEY=GNIPCHATSZ&amp;VAR:QUERY=RkZfREVCVChBTk4sMCk=&amp;WINDOW=FIRST_POPUP&amp;HEIGHT=450&amp;WIDTH=450&amp;START_MAXIMIZED=FALSE&amp;VA","R:CALENDAR=US&amp;VAR:SYMBOL=SYK&amp;VAR:INDEX=0"}</definedName>
    <definedName name="_49__FDSAUDITLINK___2" hidden="1">{"fdsup://directions/FAT Viewer?action=UPDATE&amp;creator=factset&amp;DYN_ARGS=TRUE&amp;DOC_NAME=FAT:FQL_AUDITING_CLIENT_TEMPLATE.FAT&amp;display_string=Audit&amp;VAR:KEY=GNIPCHATSZ&amp;VAR:QUERY=RkZfREVCVChBTk4sMCk=&amp;WINDOW=FIRST_POPUP&amp;HEIGHT=450&amp;WIDTH=450&amp;START_MAXIMIZED=FALSE&amp;VA","R:CALENDAR=US&amp;VAR:SYMBOL=SYK&amp;VAR:INDEX=0"}</definedName>
    <definedName name="_5__FDSAUDITLINK__" localSheetId="7" hidden="1">{"fdsup://directions/FAT Viewer?action=UPDATE&amp;creator=factset&amp;DYN_ARGS=TRUE&amp;DOC_NAME=FAT:FQL_AUDITING_CLIENT_TEMPLATE.FAT&amp;display_string=Audit&amp;VAR:KEY=CZONIFIPEV&amp;VAR:QUERY=RkZfU0hMRFJTX0VRKEFOTiwwKQ==&amp;WINDOW=FIRST_POPUP&amp;HEIGHT=450&amp;WIDTH=450&amp;START_MAXIMIZED=","FALSE&amp;VAR:CALENDAR=US&amp;VAR:SYMBOL=HAE&amp;VAR:INDEX=0"}</definedName>
    <definedName name="_5__FDSAUDITLINK__" localSheetId="5" hidden="1">{"fdsup://directions/FAT Viewer?action=UPDATE&amp;creator=factset&amp;DYN_ARGS=TRUE&amp;DOC_NAME=FAT:FQL_AUDITING_CLIENT_TEMPLATE.FAT&amp;display_string=Audit&amp;VAR:KEY=CZONIFIPEV&amp;VAR:QUERY=RkZfU0hMRFJTX0VRKEFOTiwwKQ==&amp;WINDOW=FIRST_POPUP&amp;HEIGHT=450&amp;WIDTH=450&amp;START_MAXIMIZED=","FALSE&amp;VAR:CALENDAR=US&amp;VAR:SYMBOL=HAE&amp;VAR:INDEX=0"}</definedName>
    <definedName name="_5__FDSAUDITLINK__" hidden="1">{"fdsup://directions/FAT Viewer?action=UPDATE&amp;creator=factset&amp;DYN_ARGS=TRUE&amp;DOC_NAME=FAT:FQL_AUDITING_CLIENT_TEMPLATE.FAT&amp;display_string=Audit&amp;VAR:KEY=CZONIFIPEV&amp;VAR:QUERY=RkZfU0hMRFJTX0VRKEFOTiwwKQ==&amp;WINDOW=FIRST_POPUP&amp;HEIGHT=450&amp;WIDTH=450&amp;START_MAXIMIZED=","FALSE&amp;VAR:CALENDAR=US&amp;VAR:SYMBOL=HAE&amp;VAR:INDEX=0"}</definedName>
    <definedName name="_5__FDSAUDITLINK___1" hidden="1">{"fdsup://directions/FAT Viewer?action=UPDATE&amp;creator=factset&amp;DYN_ARGS=TRUE&amp;DOC_NAME=FAT:FQL_AUDITING_CLIENT_TEMPLATE.FAT&amp;display_string=Audit&amp;VAR:KEY=CZONIFIPEV&amp;VAR:QUERY=RkZfU0hMRFJTX0VRKEFOTiwwKQ==&amp;WINDOW=FIRST_POPUP&amp;HEIGHT=450&amp;WIDTH=450&amp;START_MAXIMIZED=","FALSE&amp;VAR:CALENDAR=US&amp;VAR:SYMBOL=HAE&amp;VAR:INDEX=0"}</definedName>
    <definedName name="_5__FDSAUDITLINK___2" hidden="1">{"fdsup://directions/FAT Viewer?action=UPDATE&amp;creator=factset&amp;DYN_ARGS=TRUE&amp;DOC_NAME=FAT:FQL_AUDITING_CLIENT_TEMPLATE.FAT&amp;display_string=Audit&amp;VAR:KEY=CZONIFIPEV&amp;VAR:QUERY=RkZfU0hMRFJTX0VRKEFOTiwwKQ==&amp;WINDOW=FIRST_POPUP&amp;HEIGHT=450&amp;WIDTH=450&amp;START_MAXIMIZED=","FALSE&amp;VAR:CALENDAR=US&amp;VAR:SYMBOL=HAE&amp;VAR:INDEX=0"}</definedName>
    <definedName name="_50__FDSAUDITLINK__" localSheetId="7" hidden="1">{"fdsup://directions/FAT Viewer?action=UPDATE&amp;creator=factset&amp;DYN_ARGS=TRUE&amp;DOC_NAME=FAT:FQL_AUDITING_CLIENT_TEMPLATE.FAT&amp;display_string=Audit&amp;VAR:KEY=WFGRSLKHUJ&amp;VAR:QUERY=RkZfU0hMRFJTX0VRKEFOTiwwKQ==&amp;WINDOW=FIRST_POPUP&amp;HEIGHT=450&amp;WIDTH=450&amp;START_MAXIMIZED=","FALSE&amp;VAR:CALENDAR=US&amp;VAR:SYMBOL=SYK&amp;VAR:INDEX=0"}</definedName>
    <definedName name="_50__FDSAUDITLINK__" localSheetId="5" hidden="1">{"fdsup://directions/FAT Viewer?action=UPDATE&amp;creator=factset&amp;DYN_ARGS=TRUE&amp;DOC_NAME=FAT:FQL_AUDITING_CLIENT_TEMPLATE.FAT&amp;display_string=Audit&amp;VAR:KEY=WFGRSLKHUJ&amp;VAR:QUERY=RkZfU0hMRFJTX0VRKEFOTiwwKQ==&amp;WINDOW=FIRST_POPUP&amp;HEIGHT=450&amp;WIDTH=450&amp;START_MAXIMIZED=","FALSE&amp;VAR:CALENDAR=US&amp;VAR:SYMBOL=SYK&amp;VAR:INDEX=0"}</definedName>
    <definedName name="_50__FDSAUDITLINK__" hidden="1">{"fdsup://directions/FAT Viewer?action=UPDATE&amp;creator=factset&amp;DYN_ARGS=TRUE&amp;DOC_NAME=FAT:FQL_AUDITING_CLIENT_TEMPLATE.FAT&amp;display_string=Audit&amp;VAR:KEY=WFGRSLKHUJ&amp;VAR:QUERY=RkZfU0hMRFJTX0VRKEFOTiwwKQ==&amp;WINDOW=FIRST_POPUP&amp;HEIGHT=450&amp;WIDTH=450&amp;START_MAXIMIZED=","FALSE&amp;VAR:CALENDAR=US&amp;VAR:SYMBOL=SYK&amp;VAR:INDEX=0"}</definedName>
    <definedName name="_50__FDSAUDITLINK___1" hidden="1">{"fdsup://directions/FAT Viewer?action=UPDATE&amp;creator=factset&amp;DYN_ARGS=TRUE&amp;DOC_NAME=FAT:FQL_AUDITING_CLIENT_TEMPLATE.FAT&amp;display_string=Audit&amp;VAR:KEY=WFGRSLKHUJ&amp;VAR:QUERY=RkZfU0hMRFJTX0VRKEFOTiwwKQ==&amp;WINDOW=FIRST_POPUP&amp;HEIGHT=450&amp;WIDTH=450&amp;START_MAXIMIZED=","FALSE&amp;VAR:CALENDAR=US&amp;VAR:SYMBOL=SYK&amp;VAR:INDEX=0"}</definedName>
    <definedName name="_50__FDSAUDITLINK___2" hidden="1">{"fdsup://directions/FAT Viewer?action=UPDATE&amp;creator=factset&amp;DYN_ARGS=TRUE&amp;DOC_NAME=FAT:FQL_AUDITING_CLIENT_TEMPLATE.FAT&amp;display_string=Audit&amp;VAR:KEY=WFGRSLKHUJ&amp;VAR:QUERY=RkZfU0hMRFJTX0VRKEFOTiwwKQ==&amp;WINDOW=FIRST_POPUP&amp;HEIGHT=450&amp;WIDTH=450&amp;START_MAXIMIZED=","FALSE&amp;VAR:CALENDAR=US&amp;VAR:SYMBOL=SYK&amp;VAR:INDEX=0"}</definedName>
    <definedName name="_51__FDSAUDITLINK__" localSheetId="7" hidden="1">{"fdsup://directions/FAT Viewer?action=UPDATE&amp;creator=factset&amp;DYN_ARGS=TRUE&amp;DOC_NAME=FAT:FQL_AUDITING_CLIENT_TEMPLATE.FAT&amp;display_string=Audit&amp;VAR:KEY=GNIPCHATSZ&amp;VAR:QUERY=RkZfREVCVChBTk4sMCk=&amp;WINDOW=FIRST_POPUP&amp;HEIGHT=450&amp;WIDTH=450&amp;START_MAXIMIZED=FALSE&amp;VA","R:CALENDAR=US&amp;VAR:SYMBOL=SYK&amp;VAR:INDEX=0"}</definedName>
    <definedName name="_51__FDSAUDITLINK__" localSheetId="5" hidden="1">{"fdsup://directions/FAT Viewer?action=UPDATE&amp;creator=factset&amp;DYN_ARGS=TRUE&amp;DOC_NAME=FAT:FQL_AUDITING_CLIENT_TEMPLATE.FAT&amp;display_string=Audit&amp;VAR:KEY=GNIPCHATSZ&amp;VAR:QUERY=RkZfREVCVChBTk4sMCk=&amp;WINDOW=FIRST_POPUP&amp;HEIGHT=450&amp;WIDTH=450&amp;START_MAXIMIZED=FALSE&amp;VA","R:CALENDAR=US&amp;VAR:SYMBOL=SYK&amp;VAR:INDEX=0"}</definedName>
    <definedName name="_51__FDSAUDITLINK__" hidden="1">{"fdsup://directions/FAT Viewer?action=UPDATE&amp;creator=factset&amp;DYN_ARGS=TRUE&amp;DOC_NAME=FAT:FQL_AUDITING_CLIENT_TEMPLATE.FAT&amp;display_string=Audit&amp;VAR:KEY=GNIPCHATSZ&amp;VAR:QUERY=RkZfREVCVChBTk4sMCk=&amp;WINDOW=FIRST_POPUP&amp;HEIGHT=450&amp;WIDTH=450&amp;START_MAXIMIZED=FALSE&amp;VA","R:CALENDAR=US&amp;VAR:SYMBOL=SYK&amp;VAR:INDEX=0"}</definedName>
    <definedName name="_51__FDSAUDITLINK___1" hidden="1">{"fdsup://directions/FAT Viewer?action=UPDATE&amp;creator=factset&amp;DYN_ARGS=TRUE&amp;DOC_NAME=FAT:FQL_AUDITING_CLIENT_TEMPLATE.FAT&amp;display_string=Audit&amp;VAR:KEY=GNIPCHATSZ&amp;VAR:QUERY=RkZfREVCVChBTk4sMCk=&amp;WINDOW=FIRST_POPUP&amp;HEIGHT=450&amp;WIDTH=450&amp;START_MAXIMIZED=FALSE&amp;VA","R:CALENDAR=US&amp;VAR:SYMBOL=SYK&amp;VAR:INDEX=0"}</definedName>
    <definedName name="_51__FDSAUDITLINK___2" hidden="1">{"fdsup://directions/FAT Viewer?action=UPDATE&amp;creator=factset&amp;DYN_ARGS=TRUE&amp;DOC_NAME=FAT:FQL_AUDITING_CLIENT_TEMPLATE.FAT&amp;display_string=Audit&amp;VAR:KEY=GNIPCHATSZ&amp;VAR:QUERY=RkZfREVCVChBTk4sMCk=&amp;WINDOW=FIRST_POPUP&amp;HEIGHT=450&amp;WIDTH=450&amp;START_MAXIMIZED=FALSE&amp;VA","R:CALENDAR=US&amp;VAR:SYMBOL=SYK&amp;VAR:INDEX=0"}</definedName>
    <definedName name="_52__FDSAUDITLINK__" localSheetId="7" hidden="1">{"fdsup://directions/FAT Viewer?action=UPDATE&amp;creator=factset&amp;DYN_ARGS=TRUE&amp;DOC_NAME=FAT:FQL_AUDITING_CLIENT_TEMPLATE.FAT&amp;display_string=Audit&amp;VAR:KEY=WFOFIFQHUF&amp;VAR:QUERY=RkZfREVCVChBTk4sMCk=&amp;WINDOW=FIRST_POPUP&amp;HEIGHT=450&amp;WIDTH=450&amp;START_MAXIMIZED=FALSE&amp;VA","R:CALENDAR=US&amp;VAR:SYMBOL=G2554F11&amp;VAR:INDEX=0"}</definedName>
    <definedName name="_52__FDSAUDITLINK__" localSheetId="5" hidden="1">{"fdsup://directions/FAT Viewer?action=UPDATE&amp;creator=factset&amp;DYN_ARGS=TRUE&amp;DOC_NAME=FAT:FQL_AUDITING_CLIENT_TEMPLATE.FAT&amp;display_string=Audit&amp;VAR:KEY=WFOFIFQHUF&amp;VAR:QUERY=RkZfREVCVChBTk4sMCk=&amp;WINDOW=FIRST_POPUP&amp;HEIGHT=450&amp;WIDTH=450&amp;START_MAXIMIZED=FALSE&amp;VA","R:CALENDAR=US&amp;VAR:SYMBOL=G2554F11&amp;VAR:INDEX=0"}</definedName>
    <definedName name="_52__FDSAUDITLINK__" hidden="1">{"fdsup://directions/FAT Viewer?action=UPDATE&amp;creator=factset&amp;DYN_ARGS=TRUE&amp;DOC_NAME=FAT:FQL_AUDITING_CLIENT_TEMPLATE.FAT&amp;display_string=Audit&amp;VAR:KEY=WFOFIFQHUF&amp;VAR:QUERY=RkZfREVCVChBTk4sMCk=&amp;WINDOW=FIRST_POPUP&amp;HEIGHT=450&amp;WIDTH=450&amp;START_MAXIMIZED=FALSE&amp;VA","R:CALENDAR=US&amp;VAR:SYMBOL=G2554F11&amp;VAR:INDEX=0"}</definedName>
    <definedName name="_52__FDSAUDITLINK___1" hidden="1">{"fdsup://directions/FAT Viewer?action=UPDATE&amp;creator=factset&amp;DYN_ARGS=TRUE&amp;DOC_NAME=FAT:FQL_AUDITING_CLIENT_TEMPLATE.FAT&amp;display_string=Audit&amp;VAR:KEY=WFOFIFQHUF&amp;VAR:QUERY=RkZfREVCVChBTk4sMCk=&amp;WINDOW=FIRST_POPUP&amp;HEIGHT=450&amp;WIDTH=450&amp;START_MAXIMIZED=FALSE&amp;VA","R:CALENDAR=US&amp;VAR:SYMBOL=G2554F11&amp;VAR:INDEX=0"}</definedName>
    <definedName name="_52__FDSAUDITLINK___2" hidden="1">{"fdsup://directions/FAT Viewer?action=UPDATE&amp;creator=factset&amp;DYN_ARGS=TRUE&amp;DOC_NAME=FAT:FQL_AUDITING_CLIENT_TEMPLATE.FAT&amp;display_string=Audit&amp;VAR:KEY=WFOFIFQHUF&amp;VAR:QUERY=RkZfREVCVChBTk4sMCk=&amp;WINDOW=FIRST_POPUP&amp;HEIGHT=450&amp;WIDTH=450&amp;START_MAXIMIZED=FALSE&amp;VA","R:CALENDAR=US&amp;VAR:SYMBOL=G2554F11&amp;VAR:INDEX=0"}</definedName>
    <definedName name="_53__FDSAUDITLINK__" localSheetId="7" hidden="1">{"fdsup://directions/FAT Viewer?action=UPDATE&amp;creator=factset&amp;DYN_ARGS=TRUE&amp;DOC_NAME=FAT:FQL_AUDITING_CLIENT_TEMPLATE.FAT&amp;display_string=Audit&amp;VAR:KEY=UPALKLADUR&amp;VAR:QUERY=RkZfU0hMRFJTX0VRKEFOTiwwKQ==&amp;WINDOW=FIRST_POPUP&amp;HEIGHT=450&amp;WIDTH=450&amp;START_MAXIMIZED=","FALSE&amp;VAR:CALENDAR=US&amp;VAR:SYMBOL=G2554F11&amp;VAR:INDEX=0"}</definedName>
    <definedName name="_53__FDSAUDITLINK__" localSheetId="5" hidden="1">{"fdsup://directions/FAT Viewer?action=UPDATE&amp;creator=factset&amp;DYN_ARGS=TRUE&amp;DOC_NAME=FAT:FQL_AUDITING_CLIENT_TEMPLATE.FAT&amp;display_string=Audit&amp;VAR:KEY=UPALKLADUR&amp;VAR:QUERY=RkZfU0hMRFJTX0VRKEFOTiwwKQ==&amp;WINDOW=FIRST_POPUP&amp;HEIGHT=450&amp;WIDTH=450&amp;START_MAXIMIZED=","FALSE&amp;VAR:CALENDAR=US&amp;VAR:SYMBOL=G2554F11&amp;VAR:INDEX=0"}</definedName>
    <definedName name="_53__FDSAUDITLINK__" hidden="1">{"fdsup://directions/FAT Viewer?action=UPDATE&amp;creator=factset&amp;DYN_ARGS=TRUE&amp;DOC_NAME=FAT:FQL_AUDITING_CLIENT_TEMPLATE.FAT&amp;display_string=Audit&amp;VAR:KEY=UPALKLADUR&amp;VAR:QUERY=RkZfU0hMRFJTX0VRKEFOTiwwKQ==&amp;WINDOW=FIRST_POPUP&amp;HEIGHT=450&amp;WIDTH=450&amp;START_MAXIMIZED=","FALSE&amp;VAR:CALENDAR=US&amp;VAR:SYMBOL=G2554F11&amp;VAR:INDEX=0"}</definedName>
    <definedName name="_53__FDSAUDITLINK___1" hidden="1">{"fdsup://directions/FAT Viewer?action=UPDATE&amp;creator=factset&amp;DYN_ARGS=TRUE&amp;DOC_NAME=FAT:FQL_AUDITING_CLIENT_TEMPLATE.FAT&amp;display_string=Audit&amp;VAR:KEY=UPALKLADUR&amp;VAR:QUERY=RkZfU0hMRFJTX0VRKEFOTiwwKQ==&amp;WINDOW=FIRST_POPUP&amp;HEIGHT=450&amp;WIDTH=450&amp;START_MAXIMIZED=","FALSE&amp;VAR:CALENDAR=US&amp;VAR:SYMBOL=G2554F11&amp;VAR:INDEX=0"}</definedName>
    <definedName name="_53__FDSAUDITLINK___2" hidden="1">{"fdsup://directions/FAT Viewer?action=UPDATE&amp;creator=factset&amp;DYN_ARGS=TRUE&amp;DOC_NAME=FAT:FQL_AUDITING_CLIENT_TEMPLATE.FAT&amp;display_string=Audit&amp;VAR:KEY=UPALKLADUR&amp;VAR:QUERY=RkZfU0hMRFJTX0VRKEFOTiwwKQ==&amp;WINDOW=FIRST_POPUP&amp;HEIGHT=450&amp;WIDTH=450&amp;START_MAXIMIZED=","FALSE&amp;VAR:CALENDAR=US&amp;VAR:SYMBOL=G2554F11&amp;VAR:INDEX=0"}</definedName>
    <definedName name="_54__FDSAUDITLINK__" localSheetId="7" hidden="1">{"fdsup://directions/FAT Viewer?action=UPDATE&amp;creator=factset&amp;DYN_ARGS=TRUE&amp;DOC_NAME=FAT:FQL_AUDITING_CLIENT_TEMPLATE.FAT&amp;display_string=Audit&amp;VAR:KEY=WFOFIFQHUF&amp;VAR:QUERY=RkZfREVCVChBTk4sMCk=&amp;WINDOW=FIRST_POPUP&amp;HEIGHT=450&amp;WIDTH=450&amp;START_MAXIMIZED=FALSE&amp;VA","R:CALENDAR=US&amp;VAR:SYMBOL=G2554F11&amp;VAR:INDEX=0"}</definedName>
    <definedName name="_54__FDSAUDITLINK__" localSheetId="5" hidden="1">{"fdsup://directions/FAT Viewer?action=UPDATE&amp;creator=factset&amp;DYN_ARGS=TRUE&amp;DOC_NAME=FAT:FQL_AUDITING_CLIENT_TEMPLATE.FAT&amp;display_string=Audit&amp;VAR:KEY=WFOFIFQHUF&amp;VAR:QUERY=RkZfREVCVChBTk4sMCk=&amp;WINDOW=FIRST_POPUP&amp;HEIGHT=450&amp;WIDTH=450&amp;START_MAXIMIZED=FALSE&amp;VA","R:CALENDAR=US&amp;VAR:SYMBOL=G2554F11&amp;VAR:INDEX=0"}</definedName>
    <definedName name="_54__FDSAUDITLINK__" hidden="1">{"fdsup://directions/FAT Viewer?action=UPDATE&amp;creator=factset&amp;DYN_ARGS=TRUE&amp;DOC_NAME=FAT:FQL_AUDITING_CLIENT_TEMPLATE.FAT&amp;display_string=Audit&amp;VAR:KEY=WFOFIFQHUF&amp;VAR:QUERY=RkZfREVCVChBTk4sMCk=&amp;WINDOW=FIRST_POPUP&amp;HEIGHT=450&amp;WIDTH=450&amp;START_MAXIMIZED=FALSE&amp;VA","R:CALENDAR=US&amp;VAR:SYMBOL=G2554F11&amp;VAR:INDEX=0"}</definedName>
    <definedName name="_54__FDSAUDITLINK___1" hidden="1">{"fdsup://directions/FAT Viewer?action=UPDATE&amp;creator=factset&amp;DYN_ARGS=TRUE&amp;DOC_NAME=FAT:FQL_AUDITING_CLIENT_TEMPLATE.FAT&amp;display_string=Audit&amp;VAR:KEY=WFOFIFQHUF&amp;VAR:QUERY=RkZfREVCVChBTk4sMCk=&amp;WINDOW=FIRST_POPUP&amp;HEIGHT=450&amp;WIDTH=450&amp;START_MAXIMIZED=FALSE&amp;VA","R:CALENDAR=US&amp;VAR:SYMBOL=G2554F11&amp;VAR:INDEX=0"}</definedName>
    <definedName name="_54__FDSAUDITLINK___2" hidden="1">{"fdsup://directions/FAT Viewer?action=UPDATE&amp;creator=factset&amp;DYN_ARGS=TRUE&amp;DOC_NAME=FAT:FQL_AUDITING_CLIENT_TEMPLATE.FAT&amp;display_string=Audit&amp;VAR:KEY=WFOFIFQHUF&amp;VAR:QUERY=RkZfREVCVChBTk4sMCk=&amp;WINDOW=FIRST_POPUP&amp;HEIGHT=450&amp;WIDTH=450&amp;START_MAXIMIZED=FALSE&amp;VA","R:CALENDAR=US&amp;VAR:SYMBOL=G2554F11&amp;VAR:INDEX=0"}</definedName>
    <definedName name="_55__FDSAUDITLINK__" localSheetId="7" hidden="1">{"fdsup://directions/FAT Viewer?action=UPDATE&amp;creator=factset&amp;DYN_ARGS=TRUE&amp;DOC_NAME=FAT:FQL_AUDITING_CLIENT_TEMPLATE.FAT&amp;display_string=Audit&amp;VAR:KEY=IZEFEHWRUL&amp;VAR:QUERY=RkZfREVCVChBTk4sMCk=&amp;WINDOW=FIRST_POPUP&amp;HEIGHT=450&amp;WIDTH=450&amp;START_MAXIMIZED=FALSE&amp;VA","R:CALENDAR=US&amp;VAR:SYMBOL=CFN&amp;VAR:INDEX=0"}</definedName>
    <definedName name="_55__FDSAUDITLINK__" localSheetId="5" hidden="1">{"fdsup://directions/FAT Viewer?action=UPDATE&amp;creator=factset&amp;DYN_ARGS=TRUE&amp;DOC_NAME=FAT:FQL_AUDITING_CLIENT_TEMPLATE.FAT&amp;display_string=Audit&amp;VAR:KEY=IZEFEHWRUL&amp;VAR:QUERY=RkZfREVCVChBTk4sMCk=&amp;WINDOW=FIRST_POPUP&amp;HEIGHT=450&amp;WIDTH=450&amp;START_MAXIMIZED=FALSE&amp;VA","R:CALENDAR=US&amp;VAR:SYMBOL=CFN&amp;VAR:INDEX=0"}</definedName>
    <definedName name="_55__FDSAUDITLINK__" hidden="1">{"fdsup://directions/FAT Viewer?action=UPDATE&amp;creator=factset&amp;DYN_ARGS=TRUE&amp;DOC_NAME=FAT:FQL_AUDITING_CLIENT_TEMPLATE.FAT&amp;display_string=Audit&amp;VAR:KEY=IZEFEHWRUL&amp;VAR:QUERY=RkZfREVCVChBTk4sMCk=&amp;WINDOW=FIRST_POPUP&amp;HEIGHT=450&amp;WIDTH=450&amp;START_MAXIMIZED=FALSE&amp;VA","R:CALENDAR=US&amp;VAR:SYMBOL=CFN&amp;VAR:INDEX=0"}</definedName>
    <definedName name="_55__FDSAUDITLINK___1" hidden="1">{"fdsup://directions/FAT Viewer?action=UPDATE&amp;creator=factset&amp;DYN_ARGS=TRUE&amp;DOC_NAME=FAT:FQL_AUDITING_CLIENT_TEMPLATE.FAT&amp;display_string=Audit&amp;VAR:KEY=IZEFEHWRUL&amp;VAR:QUERY=RkZfREVCVChBTk4sMCk=&amp;WINDOW=FIRST_POPUP&amp;HEIGHT=450&amp;WIDTH=450&amp;START_MAXIMIZED=FALSE&amp;VA","R:CALENDAR=US&amp;VAR:SYMBOL=CFN&amp;VAR:INDEX=0"}</definedName>
    <definedName name="_55__FDSAUDITLINK___2" hidden="1">{"fdsup://directions/FAT Viewer?action=UPDATE&amp;creator=factset&amp;DYN_ARGS=TRUE&amp;DOC_NAME=FAT:FQL_AUDITING_CLIENT_TEMPLATE.FAT&amp;display_string=Audit&amp;VAR:KEY=IZEFEHWRUL&amp;VAR:QUERY=RkZfREVCVChBTk4sMCk=&amp;WINDOW=FIRST_POPUP&amp;HEIGHT=450&amp;WIDTH=450&amp;START_MAXIMIZED=FALSE&amp;VA","R:CALENDAR=US&amp;VAR:SYMBOL=CFN&amp;VAR:INDEX=0"}</definedName>
    <definedName name="_56__FDSAUDITLINK__" localSheetId="7" hidden="1">{"fdsup://directions/FAT Viewer?action=UPDATE&amp;creator=factset&amp;DYN_ARGS=TRUE&amp;DOC_NAME=FAT:FQL_AUDITING_CLIENT_TEMPLATE.FAT&amp;display_string=Audit&amp;VAR:KEY=AJONIVGJWF&amp;VAR:QUERY=RkZfU0hMRFJTX0VRKEFOTiwwKQ==&amp;WINDOW=FIRST_POPUP&amp;HEIGHT=450&amp;WIDTH=450&amp;START_MAXIMIZED=","FALSE&amp;VAR:CALENDAR=US&amp;VAR:SYMBOL=CFN&amp;VAR:INDEX=0"}</definedName>
    <definedName name="_56__FDSAUDITLINK__" localSheetId="5" hidden="1">{"fdsup://directions/FAT Viewer?action=UPDATE&amp;creator=factset&amp;DYN_ARGS=TRUE&amp;DOC_NAME=FAT:FQL_AUDITING_CLIENT_TEMPLATE.FAT&amp;display_string=Audit&amp;VAR:KEY=AJONIVGJWF&amp;VAR:QUERY=RkZfU0hMRFJTX0VRKEFOTiwwKQ==&amp;WINDOW=FIRST_POPUP&amp;HEIGHT=450&amp;WIDTH=450&amp;START_MAXIMIZED=","FALSE&amp;VAR:CALENDAR=US&amp;VAR:SYMBOL=CFN&amp;VAR:INDEX=0"}</definedName>
    <definedName name="_56__FDSAUDITLINK__" hidden="1">{"fdsup://directions/FAT Viewer?action=UPDATE&amp;creator=factset&amp;DYN_ARGS=TRUE&amp;DOC_NAME=FAT:FQL_AUDITING_CLIENT_TEMPLATE.FAT&amp;display_string=Audit&amp;VAR:KEY=AJONIVGJWF&amp;VAR:QUERY=RkZfU0hMRFJTX0VRKEFOTiwwKQ==&amp;WINDOW=FIRST_POPUP&amp;HEIGHT=450&amp;WIDTH=450&amp;START_MAXIMIZED=","FALSE&amp;VAR:CALENDAR=US&amp;VAR:SYMBOL=CFN&amp;VAR:INDEX=0"}</definedName>
    <definedName name="_56__FDSAUDITLINK___1" hidden="1">{"fdsup://directions/FAT Viewer?action=UPDATE&amp;creator=factset&amp;DYN_ARGS=TRUE&amp;DOC_NAME=FAT:FQL_AUDITING_CLIENT_TEMPLATE.FAT&amp;display_string=Audit&amp;VAR:KEY=AJONIVGJWF&amp;VAR:QUERY=RkZfU0hMRFJTX0VRKEFOTiwwKQ==&amp;WINDOW=FIRST_POPUP&amp;HEIGHT=450&amp;WIDTH=450&amp;START_MAXIMIZED=","FALSE&amp;VAR:CALENDAR=US&amp;VAR:SYMBOL=CFN&amp;VAR:INDEX=0"}</definedName>
    <definedName name="_56__FDSAUDITLINK___2" hidden="1">{"fdsup://directions/FAT Viewer?action=UPDATE&amp;creator=factset&amp;DYN_ARGS=TRUE&amp;DOC_NAME=FAT:FQL_AUDITING_CLIENT_TEMPLATE.FAT&amp;display_string=Audit&amp;VAR:KEY=AJONIVGJWF&amp;VAR:QUERY=RkZfU0hMRFJTX0VRKEFOTiwwKQ==&amp;WINDOW=FIRST_POPUP&amp;HEIGHT=450&amp;WIDTH=450&amp;START_MAXIMIZED=","FALSE&amp;VAR:CALENDAR=US&amp;VAR:SYMBOL=CFN&amp;VAR:INDEX=0"}</definedName>
    <definedName name="_57__FDSAUDITLINK__" localSheetId="7" hidden="1">{"fdsup://directions/FAT Viewer?action=UPDATE&amp;creator=factset&amp;DYN_ARGS=TRUE&amp;DOC_NAME=FAT:FQL_AUDITING_CLIENT_TEMPLATE.FAT&amp;display_string=Audit&amp;VAR:KEY=IZEFEHWRUL&amp;VAR:QUERY=RkZfREVCVChBTk4sMCk=&amp;WINDOW=FIRST_POPUP&amp;HEIGHT=450&amp;WIDTH=450&amp;START_MAXIMIZED=FALSE&amp;VA","R:CALENDAR=US&amp;VAR:SYMBOL=CFN&amp;VAR:INDEX=0"}</definedName>
    <definedName name="_57__FDSAUDITLINK__" localSheetId="5" hidden="1">{"fdsup://directions/FAT Viewer?action=UPDATE&amp;creator=factset&amp;DYN_ARGS=TRUE&amp;DOC_NAME=FAT:FQL_AUDITING_CLIENT_TEMPLATE.FAT&amp;display_string=Audit&amp;VAR:KEY=IZEFEHWRUL&amp;VAR:QUERY=RkZfREVCVChBTk4sMCk=&amp;WINDOW=FIRST_POPUP&amp;HEIGHT=450&amp;WIDTH=450&amp;START_MAXIMIZED=FALSE&amp;VA","R:CALENDAR=US&amp;VAR:SYMBOL=CFN&amp;VAR:INDEX=0"}</definedName>
    <definedName name="_57__FDSAUDITLINK__" hidden="1">{"fdsup://directions/FAT Viewer?action=UPDATE&amp;creator=factset&amp;DYN_ARGS=TRUE&amp;DOC_NAME=FAT:FQL_AUDITING_CLIENT_TEMPLATE.FAT&amp;display_string=Audit&amp;VAR:KEY=IZEFEHWRUL&amp;VAR:QUERY=RkZfREVCVChBTk4sMCk=&amp;WINDOW=FIRST_POPUP&amp;HEIGHT=450&amp;WIDTH=450&amp;START_MAXIMIZED=FALSE&amp;VA","R:CALENDAR=US&amp;VAR:SYMBOL=CFN&amp;VAR:INDEX=0"}</definedName>
    <definedName name="_57__FDSAUDITLINK___1" hidden="1">{"fdsup://directions/FAT Viewer?action=UPDATE&amp;creator=factset&amp;DYN_ARGS=TRUE&amp;DOC_NAME=FAT:FQL_AUDITING_CLIENT_TEMPLATE.FAT&amp;display_string=Audit&amp;VAR:KEY=IZEFEHWRUL&amp;VAR:QUERY=RkZfREVCVChBTk4sMCk=&amp;WINDOW=FIRST_POPUP&amp;HEIGHT=450&amp;WIDTH=450&amp;START_MAXIMIZED=FALSE&amp;VA","R:CALENDAR=US&amp;VAR:SYMBOL=CFN&amp;VAR:INDEX=0"}</definedName>
    <definedName name="_57__FDSAUDITLINK___2" hidden="1">{"fdsup://directions/FAT Viewer?action=UPDATE&amp;creator=factset&amp;DYN_ARGS=TRUE&amp;DOC_NAME=FAT:FQL_AUDITING_CLIENT_TEMPLATE.FAT&amp;display_string=Audit&amp;VAR:KEY=IZEFEHWRUL&amp;VAR:QUERY=RkZfREVCVChBTk4sMCk=&amp;WINDOW=FIRST_POPUP&amp;HEIGHT=450&amp;WIDTH=450&amp;START_MAXIMIZED=FALSE&amp;VA","R:CALENDAR=US&amp;VAR:SYMBOL=CFN&amp;VAR:INDEX=0"}</definedName>
    <definedName name="_58__FDSAUDITLINK__" localSheetId="7" hidden="1">{"fdsup://directions/FAT Viewer?action=UPDATE&amp;creator=factset&amp;DYN_ARGS=TRUE&amp;DOC_NAME=FAT:FQL_AUDITING_CLIENT_TEMPLATE.FAT&amp;display_string=Audit&amp;VAR:KEY=WVWPYTANCF&amp;VAR:QUERY=RkZfREVCVChBTk4sMCk=&amp;WINDOW=FIRST_POPUP&amp;HEIGHT=450&amp;WIDTH=450&amp;START_MAXIMIZED=FALSE&amp;VA","R:CALENDAR=US&amp;VAR:SYMBOL=BAX&amp;VAR:INDEX=0"}</definedName>
    <definedName name="_58__FDSAUDITLINK__" localSheetId="5" hidden="1">{"fdsup://directions/FAT Viewer?action=UPDATE&amp;creator=factset&amp;DYN_ARGS=TRUE&amp;DOC_NAME=FAT:FQL_AUDITING_CLIENT_TEMPLATE.FAT&amp;display_string=Audit&amp;VAR:KEY=WVWPYTANCF&amp;VAR:QUERY=RkZfREVCVChBTk4sMCk=&amp;WINDOW=FIRST_POPUP&amp;HEIGHT=450&amp;WIDTH=450&amp;START_MAXIMIZED=FALSE&amp;VA","R:CALENDAR=US&amp;VAR:SYMBOL=BAX&amp;VAR:INDEX=0"}</definedName>
    <definedName name="_58__FDSAUDITLINK__" hidden="1">{"fdsup://directions/FAT Viewer?action=UPDATE&amp;creator=factset&amp;DYN_ARGS=TRUE&amp;DOC_NAME=FAT:FQL_AUDITING_CLIENT_TEMPLATE.FAT&amp;display_string=Audit&amp;VAR:KEY=WVWPYTANCF&amp;VAR:QUERY=RkZfREVCVChBTk4sMCk=&amp;WINDOW=FIRST_POPUP&amp;HEIGHT=450&amp;WIDTH=450&amp;START_MAXIMIZED=FALSE&amp;VA","R:CALENDAR=US&amp;VAR:SYMBOL=BAX&amp;VAR:INDEX=0"}</definedName>
    <definedName name="_58__FDSAUDITLINK___1" hidden="1">{"fdsup://directions/FAT Viewer?action=UPDATE&amp;creator=factset&amp;DYN_ARGS=TRUE&amp;DOC_NAME=FAT:FQL_AUDITING_CLIENT_TEMPLATE.FAT&amp;display_string=Audit&amp;VAR:KEY=WVWPYTANCF&amp;VAR:QUERY=RkZfREVCVChBTk4sMCk=&amp;WINDOW=FIRST_POPUP&amp;HEIGHT=450&amp;WIDTH=450&amp;START_MAXIMIZED=FALSE&amp;VA","R:CALENDAR=US&amp;VAR:SYMBOL=BAX&amp;VAR:INDEX=0"}</definedName>
    <definedName name="_58__FDSAUDITLINK___2" hidden="1">{"fdsup://directions/FAT Viewer?action=UPDATE&amp;creator=factset&amp;DYN_ARGS=TRUE&amp;DOC_NAME=FAT:FQL_AUDITING_CLIENT_TEMPLATE.FAT&amp;display_string=Audit&amp;VAR:KEY=WVWPYTANCF&amp;VAR:QUERY=RkZfREVCVChBTk4sMCk=&amp;WINDOW=FIRST_POPUP&amp;HEIGHT=450&amp;WIDTH=450&amp;START_MAXIMIZED=FALSE&amp;VA","R:CALENDAR=US&amp;VAR:SYMBOL=BAX&amp;VAR:INDEX=0"}</definedName>
    <definedName name="_59__FDSAUDITLINK__" localSheetId="7" hidden="1">{"fdsup://directions/FAT Viewer?action=UPDATE&amp;creator=factset&amp;DYN_ARGS=TRUE&amp;DOC_NAME=FAT:FQL_AUDITING_CLIENT_TEMPLATE.FAT&amp;display_string=Audit&amp;VAR:KEY=ULODCZQHUV&amp;VAR:QUERY=RkZfU0hMRFJTX0VRKEFOTiwwKQ==&amp;WINDOW=FIRST_POPUP&amp;HEIGHT=450&amp;WIDTH=450&amp;START_MAXIMIZED=","FALSE&amp;VAR:CALENDAR=US&amp;VAR:SYMBOL=BAX&amp;VAR:INDEX=0"}</definedName>
    <definedName name="_59__FDSAUDITLINK__" localSheetId="5" hidden="1">{"fdsup://directions/FAT Viewer?action=UPDATE&amp;creator=factset&amp;DYN_ARGS=TRUE&amp;DOC_NAME=FAT:FQL_AUDITING_CLIENT_TEMPLATE.FAT&amp;display_string=Audit&amp;VAR:KEY=ULODCZQHUV&amp;VAR:QUERY=RkZfU0hMRFJTX0VRKEFOTiwwKQ==&amp;WINDOW=FIRST_POPUP&amp;HEIGHT=450&amp;WIDTH=450&amp;START_MAXIMIZED=","FALSE&amp;VAR:CALENDAR=US&amp;VAR:SYMBOL=BAX&amp;VAR:INDEX=0"}</definedName>
    <definedName name="_59__FDSAUDITLINK__" hidden="1">{"fdsup://directions/FAT Viewer?action=UPDATE&amp;creator=factset&amp;DYN_ARGS=TRUE&amp;DOC_NAME=FAT:FQL_AUDITING_CLIENT_TEMPLATE.FAT&amp;display_string=Audit&amp;VAR:KEY=ULODCZQHUV&amp;VAR:QUERY=RkZfU0hMRFJTX0VRKEFOTiwwKQ==&amp;WINDOW=FIRST_POPUP&amp;HEIGHT=450&amp;WIDTH=450&amp;START_MAXIMIZED=","FALSE&amp;VAR:CALENDAR=US&amp;VAR:SYMBOL=BAX&amp;VAR:INDEX=0"}</definedName>
    <definedName name="_59__FDSAUDITLINK___1" hidden="1">{"fdsup://directions/FAT Viewer?action=UPDATE&amp;creator=factset&amp;DYN_ARGS=TRUE&amp;DOC_NAME=FAT:FQL_AUDITING_CLIENT_TEMPLATE.FAT&amp;display_string=Audit&amp;VAR:KEY=ULODCZQHUV&amp;VAR:QUERY=RkZfU0hMRFJTX0VRKEFOTiwwKQ==&amp;WINDOW=FIRST_POPUP&amp;HEIGHT=450&amp;WIDTH=450&amp;START_MAXIMIZED=","FALSE&amp;VAR:CALENDAR=US&amp;VAR:SYMBOL=BAX&amp;VAR:INDEX=0"}</definedName>
    <definedName name="_59__FDSAUDITLINK___2" hidden="1">{"fdsup://directions/FAT Viewer?action=UPDATE&amp;creator=factset&amp;DYN_ARGS=TRUE&amp;DOC_NAME=FAT:FQL_AUDITING_CLIENT_TEMPLATE.FAT&amp;display_string=Audit&amp;VAR:KEY=ULODCZQHUV&amp;VAR:QUERY=RkZfU0hMRFJTX0VRKEFOTiwwKQ==&amp;WINDOW=FIRST_POPUP&amp;HEIGHT=450&amp;WIDTH=450&amp;START_MAXIMIZED=","FALSE&amp;VAR:CALENDAR=US&amp;VAR:SYMBOL=BAX&amp;VAR:INDEX=0"}</definedName>
    <definedName name="_6__FDSAUDITLINK__" localSheetId="7" hidden="1">{"fdsup://directions/FAT Viewer?action=UPDATE&amp;creator=factset&amp;DYN_ARGS=TRUE&amp;DOC_NAME=FAT:FQL_AUDITING_CLIENT_TEMPLATE.FAT&amp;display_string=Audit&amp;VAR:KEY=KNEDEHEBGJ&amp;VAR:QUERY=RkZfREVCVChBTk4sMCk=&amp;WINDOW=FIRST_POPUP&amp;HEIGHT=450&amp;WIDTH=450&amp;START_MAXIMIZED=FALSE&amp;VA","R:CALENDAR=US&amp;VAR:SYMBOL=HAE&amp;VAR:INDEX=0"}</definedName>
    <definedName name="_6__FDSAUDITLINK__" localSheetId="5" hidden="1">{"fdsup://directions/FAT Viewer?action=UPDATE&amp;creator=factset&amp;DYN_ARGS=TRUE&amp;DOC_NAME=FAT:FQL_AUDITING_CLIENT_TEMPLATE.FAT&amp;display_string=Audit&amp;VAR:KEY=KNEDEHEBGJ&amp;VAR:QUERY=RkZfREVCVChBTk4sMCk=&amp;WINDOW=FIRST_POPUP&amp;HEIGHT=450&amp;WIDTH=450&amp;START_MAXIMIZED=FALSE&amp;VA","R:CALENDAR=US&amp;VAR:SYMBOL=HAE&amp;VAR:INDEX=0"}</definedName>
    <definedName name="_6__FDSAUDITLINK__" hidden="1">{"fdsup://directions/FAT Viewer?action=UPDATE&amp;creator=factset&amp;DYN_ARGS=TRUE&amp;DOC_NAME=FAT:FQL_AUDITING_CLIENT_TEMPLATE.FAT&amp;display_string=Audit&amp;VAR:KEY=KNEDEHEBGJ&amp;VAR:QUERY=RkZfREVCVChBTk4sMCk=&amp;WINDOW=FIRST_POPUP&amp;HEIGHT=450&amp;WIDTH=450&amp;START_MAXIMIZED=FALSE&amp;VA","R:CALENDAR=US&amp;VAR:SYMBOL=HAE&amp;VAR:INDEX=0"}</definedName>
    <definedName name="_6__FDSAUDITLINK___1" hidden="1">{"fdsup://directions/FAT Viewer?action=UPDATE&amp;creator=factset&amp;DYN_ARGS=TRUE&amp;DOC_NAME=FAT:FQL_AUDITING_CLIENT_TEMPLATE.FAT&amp;display_string=Audit&amp;VAR:KEY=KNEDEHEBGJ&amp;VAR:QUERY=RkZfREVCVChBTk4sMCk=&amp;WINDOW=FIRST_POPUP&amp;HEIGHT=450&amp;WIDTH=450&amp;START_MAXIMIZED=FALSE&amp;VA","R:CALENDAR=US&amp;VAR:SYMBOL=HAE&amp;VAR:INDEX=0"}</definedName>
    <definedName name="_6__FDSAUDITLINK___2" hidden="1">{"fdsup://directions/FAT Viewer?action=UPDATE&amp;creator=factset&amp;DYN_ARGS=TRUE&amp;DOC_NAME=FAT:FQL_AUDITING_CLIENT_TEMPLATE.FAT&amp;display_string=Audit&amp;VAR:KEY=KNEDEHEBGJ&amp;VAR:QUERY=RkZfREVCVChBTk4sMCk=&amp;WINDOW=FIRST_POPUP&amp;HEIGHT=450&amp;WIDTH=450&amp;START_MAXIMIZED=FALSE&amp;VA","R:CALENDAR=US&amp;VAR:SYMBOL=HAE&amp;VAR:INDEX=0"}</definedName>
    <definedName name="_60__FDSAUDITLINK__" localSheetId="7" hidden="1">{"fdsup://directions/FAT Viewer?action=UPDATE&amp;creator=factset&amp;DYN_ARGS=TRUE&amp;DOC_NAME=FAT:FQL_AUDITING_CLIENT_TEMPLATE.FAT&amp;display_string=Audit&amp;VAR:KEY=WVWPYTANCF&amp;VAR:QUERY=RkZfREVCVChBTk4sMCk=&amp;WINDOW=FIRST_POPUP&amp;HEIGHT=450&amp;WIDTH=450&amp;START_MAXIMIZED=FALSE&amp;VA","R:CALENDAR=US&amp;VAR:SYMBOL=BAX&amp;VAR:INDEX=0"}</definedName>
    <definedName name="_60__FDSAUDITLINK__" localSheetId="5" hidden="1">{"fdsup://directions/FAT Viewer?action=UPDATE&amp;creator=factset&amp;DYN_ARGS=TRUE&amp;DOC_NAME=FAT:FQL_AUDITING_CLIENT_TEMPLATE.FAT&amp;display_string=Audit&amp;VAR:KEY=WVWPYTANCF&amp;VAR:QUERY=RkZfREVCVChBTk4sMCk=&amp;WINDOW=FIRST_POPUP&amp;HEIGHT=450&amp;WIDTH=450&amp;START_MAXIMIZED=FALSE&amp;VA","R:CALENDAR=US&amp;VAR:SYMBOL=BAX&amp;VAR:INDEX=0"}</definedName>
    <definedName name="_60__FDSAUDITLINK__" hidden="1">{"fdsup://directions/FAT Viewer?action=UPDATE&amp;creator=factset&amp;DYN_ARGS=TRUE&amp;DOC_NAME=FAT:FQL_AUDITING_CLIENT_TEMPLATE.FAT&amp;display_string=Audit&amp;VAR:KEY=WVWPYTANCF&amp;VAR:QUERY=RkZfREVCVChBTk4sMCk=&amp;WINDOW=FIRST_POPUP&amp;HEIGHT=450&amp;WIDTH=450&amp;START_MAXIMIZED=FALSE&amp;VA","R:CALENDAR=US&amp;VAR:SYMBOL=BAX&amp;VAR:INDEX=0"}</definedName>
    <definedName name="_60__FDSAUDITLINK___1" hidden="1">{"fdsup://directions/FAT Viewer?action=UPDATE&amp;creator=factset&amp;DYN_ARGS=TRUE&amp;DOC_NAME=FAT:FQL_AUDITING_CLIENT_TEMPLATE.FAT&amp;display_string=Audit&amp;VAR:KEY=WVWPYTANCF&amp;VAR:QUERY=RkZfREVCVChBTk4sMCk=&amp;WINDOW=FIRST_POPUP&amp;HEIGHT=450&amp;WIDTH=450&amp;START_MAXIMIZED=FALSE&amp;VA","R:CALENDAR=US&amp;VAR:SYMBOL=BAX&amp;VAR:INDEX=0"}</definedName>
    <definedName name="_60__FDSAUDITLINK___2" hidden="1">{"fdsup://directions/FAT Viewer?action=UPDATE&amp;creator=factset&amp;DYN_ARGS=TRUE&amp;DOC_NAME=FAT:FQL_AUDITING_CLIENT_TEMPLATE.FAT&amp;display_string=Audit&amp;VAR:KEY=WVWPYTANCF&amp;VAR:QUERY=RkZfREVCVChBTk4sMCk=&amp;WINDOW=FIRST_POPUP&amp;HEIGHT=450&amp;WIDTH=450&amp;START_MAXIMIZED=FALSE&amp;VA","R:CALENDAR=US&amp;VAR:SYMBOL=BAX&amp;VAR:INDEX=0"}</definedName>
    <definedName name="_61__FDSAUDITLINK__" localSheetId="7" hidden="1">{"fdsup://directions/FAT Viewer?action=UPDATE&amp;creator=factset&amp;DYN_ARGS=TRUE&amp;DOC_NAME=FAT:FQL_AUDITING_CLIENT_TEMPLATE.FAT&amp;display_string=Audit&amp;VAR:KEY=OPKZEZUZEL&amp;VAR:QUERY=RkZfREVCVChBTk4sMCk=&amp;WINDOW=FIRST_POPUP&amp;HEIGHT=450&amp;WIDTH=450&amp;START_MAXIMIZED=FALSE&amp;VA","R:CALENDAR=US&amp;VAR:SYMBOL=ABT&amp;VAR:INDEX=0"}</definedName>
    <definedName name="_61__FDSAUDITLINK__" localSheetId="5" hidden="1">{"fdsup://directions/FAT Viewer?action=UPDATE&amp;creator=factset&amp;DYN_ARGS=TRUE&amp;DOC_NAME=FAT:FQL_AUDITING_CLIENT_TEMPLATE.FAT&amp;display_string=Audit&amp;VAR:KEY=OPKZEZUZEL&amp;VAR:QUERY=RkZfREVCVChBTk4sMCk=&amp;WINDOW=FIRST_POPUP&amp;HEIGHT=450&amp;WIDTH=450&amp;START_MAXIMIZED=FALSE&amp;VA","R:CALENDAR=US&amp;VAR:SYMBOL=ABT&amp;VAR:INDEX=0"}</definedName>
    <definedName name="_61__FDSAUDITLINK__" hidden="1">{"fdsup://directions/FAT Viewer?action=UPDATE&amp;creator=factset&amp;DYN_ARGS=TRUE&amp;DOC_NAME=FAT:FQL_AUDITING_CLIENT_TEMPLATE.FAT&amp;display_string=Audit&amp;VAR:KEY=OPKZEZUZEL&amp;VAR:QUERY=RkZfREVCVChBTk4sMCk=&amp;WINDOW=FIRST_POPUP&amp;HEIGHT=450&amp;WIDTH=450&amp;START_MAXIMIZED=FALSE&amp;VA","R:CALENDAR=US&amp;VAR:SYMBOL=ABT&amp;VAR:INDEX=0"}</definedName>
    <definedName name="_61__FDSAUDITLINK___1" hidden="1">{"fdsup://directions/FAT Viewer?action=UPDATE&amp;creator=factset&amp;DYN_ARGS=TRUE&amp;DOC_NAME=FAT:FQL_AUDITING_CLIENT_TEMPLATE.FAT&amp;display_string=Audit&amp;VAR:KEY=OPKZEZUZEL&amp;VAR:QUERY=RkZfREVCVChBTk4sMCk=&amp;WINDOW=FIRST_POPUP&amp;HEIGHT=450&amp;WIDTH=450&amp;START_MAXIMIZED=FALSE&amp;VA","R:CALENDAR=US&amp;VAR:SYMBOL=ABT&amp;VAR:INDEX=0"}</definedName>
    <definedName name="_61__FDSAUDITLINK___2" hidden="1">{"fdsup://directions/FAT Viewer?action=UPDATE&amp;creator=factset&amp;DYN_ARGS=TRUE&amp;DOC_NAME=FAT:FQL_AUDITING_CLIENT_TEMPLATE.FAT&amp;display_string=Audit&amp;VAR:KEY=OPKZEZUZEL&amp;VAR:QUERY=RkZfREVCVChBTk4sMCk=&amp;WINDOW=FIRST_POPUP&amp;HEIGHT=450&amp;WIDTH=450&amp;START_MAXIMIZED=FALSE&amp;VA","R:CALENDAR=US&amp;VAR:SYMBOL=ABT&amp;VAR:INDEX=0"}</definedName>
    <definedName name="_62__FDSAUDITLINK__" localSheetId="7" hidden="1">{"fdsup://directions/FAT Viewer?action=UPDATE&amp;creator=factset&amp;DYN_ARGS=TRUE&amp;DOC_NAME=FAT:FQL_AUDITING_CLIENT_TEMPLATE.FAT&amp;display_string=Audit&amp;VAR:KEY=MHEPWPCLGD&amp;VAR:QUERY=RkZfU0hMRFJTX0VRKEFOTiwwKQ==&amp;WINDOW=FIRST_POPUP&amp;HEIGHT=450&amp;WIDTH=450&amp;START_MAXIMIZED=","FALSE&amp;VAR:CALENDAR=US&amp;VAR:SYMBOL=ABT&amp;VAR:INDEX=0"}</definedName>
    <definedName name="_62__FDSAUDITLINK__" localSheetId="5" hidden="1">{"fdsup://directions/FAT Viewer?action=UPDATE&amp;creator=factset&amp;DYN_ARGS=TRUE&amp;DOC_NAME=FAT:FQL_AUDITING_CLIENT_TEMPLATE.FAT&amp;display_string=Audit&amp;VAR:KEY=MHEPWPCLGD&amp;VAR:QUERY=RkZfU0hMRFJTX0VRKEFOTiwwKQ==&amp;WINDOW=FIRST_POPUP&amp;HEIGHT=450&amp;WIDTH=450&amp;START_MAXIMIZED=","FALSE&amp;VAR:CALENDAR=US&amp;VAR:SYMBOL=ABT&amp;VAR:INDEX=0"}</definedName>
    <definedName name="_62__FDSAUDITLINK__" hidden="1">{"fdsup://directions/FAT Viewer?action=UPDATE&amp;creator=factset&amp;DYN_ARGS=TRUE&amp;DOC_NAME=FAT:FQL_AUDITING_CLIENT_TEMPLATE.FAT&amp;display_string=Audit&amp;VAR:KEY=MHEPWPCLGD&amp;VAR:QUERY=RkZfU0hMRFJTX0VRKEFOTiwwKQ==&amp;WINDOW=FIRST_POPUP&amp;HEIGHT=450&amp;WIDTH=450&amp;START_MAXIMIZED=","FALSE&amp;VAR:CALENDAR=US&amp;VAR:SYMBOL=ABT&amp;VAR:INDEX=0"}</definedName>
    <definedName name="_62__FDSAUDITLINK___1" hidden="1">{"fdsup://directions/FAT Viewer?action=UPDATE&amp;creator=factset&amp;DYN_ARGS=TRUE&amp;DOC_NAME=FAT:FQL_AUDITING_CLIENT_TEMPLATE.FAT&amp;display_string=Audit&amp;VAR:KEY=MHEPWPCLGD&amp;VAR:QUERY=RkZfU0hMRFJTX0VRKEFOTiwwKQ==&amp;WINDOW=FIRST_POPUP&amp;HEIGHT=450&amp;WIDTH=450&amp;START_MAXIMIZED=","FALSE&amp;VAR:CALENDAR=US&amp;VAR:SYMBOL=ABT&amp;VAR:INDEX=0"}</definedName>
    <definedName name="_62__FDSAUDITLINK___2" hidden="1">{"fdsup://directions/FAT Viewer?action=UPDATE&amp;creator=factset&amp;DYN_ARGS=TRUE&amp;DOC_NAME=FAT:FQL_AUDITING_CLIENT_TEMPLATE.FAT&amp;display_string=Audit&amp;VAR:KEY=MHEPWPCLGD&amp;VAR:QUERY=RkZfU0hMRFJTX0VRKEFOTiwwKQ==&amp;WINDOW=FIRST_POPUP&amp;HEIGHT=450&amp;WIDTH=450&amp;START_MAXIMIZED=","FALSE&amp;VAR:CALENDAR=US&amp;VAR:SYMBOL=ABT&amp;VAR:INDEX=0"}</definedName>
    <definedName name="_63__FDSAUDITLINK__" localSheetId="7" hidden="1">{"fdsup://directions/FAT Viewer?action=UPDATE&amp;creator=factset&amp;DYN_ARGS=TRUE&amp;DOC_NAME=FAT:FQL_AUDITING_CLIENT_TEMPLATE.FAT&amp;display_string=Audit&amp;VAR:KEY=OPKZEZUZEL&amp;VAR:QUERY=RkZfREVCVChBTk4sMCk=&amp;WINDOW=FIRST_POPUP&amp;HEIGHT=450&amp;WIDTH=450&amp;START_MAXIMIZED=FALSE&amp;VA","R:CALENDAR=US&amp;VAR:SYMBOL=ABT&amp;VAR:INDEX=0"}</definedName>
    <definedName name="_63__FDSAUDITLINK__" localSheetId="5" hidden="1">{"fdsup://directions/FAT Viewer?action=UPDATE&amp;creator=factset&amp;DYN_ARGS=TRUE&amp;DOC_NAME=FAT:FQL_AUDITING_CLIENT_TEMPLATE.FAT&amp;display_string=Audit&amp;VAR:KEY=OPKZEZUZEL&amp;VAR:QUERY=RkZfREVCVChBTk4sMCk=&amp;WINDOW=FIRST_POPUP&amp;HEIGHT=450&amp;WIDTH=450&amp;START_MAXIMIZED=FALSE&amp;VA","R:CALENDAR=US&amp;VAR:SYMBOL=ABT&amp;VAR:INDEX=0"}</definedName>
    <definedName name="_63__FDSAUDITLINK__" hidden="1">{"fdsup://directions/FAT Viewer?action=UPDATE&amp;creator=factset&amp;DYN_ARGS=TRUE&amp;DOC_NAME=FAT:FQL_AUDITING_CLIENT_TEMPLATE.FAT&amp;display_string=Audit&amp;VAR:KEY=OPKZEZUZEL&amp;VAR:QUERY=RkZfREVCVChBTk4sMCk=&amp;WINDOW=FIRST_POPUP&amp;HEIGHT=450&amp;WIDTH=450&amp;START_MAXIMIZED=FALSE&amp;VA","R:CALENDAR=US&amp;VAR:SYMBOL=ABT&amp;VAR:INDEX=0"}</definedName>
    <definedName name="_63__FDSAUDITLINK___1" hidden="1">{"fdsup://directions/FAT Viewer?action=UPDATE&amp;creator=factset&amp;DYN_ARGS=TRUE&amp;DOC_NAME=FAT:FQL_AUDITING_CLIENT_TEMPLATE.FAT&amp;display_string=Audit&amp;VAR:KEY=OPKZEZUZEL&amp;VAR:QUERY=RkZfREVCVChBTk4sMCk=&amp;WINDOW=FIRST_POPUP&amp;HEIGHT=450&amp;WIDTH=450&amp;START_MAXIMIZED=FALSE&amp;VA","R:CALENDAR=US&amp;VAR:SYMBOL=ABT&amp;VAR:INDEX=0"}</definedName>
    <definedName name="_63__FDSAUDITLINK___2" hidden="1">{"fdsup://directions/FAT Viewer?action=UPDATE&amp;creator=factset&amp;DYN_ARGS=TRUE&amp;DOC_NAME=FAT:FQL_AUDITING_CLIENT_TEMPLATE.FAT&amp;display_string=Audit&amp;VAR:KEY=OPKZEZUZEL&amp;VAR:QUERY=RkZfREVCVChBTk4sMCk=&amp;WINDOW=FIRST_POPUP&amp;HEIGHT=450&amp;WIDTH=450&amp;START_MAXIMIZED=FALSE&amp;VA","R:CALENDAR=US&amp;VAR:SYMBOL=ABT&amp;VAR:INDEX=0"}</definedName>
    <definedName name="_64__FDSAUDITLINK__" localSheetId="7" hidden="1">{"fdsup://directions/FAT Viewer?action=UPDATE&amp;creator=factset&amp;DYN_ARGS=TRUE&amp;DOC_NAME=FAT:FQL_AUDITING_CLIENT_TEMPLATE.FAT&amp;display_string=Audit&amp;VAR:KEY=YBGHCRSVAL&amp;VAR:QUERY=RkZfREVCVChBTk4sMCk=&amp;WINDOW=FIRST_POPUP&amp;HEIGHT=450&amp;WIDTH=450&amp;START_MAXIMIZED=FALSE&amp;VA","R:CALENDAR=US&amp;VAR:SYMBOL=TFX&amp;VAR:INDEX=0"}</definedName>
    <definedName name="_64__FDSAUDITLINK__" localSheetId="5" hidden="1">{"fdsup://directions/FAT Viewer?action=UPDATE&amp;creator=factset&amp;DYN_ARGS=TRUE&amp;DOC_NAME=FAT:FQL_AUDITING_CLIENT_TEMPLATE.FAT&amp;display_string=Audit&amp;VAR:KEY=YBGHCRSVAL&amp;VAR:QUERY=RkZfREVCVChBTk4sMCk=&amp;WINDOW=FIRST_POPUP&amp;HEIGHT=450&amp;WIDTH=450&amp;START_MAXIMIZED=FALSE&amp;VA","R:CALENDAR=US&amp;VAR:SYMBOL=TFX&amp;VAR:INDEX=0"}</definedName>
    <definedName name="_64__FDSAUDITLINK__" hidden="1">{"fdsup://directions/FAT Viewer?action=UPDATE&amp;creator=factset&amp;DYN_ARGS=TRUE&amp;DOC_NAME=FAT:FQL_AUDITING_CLIENT_TEMPLATE.FAT&amp;display_string=Audit&amp;VAR:KEY=YBGHCRSVAL&amp;VAR:QUERY=RkZfREVCVChBTk4sMCk=&amp;WINDOW=FIRST_POPUP&amp;HEIGHT=450&amp;WIDTH=450&amp;START_MAXIMIZED=FALSE&amp;VA","R:CALENDAR=US&amp;VAR:SYMBOL=TFX&amp;VAR:INDEX=0"}</definedName>
    <definedName name="_64__FDSAUDITLINK___1" hidden="1">{"fdsup://directions/FAT Viewer?action=UPDATE&amp;creator=factset&amp;DYN_ARGS=TRUE&amp;DOC_NAME=FAT:FQL_AUDITING_CLIENT_TEMPLATE.FAT&amp;display_string=Audit&amp;VAR:KEY=YBGHCRSVAL&amp;VAR:QUERY=RkZfREVCVChBTk4sMCk=&amp;WINDOW=FIRST_POPUP&amp;HEIGHT=450&amp;WIDTH=450&amp;START_MAXIMIZED=FALSE&amp;VA","R:CALENDAR=US&amp;VAR:SYMBOL=TFX&amp;VAR:INDEX=0"}</definedName>
    <definedName name="_64__FDSAUDITLINK___2" hidden="1">{"fdsup://directions/FAT Viewer?action=UPDATE&amp;creator=factset&amp;DYN_ARGS=TRUE&amp;DOC_NAME=FAT:FQL_AUDITING_CLIENT_TEMPLATE.FAT&amp;display_string=Audit&amp;VAR:KEY=YBGHCRSVAL&amp;VAR:QUERY=RkZfREVCVChBTk4sMCk=&amp;WINDOW=FIRST_POPUP&amp;HEIGHT=450&amp;WIDTH=450&amp;START_MAXIMIZED=FALSE&amp;VA","R:CALENDAR=US&amp;VAR:SYMBOL=TFX&amp;VAR:INDEX=0"}</definedName>
    <definedName name="_65__FDSAUDITLINK__" localSheetId="7" hidden="1">{"fdsup://directions/FAT Viewer?action=UPDATE&amp;creator=factset&amp;DYN_ARGS=TRUE&amp;DOC_NAME=FAT:FQL_AUDITING_CLIENT_TEMPLATE.FAT&amp;display_string=Audit&amp;VAR:KEY=KVAPUVMPGH&amp;VAR:QUERY=RkZfU0hMRFJTX0VRKEFOTiwwKQ==&amp;WINDOW=FIRST_POPUP&amp;HEIGHT=450&amp;WIDTH=450&amp;START_MAXIMIZED=","FALSE&amp;VAR:CALENDAR=US&amp;VAR:SYMBOL=TFX&amp;VAR:INDEX=0"}</definedName>
    <definedName name="_65__FDSAUDITLINK__" localSheetId="5" hidden="1">{"fdsup://directions/FAT Viewer?action=UPDATE&amp;creator=factset&amp;DYN_ARGS=TRUE&amp;DOC_NAME=FAT:FQL_AUDITING_CLIENT_TEMPLATE.FAT&amp;display_string=Audit&amp;VAR:KEY=KVAPUVMPGH&amp;VAR:QUERY=RkZfU0hMRFJTX0VRKEFOTiwwKQ==&amp;WINDOW=FIRST_POPUP&amp;HEIGHT=450&amp;WIDTH=450&amp;START_MAXIMIZED=","FALSE&amp;VAR:CALENDAR=US&amp;VAR:SYMBOL=TFX&amp;VAR:INDEX=0"}</definedName>
    <definedName name="_65__FDSAUDITLINK__" hidden="1">{"fdsup://directions/FAT Viewer?action=UPDATE&amp;creator=factset&amp;DYN_ARGS=TRUE&amp;DOC_NAME=FAT:FQL_AUDITING_CLIENT_TEMPLATE.FAT&amp;display_string=Audit&amp;VAR:KEY=KVAPUVMPGH&amp;VAR:QUERY=RkZfU0hMRFJTX0VRKEFOTiwwKQ==&amp;WINDOW=FIRST_POPUP&amp;HEIGHT=450&amp;WIDTH=450&amp;START_MAXIMIZED=","FALSE&amp;VAR:CALENDAR=US&amp;VAR:SYMBOL=TFX&amp;VAR:INDEX=0"}</definedName>
    <definedName name="_65__FDSAUDITLINK___1" hidden="1">{"fdsup://directions/FAT Viewer?action=UPDATE&amp;creator=factset&amp;DYN_ARGS=TRUE&amp;DOC_NAME=FAT:FQL_AUDITING_CLIENT_TEMPLATE.FAT&amp;display_string=Audit&amp;VAR:KEY=KVAPUVMPGH&amp;VAR:QUERY=RkZfU0hMRFJTX0VRKEFOTiwwKQ==&amp;WINDOW=FIRST_POPUP&amp;HEIGHT=450&amp;WIDTH=450&amp;START_MAXIMIZED=","FALSE&amp;VAR:CALENDAR=US&amp;VAR:SYMBOL=TFX&amp;VAR:INDEX=0"}</definedName>
    <definedName name="_65__FDSAUDITLINK___2" hidden="1">{"fdsup://directions/FAT Viewer?action=UPDATE&amp;creator=factset&amp;DYN_ARGS=TRUE&amp;DOC_NAME=FAT:FQL_AUDITING_CLIENT_TEMPLATE.FAT&amp;display_string=Audit&amp;VAR:KEY=KVAPUVMPGH&amp;VAR:QUERY=RkZfU0hMRFJTX0VRKEFOTiwwKQ==&amp;WINDOW=FIRST_POPUP&amp;HEIGHT=450&amp;WIDTH=450&amp;START_MAXIMIZED=","FALSE&amp;VAR:CALENDAR=US&amp;VAR:SYMBOL=TFX&amp;VAR:INDEX=0"}</definedName>
    <definedName name="_66__FDSAUDITLINK__" localSheetId="7" hidden="1">{"fdsup://directions/FAT Viewer?action=UPDATE&amp;creator=factset&amp;DYN_ARGS=TRUE&amp;DOC_NAME=FAT:FQL_AUDITING_CLIENT_TEMPLATE.FAT&amp;display_string=Audit&amp;VAR:KEY=YBGHCRSVAL&amp;VAR:QUERY=RkZfREVCVChBTk4sMCk=&amp;WINDOW=FIRST_POPUP&amp;HEIGHT=450&amp;WIDTH=450&amp;START_MAXIMIZED=FALSE&amp;VA","R:CALENDAR=US&amp;VAR:SYMBOL=TFX&amp;VAR:INDEX=0"}</definedName>
    <definedName name="_66__FDSAUDITLINK__" localSheetId="5" hidden="1">{"fdsup://directions/FAT Viewer?action=UPDATE&amp;creator=factset&amp;DYN_ARGS=TRUE&amp;DOC_NAME=FAT:FQL_AUDITING_CLIENT_TEMPLATE.FAT&amp;display_string=Audit&amp;VAR:KEY=YBGHCRSVAL&amp;VAR:QUERY=RkZfREVCVChBTk4sMCk=&amp;WINDOW=FIRST_POPUP&amp;HEIGHT=450&amp;WIDTH=450&amp;START_MAXIMIZED=FALSE&amp;VA","R:CALENDAR=US&amp;VAR:SYMBOL=TFX&amp;VAR:INDEX=0"}</definedName>
    <definedName name="_66__FDSAUDITLINK__" hidden="1">{"fdsup://directions/FAT Viewer?action=UPDATE&amp;creator=factset&amp;DYN_ARGS=TRUE&amp;DOC_NAME=FAT:FQL_AUDITING_CLIENT_TEMPLATE.FAT&amp;display_string=Audit&amp;VAR:KEY=YBGHCRSVAL&amp;VAR:QUERY=RkZfREVCVChBTk4sMCk=&amp;WINDOW=FIRST_POPUP&amp;HEIGHT=450&amp;WIDTH=450&amp;START_MAXIMIZED=FALSE&amp;VA","R:CALENDAR=US&amp;VAR:SYMBOL=TFX&amp;VAR:INDEX=0"}</definedName>
    <definedName name="_66__FDSAUDITLINK___1" hidden="1">{"fdsup://directions/FAT Viewer?action=UPDATE&amp;creator=factset&amp;DYN_ARGS=TRUE&amp;DOC_NAME=FAT:FQL_AUDITING_CLIENT_TEMPLATE.FAT&amp;display_string=Audit&amp;VAR:KEY=YBGHCRSVAL&amp;VAR:QUERY=RkZfREVCVChBTk4sMCk=&amp;WINDOW=FIRST_POPUP&amp;HEIGHT=450&amp;WIDTH=450&amp;START_MAXIMIZED=FALSE&amp;VA","R:CALENDAR=US&amp;VAR:SYMBOL=TFX&amp;VAR:INDEX=0"}</definedName>
    <definedName name="_66__FDSAUDITLINK___2" hidden="1">{"fdsup://directions/FAT Viewer?action=UPDATE&amp;creator=factset&amp;DYN_ARGS=TRUE&amp;DOC_NAME=FAT:FQL_AUDITING_CLIENT_TEMPLATE.FAT&amp;display_string=Audit&amp;VAR:KEY=YBGHCRSVAL&amp;VAR:QUERY=RkZfREVCVChBTk4sMCk=&amp;WINDOW=FIRST_POPUP&amp;HEIGHT=450&amp;WIDTH=450&amp;START_MAXIMIZED=FALSE&amp;VA","R:CALENDAR=US&amp;VAR:SYMBOL=TFX&amp;VAR:INDEX=0"}</definedName>
    <definedName name="_67__FDSAUDITLINK__" localSheetId="7" hidden="1">{"fdsup://directions/FAT Viewer?action=UPDATE&amp;creator=factset&amp;DYN_ARGS=TRUE&amp;DOC_NAME=FAT:FQL_AUDITING_CLIENT_TEMPLATE.FAT&amp;display_string=Audit&amp;VAR:KEY=UFKNODWFEV&amp;VAR:QUERY=RkZfREVCVChBTk4sMCk=&amp;WINDOW=FIRST_POPUP&amp;HEIGHT=450&amp;WIDTH=450&amp;START_MAXIMIZED=FALSE&amp;VA","R:CALENDAR=US&amp;VAR:SYMBOL=HRC&amp;VAR:INDEX=0"}</definedName>
    <definedName name="_67__FDSAUDITLINK__" localSheetId="5" hidden="1">{"fdsup://directions/FAT Viewer?action=UPDATE&amp;creator=factset&amp;DYN_ARGS=TRUE&amp;DOC_NAME=FAT:FQL_AUDITING_CLIENT_TEMPLATE.FAT&amp;display_string=Audit&amp;VAR:KEY=UFKNODWFEV&amp;VAR:QUERY=RkZfREVCVChBTk4sMCk=&amp;WINDOW=FIRST_POPUP&amp;HEIGHT=450&amp;WIDTH=450&amp;START_MAXIMIZED=FALSE&amp;VA","R:CALENDAR=US&amp;VAR:SYMBOL=HRC&amp;VAR:INDEX=0"}</definedName>
    <definedName name="_67__FDSAUDITLINK__" hidden="1">{"fdsup://directions/FAT Viewer?action=UPDATE&amp;creator=factset&amp;DYN_ARGS=TRUE&amp;DOC_NAME=FAT:FQL_AUDITING_CLIENT_TEMPLATE.FAT&amp;display_string=Audit&amp;VAR:KEY=UFKNODWFEV&amp;VAR:QUERY=RkZfREVCVChBTk4sMCk=&amp;WINDOW=FIRST_POPUP&amp;HEIGHT=450&amp;WIDTH=450&amp;START_MAXIMIZED=FALSE&amp;VA","R:CALENDAR=US&amp;VAR:SYMBOL=HRC&amp;VAR:INDEX=0"}</definedName>
    <definedName name="_67__FDSAUDITLINK___1" hidden="1">{"fdsup://directions/FAT Viewer?action=UPDATE&amp;creator=factset&amp;DYN_ARGS=TRUE&amp;DOC_NAME=FAT:FQL_AUDITING_CLIENT_TEMPLATE.FAT&amp;display_string=Audit&amp;VAR:KEY=UFKNODWFEV&amp;VAR:QUERY=RkZfREVCVChBTk4sMCk=&amp;WINDOW=FIRST_POPUP&amp;HEIGHT=450&amp;WIDTH=450&amp;START_MAXIMIZED=FALSE&amp;VA","R:CALENDAR=US&amp;VAR:SYMBOL=HRC&amp;VAR:INDEX=0"}</definedName>
    <definedName name="_67__FDSAUDITLINK___2" hidden="1">{"fdsup://directions/FAT Viewer?action=UPDATE&amp;creator=factset&amp;DYN_ARGS=TRUE&amp;DOC_NAME=FAT:FQL_AUDITING_CLIENT_TEMPLATE.FAT&amp;display_string=Audit&amp;VAR:KEY=UFKNODWFEV&amp;VAR:QUERY=RkZfREVCVChBTk4sMCk=&amp;WINDOW=FIRST_POPUP&amp;HEIGHT=450&amp;WIDTH=450&amp;START_MAXIMIZED=FALSE&amp;VA","R:CALENDAR=US&amp;VAR:SYMBOL=HRC&amp;VAR:INDEX=0"}</definedName>
    <definedName name="_68__FDSAUDITLINK__" localSheetId="7" hidden="1">{"fdsup://directions/FAT Viewer?action=UPDATE&amp;creator=factset&amp;DYN_ARGS=TRUE&amp;DOC_NAME=FAT:FQL_AUDITING_CLIENT_TEMPLATE.FAT&amp;display_string=Audit&amp;VAR:KEY=QJGDGREDEZ&amp;VAR:QUERY=RkZfU0hMRFJTX0VRKEFOTiwwKQ==&amp;WINDOW=FIRST_POPUP&amp;HEIGHT=450&amp;WIDTH=450&amp;START_MAXIMIZED=","FALSE&amp;VAR:CALENDAR=US&amp;VAR:SYMBOL=HRC&amp;VAR:INDEX=0"}</definedName>
    <definedName name="_68__FDSAUDITLINK__" localSheetId="5" hidden="1">{"fdsup://directions/FAT Viewer?action=UPDATE&amp;creator=factset&amp;DYN_ARGS=TRUE&amp;DOC_NAME=FAT:FQL_AUDITING_CLIENT_TEMPLATE.FAT&amp;display_string=Audit&amp;VAR:KEY=QJGDGREDEZ&amp;VAR:QUERY=RkZfU0hMRFJTX0VRKEFOTiwwKQ==&amp;WINDOW=FIRST_POPUP&amp;HEIGHT=450&amp;WIDTH=450&amp;START_MAXIMIZED=","FALSE&amp;VAR:CALENDAR=US&amp;VAR:SYMBOL=HRC&amp;VAR:INDEX=0"}</definedName>
    <definedName name="_68__FDSAUDITLINK__" hidden="1">{"fdsup://directions/FAT Viewer?action=UPDATE&amp;creator=factset&amp;DYN_ARGS=TRUE&amp;DOC_NAME=FAT:FQL_AUDITING_CLIENT_TEMPLATE.FAT&amp;display_string=Audit&amp;VAR:KEY=QJGDGREDEZ&amp;VAR:QUERY=RkZfU0hMRFJTX0VRKEFOTiwwKQ==&amp;WINDOW=FIRST_POPUP&amp;HEIGHT=450&amp;WIDTH=450&amp;START_MAXIMIZED=","FALSE&amp;VAR:CALENDAR=US&amp;VAR:SYMBOL=HRC&amp;VAR:INDEX=0"}</definedName>
    <definedName name="_68__FDSAUDITLINK___1" hidden="1">{"fdsup://directions/FAT Viewer?action=UPDATE&amp;creator=factset&amp;DYN_ARGS=TRUE&amp;DOC_NAME=FAT:FQL_AUDITING_CLIENT_TEMPLATE.FAT&amp;display_string=Audit&amp;VAR:KEY=QJGDGREDEZ&amp;VAR:QUERY=RkZfU0hMRFJTX0VRKEFOTiwwKQ==&amp;WINDOW=FIRST_POPUP&amp;HEIGHT=450&amp;WIDTH=450&amp;START_MAXIMIZED=","FALSE&amp;VAR:CALENDAR=US&amp;VAR:SYMBOL=HRC&amp;VAR:INDEX=0"}</definedName>
    <definedName name="_68__FDSAUDITLINK___2" hidden="1">{"fdsup://directions/FAT Viewer?action=UPDATE&amp;creator=factset&amp;DYN_ARGS=TRUE&amp;DOC_NAME=FAT:FQL_AUDITING_CLIENT_TEMPLATE.FAT&amp;display_string=Audit&amp;VAR:KEY=QJGDGREDEZ&amp;VAR:QUERY=RkZfU0hMRFJTX0VRKEFOTiwwKQ==&amp;WINDOW=FIRST_POPUP&amp;HEIGHT=450&amp;WIDTH=450&amp;START_MAXIMIZED=","FALSE&amp;VAR:CALENDAR=US&amp;VAR:SYMBOL=HRC&amp;VAR:INDEX=0"}</definedName>
    <definedName name="_69__FDSAUDITLINK__" localSheetId="7" hidden="1">{"fdsup://directions/FAT Viewer?action=UPDATE&amp;creator=factset&amp;DYN_ARGS=TRUE&amp;DOC_NAME=FAT:FQL_AUDITING_CLIENT_TEMPLATE.FAT&amp;display_string=Audit&amp;VAR:KEY=UFKNODWFEV&amp;VAR:QUERY=RkZfREVCVChBTk4sMCk=&amp;WINDOW=FIRST_POPUP&amp;HEIGHT=450&amp;WIDTH=450&amp;START_MAXIMIZED=FALSE&amp;VA","R:CALENDAR=US&amp;VAR:SYMBOL=HRC&amp;VAR:INDEX=0"}</definedName>
    <definedName name="_69__FDSAUDITLINK__" localSheetId="5" hidden="1">{"fdsup://directions/FAT Viewer?action=UPDATE&amp;creator=factset&amp;DYN_ARGS=TRUE&amp;DOC_NAME=FAT:FQL_AUDITING_CLIENT_TEMPLATE.FAT&amp;display_string=Audit&amp;VAR:KEY=UFKNODWFEV&amp;VAR:QUERY=RkZfREVCVChBTk4sMCk=&amp;WINDOW=FIRST_POPUP&amp;HEIGHT=450&amp;WIDTH=450&amp;START_MAXIMIZED=FALSE&amp;VA","R:CALENDAR=US&amp;VAR:SYMBOL=HRC&amp;VAR:INDEX=0"}</definedName>
    <definedName name="_69__FDSAUDITLINK__" hidden="1">{"fdsup://directions/FAT Viewer?action=UPDATE&amp;creator=factset&amp;DYN_ARGS=TRUE&amp;DOC_NAME=FAT:FQL_AUDITING_CLIENT_TEMPLATE.FAT&amp;display_string=Audit&amp;VAR:KEY=UFKNODWFEV&amp;VAR:QUERY=RkZfREVCVChBTk4sMCk=&amp;WINDOW=FIRST_POPUP&amp;HEIGHT=450&amp;WIDTH=450&amp;START_MAXIMIZED=FALSE&amp;VA","R:CALENDAR=US&amp;VAR:SYMBOL=HRC&amp;VAR:INDEX=0"}</definedName>
    <definedName name="_69__FDSAUDITLINK___1" hidden="1">{"fdsup://directions/FAT Viewer?action=UPDATE&amp;creator=factset&amp;DYN_ARGS=TRUE&amp;DOC_NAME=FAT:FQL_AUDITING_CLIENT_TEMPLATE.FAT&amp;display_string=Audit&amp;VAR:KEY=UFKNODWFEV&amp;VAR:QUERY=RkZfREVCVChBTk4sMCk=&amp;WINDOW=FIRST_POPUP&amp;HEIGHT=450&amp;WIDTH=450&amp;START_MAXIMIZED=FALSE&amp;VA","R:CALENDAR=US&amp;VAR:SYMBOL=HRC&amp;VAR:INDEX=0"}</definedName>
    <definedName name="_69__FDSAUDITLINK___2" hidden="1">{"fdsup://directions/FAT Viewer?action=UPDATE&amp;creator=factset&amp;DYN_ARGS=TRUE&amp;DOC_NAME=FAT:FQL_AUDITING_CLIENT_TEMPLATE.FAT&amp;display_string=Audit&amp;VAR:KEY=UFKNODWFEV&amp;VAR:QUERY=RkZfREVCVChBTk4sMCk=&amp;WINDOW=FIRST_POPUP&amp;HEIGHT=450&amp;WIDTH=450&amp;START_MAXIMIZED=FALSE&amp;VA","R:CALENDAR=US&amp;VAR:SYMBOL=HRC&amp;VAR:INDEX=0"}</definedName>
    <definedName name="_7__FDSAUDITLINK__" localSheetId="7" hidden="1">{"fdsup://directions/FAT Viewer?action=UPDATE&amp;creator=factset&amp;DYN_ARGS=TRUE&amp;DOC_NAME=FAT:FQL_AUDITING_CLIENT_TEMPLATE.FAT&amp;display_string=Audit&amp;VAR:KEY=UFOZKPGNCL&amp;VAR:QUERY=RkZfREVCVChBTk4sMCk=&amp;WINDOW=FIRST_POPUP&amp;HEIGHT=450&amp;WIDTH=450&amp;START_MAXIMIZED=FALSE&amp;VA","R:CALENDAR=US&amp;VAR:SYMBOL=STJ&amp;VAR:INDEX=0"}</definedName>
    <definedName name="_7__FDSAUDITLINK__" localSheetId="5" hidden="1">{"fdsup://directions/FAT Viewer?action=UPDATE&amp;creator=factset&amp;DYN_ARGS=TRUE&amp;DOC_NAME=FAT:FQL_AUDITING_CLIENT_TEMPLATE.FAT&amp;display_string=Audit&amp;VAR:KEY=UFOZKPGNCL&amp;VAR:QUERY=RkZfREVCVChBTk4sMCk=&amp;WINDOW=FIRST_POPUP&amp;HEIGHT=450&amp;WIDTH=450&amp;START_MAXIMIZED=FALSE&amp;VA","R:CALENDAR=US&amp;VAR:SYMBOL=STJ&amp;VAR:INDEX=0"}</definedName>
    <definedName name="_7__FDSAUDITLINK__" hidden="1">{"fdsup://directions/FAT Viewer?action=UPDATE&amp;creator=factset&amp;DYN_ARGS=TRUE&amp;DOC_NAME=FAT:FQL_AUDITING_CLIENT_TEMPLATE.FAT&amp;display_string=Audit&amp;VAR:KEY=UFOZKPGNCL&amp;VAR:QUERY=RkZfREVCVChBTk4sMCk=&amp;WINDOW=FIRST_POPUP&amp;HEIGHT=450&amp;WIDTH=450&amp;START_MAXIMIZED=FALSE&amp;VA","R:CALENDAR=US&amp;VAR:SYMBOL=STJ&amp;VAR:INDEX=0"}</definedName>
    <definedName name="_7__FDSAUDITLINK___1" hidden="1">{"fdsup://directions/FAT Viewer?action=UPDATE&amp;creator=factset&amp;DYN_ARGS=TRUE&amp;DOC_NAME=FAT:FQL_AUDITING_CLIENT_TEMPLATE.FAT&amp;display_string=Audit&amp;VAR:KEY=UFOZKPGNCL&amp;VAR:QUERY=RkZfREVCVChBTk4sMCk=&amp;WINDOW=FIRST_POPUP&amp;HEIGHT=450&amp;WIDTH=450&amp;START_MAXIMIZED=FALSE&amp;VA","R:CALENDAR=US&amp;VAR:SYMBOL=STJ&amp;VAR:INDEX=0"}</definedName>
    <definedName name="_7__FDSAUDITLINK___2" hidden="1">{"fdsup://directions/FAT Viewer?action=UPDATE&amp;creator=factset&amp;DYN_ARGS=TRUE&amp;DOC_NAME=FAT:FQL_AUDITING_CLIENT_TEMPLATE.FAT&amp;display_string=Audit&amp;VAR:KEY=UFOZKPGNCL&amp;VAR:QUERY=RkZfREVCVChBTk4sMCk=&amp;WINDOW=FIRST_POPUP&amp;HEIGHT=450&amp;WIDTH=450&amp;START_MAXIMIZED=FALSE&amp;VA","R:CALENDAR=US&amp;VAR:SYMBOL=STJ&amp;VAR:INDEX=0"}</definedName>
    <definedName name="_70__FDSAUDITLINK__" localSheetId="7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70__FDSAUDITLINK__" localSheetId="5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70__FDSAUDITLINK__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70__FDSAUDITLINK___1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70__FDSAUDITLINK___2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71__FDSAUDITLINK__" localSheetId="7" hidden="1">{"fdsup://directions/FAT Viewer?action=UPDATE&amp;creator=factset&amp;DYN_ARGS=TRUE&amp;DOC_NAME=FAT:FQL_AUDITING_CLIENT_TEMPLATE.FAT&amp;display_string=Audit&amp;VAR:KEY=UPCHEHKTWT&amp;VAR:QUERY=RkZfU0hMRFJTX0VRKEFOTiwwKQ==&amp;WINDOW=FIRST_POPUP&amp;HEIGHT=450&amp;WIDTH=450&amp;START_MAXIMIZED=","FALSE&amp;VAR:CALENDAR=US&amp;VAR:SYMBOL=ABMD&amp;VAR:INDEX=0"}</definedName>
    <definedName name="_71__FDSAUDITLINK__" localSheetId="5" hidden="1">{"fdsup://directions/FAT Viewer?action=UPDATE&amp;creator=factset&amp;DYN_ARGS=TRUE&amp;DOC_NAME=FAT:FQL_AUDITING_CLIENT_TEMPLATE.FAT&amp;display_string=Audit&amp;VAR:KEY=UPCHEHKTWT&amp;VAR:QUERY=RkZfU0hMRFJTX0VRKEFOTiwwKQ==&amp;WINDOW=FIRST_POPUP&amp;HEIGHT=450&amp;WIDTH=450&amp;START_MAXIMIZED=","FALSE&amp;VAR:CALENDAR=US&amp;VAR:SYMBOL=ABMD&amp;VAR:INDEX=0"}</definedName>
    <definedName name="_71__FDSAUDITLINK__" hidden="1">{"fdsup://directions/FAT Viewer?action=UPDATE&amp;creator=factset&amp;DYN_ARGS=TRUE&amp;DOC_NAME=FAT:FQL_AUDITING_CLIENT_TEMPLATE.FAT&amp;display_string=Audit&amp;VAR:KEY=UPCHEHKTWT&amp;VAR:QUERY=RkZfU0hMRFJTX0VRKEFOTiwwKQ==&amp;WINDOW=FIRST_POPUP&amp;HEIGHT=450&amp;WIDTH=450&amp;START_MAXIMIZED=","FALSE&amp;VAR:CALENDAR=US&amp;VAR:SYMBOL=ABMD&amp;VAR:INDEX=0"}</definedName>
    <definedName name="_71__FDSAUDITLINK___1" hidden="1">{"fdsup://directions/FAT Viewer?action=UPDATE&amp;creator=factset&amp;DYN_ARGS=TRUE&amp;DOC_NAME=FAT:FQL_AUDITING_CLIENT_TEMPLATE.FAT&amp;display_string=Audit&amp;VAR:KEY=UPCHEHKTWT&amp;VAR:QUERY=RkZfU0hMRFJTX0VRKEFOTiwwKQ==&amp;WINDOW=FIRST_POPUP&amp;HEIGHT=450&amp;WIDTH=450&amp;START_MAXIMIZED=","FALSE&amp;VAR:CALENDAR=US&amp;VAR:SYMBOL=ABMD&amp;VAR:INDEX=0"}</definedName>
    <definedName name="_71__FDSAUDITLINK___2" hidden="1">{"fdsup://directions/FAT Viewer?action=UPDATE&amp;creator=factset&amp;DYN_ARGS=TRUE&amp;DOC_NAME=FAT:FQL_AUDITING_CLIENT_TEMPLATE.FAT&amp;display_string=Audit&amp;VAR:KEY=UPCHEHKTWT&amp;VAR:QUERY=RkZfU0hMRFJTX0VRKEFOTiwwKQ==&amp;WINDOW=FIRST_POPUP&amp;HEIGHT=450&amp;WIDTH=450&amp;START_MAXIMIZED=","FALSE&amp;VAR:CALENDAR=US&amp;VAR:SYMBOL=ABMD&amp;VAR:INDEX=0"}</definedName>
    <definedName name="_72__FDSAUDITLINK__" localSheetId="7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72__FDSAUDITLINK__" localSheetId="5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72__FDSAUDITLINK__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72__FDSAUDITLINK___1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72__FDSAUDITLINK___2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73__FDSAUDITLINK__" localSheetId="7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73__FDSAUDITLINK__" localSheetId="5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73__FDSAUDITLINK__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73__FDSAUDITLINK___1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73__FDSAUDITLINK___2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74__FDSAUDITLINK__" localSheetId="7" hidden="1">{"fdsup://directions/FAT Viewer?action=UPDATE&amp;creator=factset&amp;DYN_ARGS=TRUE&amp;DOC_NAME=FAT:FQL_AUDITING_CLIENT_TEMPLATE.FAT&amp;display_string=Audit&amp;VAR:KEY=MZIRGRQDQT&amp;VAR:QUERY=RkZfRU5UUlBSX1ZBTF9EQUlMWShOT1csLCwsLCdESUwnKQ==&amp;WINDOW=FIRST_POPUP&amp;HEIGHT=450&amp;WIDTH=","450&amp;START_MAXIMIZED=FALSE&amp;VAR:CALENDAR=FIVEDAY&amp;VAR:SYMBOL=PACB&amp;VAR:INDEX=0"}</definedName>
    <definedName name="_74__FDSAUDITLINK__" localSheetId="5" hidden="1">{"fdsup://directions/FAT Viewer?action=UPDATE&amp;creator=factset&amp;DYN_ARGS=TRUE&amp;DOC_NAME=FAT:FQL_AUDITING_CLIENT_TEMPLATE.FAT&amp;display_string=Audit&amp;VAR:KEY=MZIRGRQDQT&amp;VAR:QUERY=RkZfRU5UUlBSX1ZBTF9EQUlMWShOT1csLCwsLCdESUwnKQ==&amp;WINDOW=FIRST_POPUP&amp;HEIGHT=450&amp;WIDTH=","450&amp;START_MAXIMIZED=FALSE&amp;VAR:CALENDAR=FIVEDAY&amp;VAR:SYMBOL=PACB&amp;VAR:INDEX=0"}</definedName>
    <definedName name="_74__FDSAUDITLINK__" hidden="1">{"fdsup://directions/FAT Viewer?action=UPDATE&amp;creator=factset&amp;DYN_ARGS=TRUE&amp;DOC_NAME=FAT:FQL_AUDITING_CLIENT_TEMPLATE.FAT&amp;display_string=Audit&amp;VAR:KEY=MZIRGRQDQT&amp;VAR:QUERY=RkZfRU5UUlBSX1ZBTF9EQUlMWShOT1csLCwsLCdESUwnKQ==&amp;WINDOW=FIRST_POPUP&amp;HEIGHT=450&amp;WIDTH=","450&amp;START_MAXIMIZED=FALSE&amp;VAR:CALENDAR=FIVEDAY&amp;VAR:SYMBOL=PACB&amp;VAR:INDEX=0"}</definedName>
    <definedName name="_74__FDSAUDITLINK___1" hidden="1">{"fdsup://directions/FAT Viewer?action=UPDATE&amp;creator=factset&amp;DYN_ARGS=TRUE&amp;DOC_NAME=FAT:FQL_AUDITING_CLIENT_TEMPLATE.FAT&amp;display_string=Audit&amp;VAR:KEY=MZIRGRQDQT&amp;VAR:QUERY=RkZfRU5UUlBSX1ZBTF9EQUlMWShOT1csLCwsLCdESUwnKQ==&amp;WINDOW=FIRST_POPUP&amp;HEIGHT=450&amp;WIDTH=","450&amp;START_MAXIMIZED=FALSE&amp;VAR:CALENDAR=FIVEDAY&amp;VAR:SYMBOL=PACB&amp;VAR:INDEX=0"}</definedName>
    <definedName name="_74__FDSAUDITLINK___2" hidden="1">{"fdsup://directions/FAT Viewer?action=UPDATE&amp;creator=factset&amp;DYN_ARGS=TRUE&amp;DOC_NAME=FAT:FQL_AUDITING_CLIENT_TEMPLATE.FAT&amp;display_string=Audit&amp;VAR:KEY=MZIRGRQDQT&amp;VAR:QUERY=RkZfRU5UUlBSX1ZBTF9EQUlMWShOT1csLCwsLCdESUwnKQ==&amp;WINDOW=FIRST_POPUP&amp;HEIGHT=450&amp;WIDTH=","450&amp;START_MAXIMIZED=FALSE&amp;VAR:CALENDAR=FIVEDAY&amp;VAR:SYMBOL=PACB&amp;VAR:INDEX=0"}</definedName>
    <definedName name="_75__FDSAUDITLINK__" localSheetId="7" hidden="1">{"fdsup://directions/FAT Viewer?action=UPDATE&amp;creator=factset&amp;DYN_ARGS=TRUE&amp;DOC_NAME=FAT:FQL_AUDITING_CLIENT_TEMPLATE.FAT&amp;display_string=Audit&amp;VAR:KEY=EZCLCRSDAP&amp;VAR:QUERY=RkZfRU5UUlBSX1ZBTF9EQUlMWShOT1csLCwsLCdESUwnKQ==&amp;WINDOW=FIRST_POPUP&amp;HEIGHT=450&amp;WIDTH=","450&amp;START_MAXIMIZED=FALSE&amp;VAR:CALENDAR=FIVEDAY&amp;VAR:SYMBOL=AFFX&amp;VAR:INDEX=0"}</definedName>
    <definedName name="_75__FDSAUDITLINK__" localSheetId="5" hidden="1">{"fdsup://directions/FAT Viewer?action=UPDATE&amp;creator=factset&amp;DYN_ARGS=TRUE&amp;DOC_NAME=FAT:FQL_AUDITING_CLIENT_TEMPLATE.FAT&amp;display_string=Audit&amp;VAR:KEY=EZCLCRSDAP&amp;VAR:QUERY=RkZfRU5UUlBSX1ZBTF9EQUlMWShOT1csLCwsLCdESUwnKQ==&amp;WINDOW=FIRST_POPUP&amp;HEIGHT=450&amp;WIDTH=","450&amp;START_MAXIMIZED=FALSE&amp;VAR:CALENDAR=FIVEDAY&amp;VAR:SYMBOL=AFFX&amp;VAR:INDEX=0"}</definedName>
    <definedName name="_75__FDSAUDITLINK__" hidden="1">{"fdsup://directions/FAT Viewer?action=UPDATE&amp;creator=factset&amp;DYN_ARGS=TRUE&amp;DOC_NAME=FAT:FQL_AUDITING_CLIENT_TEMPLATE.FAT&amp;display_string=Audit&amp;VAR:KEY=EZCLCRSDAP&amp;VAR:QUERY=RkZfRU5UUlBSX1ZBTF9EQUlMWShOT1csLCwsLCdESUwnKQ==&amp;WINDOW=FIRST_POPUP&amp;HEIGHT=450&amp;WIDTH=","450&amp;START_MAXIMIZED=FALSE&amp;VAR:CALENDAR=FIVEDAY&amp;VAR:SYMBOL=AFFX&amp;VAR:INDEX=0"}</definedName>
    <definedName name="_75__FDSAUDITLINK___1" hidden="1">{"fdsup://directions/FAT Viewer?action=UPDATE&amp;creator=factset&amp;DYN_ARGS=TRUE&amp;DOC_NAME=FAT:FQL_AUDITING_CLIENT_TEMPLATE.FAT&amp;display_string=Audit&amp;VAR:KEY=EZCLCRSDAP&amp;VAR:QUERY=RkZfRU5UUlBSX1ZBTF9EQUlMWShOT1csLCwsLCdESUwnKQ==&amp;WINDOW=FIRST_POPUP&amp;HEIGHT=450&amp;WIDTH=","450&amp;START_MAXIMIZED=FALSE&amp;VAR:CALENDAR=FIVEDAY&amp;VAR:SYMBOL=AFFX&amp;VAR:INDEX=0"}</definedName>
    <definedName name="_75__FDSAUDITLINK___2" hidden="1">{"fdsup://directions/FAT Viewer?action=UPDATE&amp;creator=factset&amp;DYN_ARGS=TRUE&amp;DOC_NAME=FAT:FQL_AUDITING_CLIENT_TEMPLATE.FAT&amp;display_string=Audit&amp;VAR:KEY=EZCLCRSDAP&amp;VAR:QUERY=RkZfRU5UUlBSX1ZBTF9EQUlMWShOT1csLCwsLCdESUwnKQ==&amp;WINDOW=FIRST_POPUP&amp;HEIGHT=450&amp;WIDTH=","450&amp;START_MAXIMIZED=FALSE&amp;VAR:CALENDAR=FIVEDAY&amp;VAR:SYMBOL=AFFX&amp;VAR:INDEX=0"}</definedName>
    <definedName name="_76__FDSAUDITLINK__" localSheetId="7" hidden="1">{"fdsup://directions/FAT Viewer?action=UPDATE&amp;creator=factset&amp;DYN_ARGS=TRUE&amp;DOC_NAME=FAT:FQL_AUDITING_CLIENT_TEMPLATE.FAT&amp;display_string=Audit&amp;VAR:KEY=OLOPGHWHAP&amp;VAR:QUERY=RkZfRU5UUlBSX1ZBTF9EQUlMWShOT1csLCwsLCdESUwnKQ==&amp;WINDOW=FIRST_POPUP&amp;HEIGHT=450&amp;WIDTH=","450&amp;START_MAXIMIZED=FALSE&amp;VAR:CALENDAR=FIVEDAY&amp;VAR:SYMBOL=BDX&amp;VAR:INDEX=0"}</definedName>
    <definedName name="_76__FDSAUDITLINK__" localSheetId="5" hidden="1">{"fdsup://directions/FAT Viewer?action=UPDATE&amp;creator=factset&amp;DYN_ARGS=TRUE&amp;DOC_NAME=FAT:FQL_AUDITING_CLIENT_TEMPLATE.FAT&amp;display_string=Audit&amp;VAR:KEY=OLOPGHWHAP&amp;VAR:QUERY=RkZfRU5UUlBSX1ZBTF9EQUlMWShOT1csLCwsLCdESUwnKQ==&amp;WINDOW=FIRST_POPUP&amp;HEIGHT=450&amp;WIDTH=","450&amp;START_MAXIMIZED=FALSE&amp;VAR:CALENDAR=FIVEDAY&amp;VAR:SYMBOL=BDX&amp;VAR:INDEX=0"}</definedName>
    <definedName name="_76__FDSAUDITLINK__" hidden="1">{"fdsup://directions/FAT Viewer?action=UPDATE&amp;creator=factset&amp;DYN_ARGS=TRUE&amp;DOC_NAME=FAT:FQL_AUDITING_CLIENT_TEMPLATE.FAT&amp;display_string=Audit&amp;VAR:KEY=OLOPGHWHAP&amp;VAR:QUERY=RkZfRU5UUlBSX1ZBTF9EQUlMWShOT1csLCwsLCdESUwnKQ==&amp;WINDOW=FIRST_POPUP&amp;HEIGHT=450&amp;WIDTH=","450&amp;START_MAXIMIZED=FALSE&amp;VAR:CALENDAR=FIVEDAY&amp;VAR:SYMBOL=BDX&amp;VAR:INDEX=0"}</definedName>
    <definedName name="_76__FDSAUDITLINK___1" hidden="1">{"fdsup://directions/FAT Viewer?action=UPDATE&amp;creator=factset&amp;DYN_ARGS=TRUE&amp;DOC_NAME=FAT:FQL_AUDITING_CLIENT_TEMPLATE.FAT&amp;display_string=Audit&amp;VAR:KEY=OLOPGHWHAP&amp;VAR:QUERY=RkZfRU5UUlBSX1ZBTF9EQUlMWShOT1csLCwsLCdESUwnKQ==&amp;WINDOW=FIRST_POPUP&amp;HEIGHT=450&amp;WIDTH=","450&amp;START_MAXIMIZED=FALSE&amp;VAR:CALENDAR=FIVEDAY&amp;VAR:SYMBOL=BDX&amp;VAR:INDEX=0"}</definedName>
    <definedName name="_76__FDSAUDITLINK___2" hidden="1">{"fdsup://directions/FAT Viewer?action=UPDATE&amp;creator=factset&amp;DYN_ARGS=TRUE&amp;DOC_NAME=FAT:FQL_AUDITING_CLIENT_TEMPLATE.FAT&amp;display_string=Audit&amp;VAR:KEY=OLOPGHWHAP&amp;VAR:QUERY=RkZfRU5UUlBSX1ZBTF9EQUlMWShOT1csLCwsLCdESUwnKQ==&amp;WINDOW=FIRST_POPUP&amp;HEIGHT=450&amp;WIDTH=","450&amp;START_MAXIMIZED=FALSE&amp;VAR:CALENDAR=FIVEDAY&amp;VAR:SYMBOL=BDX&amp;VAR:INDEX=0"}</definedName>
    <definedName name="_77__FDSAUDITLINK__" localSheetId="7" hidden="1">{"fdsup://directions/FAT Viewer?action=UPDATE&amp;creator=factset&amp;DYN_ARGS=TRUE&amp;DOC_NAME=FAT:FQL_AUDITING_CLIENT_TEMPLATE.FAT&amp;display_string=Audit&amp;VAR:KEY=ONQHQDUZKF&amp;VAR:QUERY=RkZfRU5UUlBSX1ZBTF9EQUlMWShOT1csLCwsLCdESUwnKQ==&amp;WINDOW=FIRST_POPUP&amp;HEIGHT=450&amp;WIDTH=","450&amp;START_MAXIMIZED=FALSE&amp;VAR:CALENDAR=FIVEDAY&amp;VAR:SYMBOL=BEC&amp;VAR:INDEX=0"}</definedName>
    <definedName name="_77__FDSAUDITLINK__" localSheetId="5" hidden="1">{"fdsup://directions/FAT Viewer?action=UPDATE&amp;creator=factset&amp;DYN_ARGS=TRUE&amp;DOC_NAME=FAT:FQL_AUDITING_CLIENT_TEMPLATE.FAT&amp;display_string=Audit&amp;VAR:KEY=ONQHQDUZKF&amp;VAR:QUERY=RkZfRU5UUlBSX1ZBTF9EQUlMWShOT1csLCwsLCdESUwnKQ==&amp;WINDOW=FIRST_POPUP&amp;HEIGHT=450&amp;WIDTH=","450&amp;START_MAXIMIZED=FALSE&amp;VAR:CALENDAR=FIVEDAY&amp;VAR:SYMBOL=BEC&amp;VAR:INDEX=0"}</definedName>
    <definedName name="_77__FDSAUDITLINK__" hidden="1">{"fdsup://directions/FAT Viewer?action=UPDATE&amp;creator=factset&amp;DYN_ARGS=TRUE&amp;DOC_NAME=FAT:FQL_AUDITING_CLIENT_TEMPLATE.FAT&amp;display_string=Audit&amp;VAR:KEY=ONQHQDUZKF&amp;VAR:QUERY=RkZfRU5UUlBSX1ZBTF9EQUlMWShOT1csLCwsLCdESUwnKQ==&amp;WINDOW=FIRST_POPUP&amp;HEIGHT=450&amp;WIDTH=","450&amp;START_MAXIMIZED=FALSE&amp;VAR:CALENDAR=FIVEDAY&amp;VAR:SYMBOL=BEC&amp;VAR:INDEX=0"}</definedName>
    <definedName name="_77__FDSAUDITLINK___1" hidden="1">{"fdsup://directions/FAT Viewer?action=UPDATE&amp;creator=factset&amp;DYN_ARGS=TRUE&amp;DOC_NAME=FAT:FQL_AUDITING_CLIENT_TEMPLATE.FAT&amp;display_string=Audit&amp;VAR:KEY=ONQHQDUZKF&amp;VAR:QUERY=RkZfRU5UUlBSX1ZBTF9EQUlMWShOT1csLCwsLCdESUwnKQ==&amp;WINDOW=FIRST_POPUP&amp;HEIGHT=450&amp;WIDTH=","450&amp;START_MAXIMIZED=FALSE&amp;VAR:CALENDAR=FIVEDAY&amp;VAR:SYMBOL=BEC&amp;VAR:INDEX=0"}</definedName>
    <definedName name="_77__FDSAUDITLINK___2" hidden="1">{"fdsup://directions/FAT Viewer?action=UPDATE&amp;creator=factset&amp;DYN_ARGS=TRUE&amp;DOC_NAME=FAT:FQL_AUDITING_CLIENT_TEMPLATE.FAT&amp;display_string=Audit&amp;VAR:KEY=ONQHQDUZKF&amp;VAR:QUERY=RkZfRU5UUlBSX1ZBTF9EQUlMWShOT1csLCwsLCdESUwnKQ==&amp;WINDOW=FIRST_POPUP&amp;HEIGHT=450&amp;WIDTH=","450&amp;START_MAXIMIZED=FALSE&amp;VAR:CALENDAR=FIVEDAY&amp;VAR:SYMBOL=BEC&amp;VAR:INDEX=0"}</definedName>
    <definedName name="_78__FDSAUDITLINK__" localSheetId="7" hidden="1">{"fdsup://directions/FAT Viewer?action=UPDATE&amp;creator=factset&amp;DYN_ARGS=TRUE&amp;DOC_NAME=FAT:FQL_AUDITING_CLIENT_TEMPLATE.FAT&amp;display_string=Audit&amp;VAR:KEY=GPYRITKBWH&amp;VAR:QUERY=RkZfRU5UUlBSX1ZBTF9EQUlMWShOT1csLCwsLCdESUwnKQ==&amp;WINDOW=FIRST_POPUP&amp;HEIGHT=450&amp;WIDTH=","450&amp;START_MAXIMIZED=FALSE&amp;VAR:CALENDAR=FIVEDAY&amp;VAR:SYMBOL=GPRO&amp;VAR:INDEX=0"}</definedName>
    <definedName name="_78__FDSAUDITLINK__" localSheetId="5" hidden="1">{"fdsup://directions/FAT Viewer?action=UPDATE&amp;creator=factset&amp;DYN_ARGS=TRUE&amp;DOC_NAME=FAT:FQL_AUDITING_CLIENT_TEMPLATE.FAT&amp;display_string=Audit&amp;VAR:KEY=GPYRITKBWH&amp;VAR:QUERY=RkZfRU5UUlBSX1ZBTF9EQUlMWShOT1csLCwsLCdESUwnKQ==&amp;WINDOW=FIRST_POPUP&amp;HEIGHT=450&amp;WIDTH=","450&amp;START_MAXIMIZED=FALSE&amp;VAR:CALENDAR=FIVEDAY&amp;VAR:SYMBOL=GPRO&amp;VAR:INDEX=0"}</definedName>
    <definedName name="_78__FDSAUDITLINK__" hidden="1">{"fdsup://directions/FAT Viewer?action=UPDATE&amp;creator=factset&amp;DYN_ARGS=TRUE&amp;DOC_NAME=FAT:FQL_AUDITING_CLIENT_TEMPLATE.FAT&amp;display_string=Audit&amp;VAR:KEY=GPYRITKBWH&amp;VAR:QUERY=RkZfRU5UUlBSX1ZBTF9EQUlMWShOT1csLCwsLCdESUwnKQ==&amp;WINDOW=FIRST_POPUP&amp;HEIGHT=450&amp;WIDTH=","450&amp;START_MAXIMIZED=FALSE&amp;VAR:CALENDAR=FIVEDAY&amp;VAR:SYMBOL=GPRO&amp;VAR:INDEX=0"}</definedName>
    <definedName name="_78__FDSAUDITLINK___1" hidden="1">{"fdsup://directions/FAT Viewer?action=UPDATE&amp;creator=factset&amp;DYN_ARGS=TRUE&amp;DOC_NAME=FAT:FQL_AUDITING_CLIENT_TEMPLATE.FAT&amp;display_string=Audit&amp;VAR:KEY=GPYRITKBWH&amp;VAR:QUERY=RkZfRU5UUlBSX1ZBTF9EQUlMWShOT1csLCwsLCdESUwnKQ==&amp;WINDOW=FIRST_POPUP&amp;HEIGHT=450&amp;WIDTH=","450&amp;START_MAXIMIZED=FALSE&amp;VAR:CALENDAR=FIVEDAY&amp;VAR:SYMBOL=GPRO&amp;VAR:INDEX=0"}</definedName>
    <definedName name="_78__FDSAUDITLINK___2" hidden="1">{"fdsup://directions/FAT Viewer?action=UPDATE&amp;creator=factset&amp;DYN_ARGS=TRUE&amp;DOC_NAME=FAT:FQL_AUDITING_CLIENT_TEMPLATE.FAT&amp;display_string=Audit&amp;VAR:KEY=GPYRITKBWH&amp;VAR:QUERY=RkZfRU5UUlBSX1ZBTF9EQUlMWShOT1csLCwsLCdESUwnKQ==&amp;WINDOW=FIRST_POPUP&amp;HEIGHT=450&amp;WIDTH=","450&amp;START_MAXIMIZED=FALSE&amp;VAR:CALENDAR=FIVEDAY&amp;VAR:SYMBOL=GPRO&amp;VAR:INDEX=0"}</definedName>
    <definedName name="_79__FDSAUDITLINK__" localSheetId="7" hidden="1">{"fdsup://directions/FAT Viewer?action=UPDATE&amp;creator=factset&amp;DYN_ARGS=TRUE&amp;DOC_NAME=FAT:FQL_AUDITING_CLIENT_TEMPLATE.FAT&amp;display_string=Audit&amp;VAR:KEY=UXUVUJWNOH&amp;VAR:QUERY=RkZfRU5UUlBSX1ZBTF9EQUlMWShOT1csLCwsLCdESUwnKQ==&amp;WINDOW=FIRST_POPUP&amp;HEIGHT=450&amp;WIDTH=","450&amp;START_MAXIMIZED=FALSE&amp;VAR:CALENDAR=FIVEDAY&amp;VAR:SYMBOL=HSP&amp;VAR:INDEX=0"}</definedName>
    <definedName name="_79__FDSAUDITLINK__" localSheetId="5" hidden="1">{"fdsup://directions/FAT Viewer?action=UPDATE&amp;creator=factset&amp;DYN_ARGS=TRUE&amp;DOC_NAME=FAT:FQL_AUDITING_CLIENT_TEMPLATE.FAT&amp;display_string=Audit&amp;VAR:KEY=UXUVUJWNOH&amp;VAR:QUERY=RkZfRU5UUlBSX1ZBTF9EQUlMWShOT1csLCwsLCdESUwnKQ==&amp;WINDOW=FIRST_POPUP&amp;HEIGHT=450&amp;WIDTH=","450&amp;START_MAXIMIZED=FALSE&amp;VAR:CALENDAR=FIVEDAY&amp;VAR:SYMBOL=HSP&amp;VAR:INDEX=0"}</definedName>
    <definedName name="_79__FDSAUDITLINK__" hidden="1">{"fdsup://directions/FAT Viewer?action=UPDATE&amp;creator=factset&amp;DYN_ARGS=TRUE&amp;DOC_NAME=FAT:FQL_AUDITING_CLIENT_TEMPLATE.FAT&amp;display_string=Audit&amp;VAR:KEY=UXUVUJWNOH&amp;VAR:QUERY=RkZfRU5UUlBSX1ZBTF9EQUlMWShOT1csLCwsLCdESUwnKQ==&amp;WINDOW=FIRST_POPUP&amp;HEIGHT=450&amp;WIDTH=","450&amp;START_MAXIMIZED=FALSE&amp;VAR:CALENDAR=FIVEDAY&amp;VAR:SYMBOL=HSP&amp;VAR:INDEX=0"}</definedName>
    <definedName name="_79__FDSAUDITLINK___1" hidden="1">{"fdsup://directions/FAT Viewer?action=UPDATE&amp;creator=factset&amp;DYN_ARGS=TRUE&amp;DOC_NAME=FAT:FQL_AUDITING_CLIENT_TEMPLATE.FAT&amp;display_string=Audit&amp;VAR:KEY=UXUVUJWNOH&amp;VAR:QUERY=RkZfRU5UUlBSX1ZBTF9EQUlMWShOT1csLCwsLCdESUwnKQ==&amp;WINDOW=FIRST_POPUP&amp;HEIGHT=450&amp;WIDTH=","450&amp;START_MAXIMIZED=FALSE&amp;VAR:CALENDAR=FIVEDAY&amp;VAR:SYMBOL=HSP&amp;VAR:INDEX=0"}</definedName>
    <definedName name="_79__FDSAUDITLINK___2" hidden="1">{"fdsup://directions/FAT Viewer?action=UPDATE&amp;creator=factset&amp;DYN_ARGS=TRUE&amp;DOC_NAME=FAT:FQL_AUDITING_CLIENT_TEMPLATE.FAT&amp;display_string=Audit&amp;VAR:KEY=UXUVUJWNOH&amp;VAR:QUERY=RkZfRU5UUlBSX1ZBTF9EQUlMWShOT1csLCwsLCdESUwnKQ==&amp;WINDOW=FIRST_POPUP&amp;HEIGHT=450&amp;WIDTH=","450&amp;START_MAXIMIZED=FALSE&amp;VAR:CALENDAR=FIVEDAY&amp;VAR:SYMBOL=HSP&amp;VAR:INDEX=0"}</definedName>
    <definedName name="_8__FDSAUDITLINK__" localSheetId="7" hidden="1">{"fdsup://directions/FAT Viewer?action=UPDATE&amp;creator=factset&amp;DYN_ARGS=TRUE&amp;DOC_NAME=FAT:FQL_AUDITING_CLIENT_TEMPLATE.FAT&amp;display_string=Audit&amp;VAR:KEY=OTKPETWXCN&amp;VAR:QUERY=RkZfU0hMRFJTX0VRKEFOTiwwKQ==&amp;WINDOW=FIRST_POPUP&amp;HEIGHT=450&amp;WIDTH=450&amp;START_MAXIMIZED=","FALSE&amp;VAR:CALENDAR=US&amp;VAR:SYMBOL=STJ&amp;VAR:INDEX=0"}</definedName>
    <definedName name="_8__FDSAUDITLINK__" localSheetId="5" hidden="1">{"fdsup://directions/FAT Viewer?action=UPDATE&amp;creator=factset&amp;DYN_ARGS=TRUE&amp;DOC_NAME=FAT:FQL_AUDITING_CLIENT_TEMPLATE.FAT&amp;display_string=Audit&amp;VAR:KEY=OTKPETWXCN&amp;VAR:QUERY=RkZfU0hMRFJTX0VRKEFOTiwwKQ==&amp;WINDOW=FIRST_POPUP&amp;HEIGHT=450&amp;WIDTH=450&amp;START_MAXIMIZED=","FALSE&amp;VAR:CALENDAR=US&amp;VAR:SYMBOL=STJ&amp;VAR:INDEX=0"}</definedName>
    <definedName name="_8__FDSAUDITLINK__" hidden="1">{"fdsup://directions/FAT Viewer?action=UPDATE&amp;creator=factset&amp;DYN_ARGS=TRUE&amp;DOC_NAME=FAT:FQL_AUDITING_CLIENT_TEMPLATE.FAT&amp;display_string=Audit&amp;VAR:KEY=OTKPETWXCN&amp;VAR:QUERY=RkZfU0hMRFJTX0VRKEFOTiwwKQ==&amp;WINDOW=FIRST_POPUP&amp;HEIGHT=450&amp;WIDTH=450&amp;START_MAXIMIZED=","FALSE&amp;VAR:CALENDAR=US&amp;VAR:SYMBOL=STJ&amp;VAR:INDEX=0"}</definedName>
    <definedName name="_8__FDSAUDITLINK___1" hidden="1">{"fdsup://directions/FAT Viewer?action=UPDATE&amp;creator=factset&amp;DYN_ARGS=TRUE&amp;DOC_NAME=FAT:FQL_AUDITING_CLIENT_TEMPLATE.FAT&amp;display_string=Audit&amp;VAR:KEY=OTKPETWXCN&amp;VAR:QUERY=RkZfU0hMRFJTX0VRKEFOTiwwKQ==&amp;WINDOW=FIRST_POPUP&amp;HEIGHT=450&amp;WIDTH=450&amp;START_MAXIMIZED=","FALSE&amp;VAR:CALENDAR=US&amp;VAR:SYMBOL=STJ&amp;VAR:INDEX=0"}</definedName>
    <definedName name="_8__FDSAUDITLINK___2" hidden="1">{"fdsup://directions/FAT Viewer?action=UPDATE&amp;creator=factset&amp;DYN_ARGS=TRUE&amp;DOC_NAME=FAT:FQL_AUDITING_CLIENT_TEMPLATE.FAT&amp;display_string=Audit&amp;VAR:KEY=OTKPETWXCN&amp;VAR:QUERY=RkZfU0hMRFJTX0VRKEFOTiwwKQ==&amp;WINDOW=FIRST_POPUP&amp;HEIGHT=450&amp;WIDTH=450&amp;START_MAXIMIZED=","FALSE&amp;VAR:CALENDAR=US&amp;VAR:SYMBOL=STJ&amp;VAR:INDEX=0"}</definedName>
    <definedName name="_80__FDSAUDITLINK__" localSheetId="7" hidden="1">{"fdsup://directions/FAT Viewer?action=UPDATE&amp;creator=factset&amp;DYN_ARGS=TRUE&amp;DOC_NAME=FAT:FQL_AUDITING_CLIENT_TEMPLATE.FAT&amp;display_string=Audit&amp;VAR:KEY=QDWBINOJIH&amp;VAR:QUERY=RkZfRU5UUlBSX1ZBTF9EQUlMWShOT1csLCwsLCdESUwnKQ==&amp;WINDOW=FIRST_POPUP&amp;HEIGHT=450&amp;WIDTH=","450&amp;START_MAXIMIZED=FALSE&amp;VAR:CALENDAR=FIVEDAY&amp;VAR:SYMBOL=MYGN&amp;VAR:INDEX=0"}</definedName>
    <definedName name="_80__FDSAUDITLINK__" localSheetId="5" hidden="1">{"fdsup://directions/FAT Viewer?action=UPDATE&amp;creator=factset&amp;DYN_ARGS=TRUE&amp;DOC_NAME=FAT:FQL_AUDITING_CLIENT_TEMPLATE.FAT&amp;display_string=Audit&amp;VAR:KEY=QDWBINOJIH&amp;VAR:QUERY=RkZfRU5UUlBSX1ZBTF9EQUlMWShOT1csLCwsLCdESUwnKQ==&amp;WINDOW=FIRST_POPUP&amp;HEIGHT=450&amp;WIDTH=","450&amp;START_MAXIMIZED=FALSE&amp;VAR:CALENDAR=FIVEDAY&amp;VAR:SYMBOL=MYGN&amp;VAR:INDEX=0"}</definedName>
    <definedName name="_80__FDSAUDITLINK__" hidden="1">{"fdsup://directions/FAT Viewer?action=UPDATE&amp;creator=factset&amp;DYN_ARGS=TRUE&amp;DOC_NAME=FAT:FQL_AUDITING_CLIENT_TEMPLATE.FAT&amp;display_string=Audit&amp;VAR:KEY=QDWBINOJIH&amp;VAR:QUERY=RkZfRU5UUlBSX1ZBTF9EQUlMWShOT1csLCwsLCdESUwnKQ==&amp;WINDOW=FIRST_POPUP&amp;HEIGHT=450&amp;WIDTH=","450&amp;START_MAXIMIZED=FALSE&amp;VAR:CALENDAR=FIVEDAY&amp;VAR:SYMBOL=MYGN&amp;VAR:INDEX=0"}</definedName>
    <definedName name="_80__FDSAUDITLINK___1" hidden="1">{"fdsup://directions/FAT Viewer?action=UPDATE&amp;creator=factset&amp;DYN_ARGS=TRUE&amp;DOC_NAME=FAT:FQL_AUDITING_CLIENT_TEMPLATE.FAT&amp;display_string=Audit&amp;VAR:KEY=QDWBINOJIH&amp;VAR:QUERY=RkZfRU5UUlBSX1ZBTF9EQUlMWShOT1csLCwsLCdESUwnKQ==&amp;WINDOW=FIRST_POPUP&amp;HEIGHT=450&amp;WIDTH=","450&amp;START_MAXIMIZED=FALSE&amp;VAR:CALENDAR=FIVEDAY&amp;VAR:SYMBOL=MYGN&amp;VAR:INDEX=0"}</definedName>
    <definedName name="_80__FDSAUDITLINK___2" hidden="1">{"fdsup://directions/FAT Viewer?action=UPDATE&amp;creator=factset&amp;DYN_ARGS=TRUE&amp;DOC_NAME=FAT:FQL_AUDITING_CLIENT_TEMPLATE.FAT&amp;display_string=Audit&amp;VAR:KEY=QDWBINOJIH&amp;VAR:QUERY=RkZfRU5UUlBSX1ZBTF9EQUlMWShOT1csLCwsLCdESUwnKQ==&amp;WINDOW=FIRST_POPUP&amp;HEIGHT=450&amp;WIDTH=","450&amp;START_MAXIMIZED=FALSE&amp;VAR:CALENDAR=FIVEDAY&amp;VAR:SYMBOL=MYGN&amp;VAR:INDEX=0"}</definedName>
    <definedName name="_81__FDSAUDITLINK__" localSheetId="7" hidden="1">{"fdsup://directions/FAT Viewer?action=UPDATE&amp;creator=factset&amp;DYN_ARGS=TRUE&amp;DOC_NAME=FAT:FQL_AUDITING_CLIENT_TEMPLATE.FAT&amp;display_string=Audit&amp;VAR:KEY=KPODUPWHYR&amp;VAR:QUERY=RkZfRU5UUlBSX1ZBTF9EQUlMWShOT1csLCwsLCdESUwnKQ==&amp;WINDOW=FIRST_POPUP&amp;HEIGHT=450&amp;WIDTH=","450&amp;START_MAXIMIZED=FALSE&amp;VAR:CALENDAR=FIVEDAY&amp;VAR:SYMBOL=QGEN&amp;VAR:INDEX=0"}</definedName>
    <definedName name="_81__FDSAUDITLINK__" localSheetId="5" hidden="1">{"fdsup://directions/FAT Viewer?action=UPDATE&amp;creator=factset&amp;DYN_ARGS=TRUE&amp;DOC_NAME=FAT:FQL_AUDITING_CLIENT_TEMPLATE.FAT&amp;display_string=Audit&amp;VAR:KEY=KPODUPWHYR&amp;VAR:QUERY=RkZfRU5UUlBSX1ZBTF9EQUlMWShOT1csLCwsLCdESUwnKQ==&amp;WINDOW=FIRST_POPUP&amp;HEIGHT=450&amp;WIDTH=","450&amp;START_MAXIMIZED=FALSE&amp;VAR:CALENDAR=FIVEDAY&amp;VAR:SYMBOL=QGEN&amp;VAR:INDEX=0"}</definedName>
    <definedName name="_81__FDSAUDITLINK__" hidden="1">{"fdsup://directions/FAT Viewer?action=UPDATE&amp;creator=factset&amp;DYN_ARGS=TRUE&amp;DOC_NAME=FAT:FQL_AUDITING_CLIENT_TEMPLATE.FAT&amp;display_string=Audit&amp;VAR:KEY=KPODUPWHYR&amp;VAR:QUERY=RkZfRU5UUlBSX1ZBTF9EQUlMWShOT1csLCwsLCdESUwnKQ==&amp;WINDOW=FIRST_POPUP&amp;HEIGHT=450&amp;WIDTH=","450&amp;START_MAXIMIZED=FALSE&amp;VAR:CALENDAR=FIVEDAY&amp;VAR:SYMBOL=QGEN&amp;VAR:INDEX=0"}</definedName>
    <definedName name="_81__FDSAUDITLINK___1" hidden="1">{"fdsup://directions/FAT Viewer?action=UPDATE&amp;creator=factset&amp;DYN_ARGS=TRUE&amp;DOC_NAME=FAT:FQL_AUDITING_CLIENT_TEMPLATE.FAT&amp;display_string=Audit&amp;VAR:KEY=KPODUPWHYR&amp;VAR:QUERY=RkZfRU5UUlBSX1ZBTF9EQUlMWShOT1csLCwsLCdESUwnKQ==&amp;WINDOW=FIRST_POPUP&amp;HEIGHT=450&amp;WIDTH=","450&amp;START_MAXIMIZED=FALSE&amp;VAR:CALENDAR=FIVEDAY&amp;VAR:SYMBOL=QGEN&amp;VAR:INDEX=0"}</definedName>
    <definedName name="_81__FDSAUDITLINK___2" hidden="1">{"fdsup://directions/FAT Viewer?action=UPDATE&amp;creator=factset&amp;DYN_ARGS=TRUE&amp;DOC_NAME=FAT:FQL_AUDITING_CLIENT_TEMPLATE.FAT&amp;display_string=Audit&amp;VAR:KEY=KPODUPWHYR&amp;VAR:QUERY=RkZfRU5UUlBSX1ZBTF9EQUlMWShOT1csLCwsLCdESUwnKQ==&amp;WINDOW=FIRST_POPUP&amp;HEIGHT=450&amp;WIDTH=","450&amp;START_MAXIMIZED=FALSE&amp;VAR:CALENDAR=FIVEDAY&amp;VAR:SYMBOL=QGEN&amp;VAR:INDEX=0"}</definedName>
    <definedName name="_82__FDSAUDITLINK__" localSheetId="7" hidden="1">{"fdsup://directions/FAT Viewer?action=UPDATE&amp;creator=factset&amp;DYN_ARGS=TRUE&amp;DOC_NAME=FAT:FQL_AUDITING_CLIENT_TEMPLATE.FAT&amp;display_string=Audit&amp;VAR:KEY=CBKNWDAHKJ&amp;VAR:QUERY=RkZfRU5UUlBSX1ZBTF9EQUlMWShOT1csLCwsLCdESUwnKQ==&amp;WINDOW=FIRST_POPUP&amp;HEIGHT=450&amp;WIDTH=","450&amp;START_MAXIMIZED=FALSE&amp;VAR:CALENDAR=FIVEDAY&amp;VAR:SYMBOL=BIO&amp;VAR:INDEX=0"}</definedName>
    <definedName name="_82__FDSAUDITLINK__" localSheetId="5" hidden="1">{"fdsup://directions/FAT Viewer?action=UPDATE&amp;creator=factset&amp;DYN_ARGS=TRUE&amp;DOC_NAME=FAT:FQL_AUDITING_CLIENT_TEMPLATE.FAT&amp;display_string=Audit&amp;VAR:KEY=CBKNWDAHKJ&amp;VAR:QUERY=RkZfRU5UUlBSX1ZBTF9EQUlMWShOT1csLCwsLCdESUwnKQ==&amp;WINDOW=FIRST_POPUP&amp;HEIGHT=450&amp;WIDTH=","450&amp;START_MAXIMIZED=FALSE&amp;VAR:CALENDAR=FIVEDAY&amp;VAR:SYMBOL=BIO&amp;VAR:INDEX=0"}</definedName>
    <definedName name="_82__FDSAUDITLINK__" hidden="1">{"fdsup://directions/FAT Viewer?action=UPDATE&amp;creator=factset&amp;DYN_ARGS=TRUE&amp;DOC_NAME=FAT:FQL_AUDITING_CLIENT_TEMPLATE.FAT&amp;display_string=Audit&amp;VAR:KEY=CBKNWDAHKJ&amp;VAR:QUERY=RkZfRU5UUlBSX1ZBTF9EQUlMWShOT1csLCwsLCdESUwnKQ==&amp;WINDOW=FIRST_POPUP&amp;HEIGHT=450&amp;WIDTH=","450&amp;START_MAXIMIZED=FALSE&amp;VAR:CALENDAR=FIVEDAY&amp;VAR:SYMBOL=BIO&amp;VAR:INDEX=0"}</definedName>
    <definedName name="_82__FDSAUDITLINK___1" hidden="1">{"fdsup://directions/FAT Viewer?action=UPDATE&amp;creator=factset&amp;DYN_ARGS=TRUE&amp;DOC_NAME=FAT:FQL_AUDITING_CLIENT_TEMPLATE.FAT&amp;display_string=Audit&amp;VAR:KEY=CBKNWDAHKJ&amp;VAR:QUERY=RkZfRU5UUlBSX1ZBTF9EQUlMWShOT1csLCwsLCdESUwnKQ==&amp;WINDOW=FIRST_POPUP&amp;HEIGHT=450&amp;WIDTH=","450&amp;START_MAXIMIZED=FALSE&amp;VAR:CALENDAR=FIVEDAY&amp;VAR:SYMBOL=BIO&amp;VAR:INDEX=0"}</definedName>
    <definedName name="_82__FDSAUDITLINK___2" hidden="1">{"fdsup://directions/FAT Viewer?action=UPDATE&amp;creator=factset&amp;DYN_ARGS=TRUE&amp;DOC_NAME=FAT:FQL_AUDITING_CLIENT_TEMPLATE.FAT&amp;display_string=Audit&amp;VAR:KEY=CBKNWDAHKJ&amp;VAR:QUERY=RkZfRU5UUlBSX1ZBTF9EQUlMWShOT1csLCwsLCdESUwnKQ==&amp;WINDOW=FIRST_POPUP&amp;HEIGHT=450&amp;WIDTH=","450&amp;START_MAXIMIZED=FALSE&amp;VAR:CALENDAR=FIVEDAY&amp;VAR:SYMBOL=BIO&amp;VAR:INDEX=0"}</definedName>
    <definedName name="_83__FDSAUDITLINK__" localSheetId="7" hidden="1">{"fdsup://directions/FAT Viewer?action=UPDATE&amp;creator=factset&amp;DYN_ARGS=TRUE&amp;DOC_NAME=FAT:FQL_AUDITING_CLIENT_TEMPLATE.FAT&amp;display_string=Audit&amp;VAR:KEY=UNOBIVMNGP&amp;VAR:QUERY=RkZfRU5UUlBSX1ZBTF9EQUlMWShOT1csLCwsLCdESUwnKQ==&amp;WINDOW=FIRST_POPUP&amp;HEIGHT=450&amp;WIDTH=","450&amp;START_MAXIMIZED=FALSE&amp;VAR:CALENDAR=FIVEDAY&amp;VAR:SYMBOL=DNEX&amp;VAR:INDEX=0"}</definedName>
    <definedName name="_83__FDSAUDITLINK__" localSheetId="5" hidden="1">{"fdsup://directions/FAT Viewer?action=UPDATE&amp;creator=factset&amp;DYN_ARGS=TRUE&amp;DOC_NAME=FAT:FQL_AUDITING_CLIENT_TEMPLATE.FAT&amp;display_string=Audit&amp;VAR:KEY=UNOBIVMNGP&amp;VAR:QUERY=RkZfRU5UUlBSX1ZBTF9EQUlMWShOT1csLCwsLCdESUwnKQ==&amp;WINDOW=FIRST_POPUP&amp;HEIGHT=450&amp;WIDTH=","450&amp;START_MAXIMIZED=FALSE&amp;VAR:CALENDAR=FIVEDAY&amp;VAR:SYMBOL=DNEX&amp;VAR:INDEX=0"}</definedName>
    <definedName name="_83__FDSAUDITLINK__" hidden="1">{"fdsup://directions/FAT Viewer?action=UPDATE&amp;creator=factset&amp;DYN_ARGS=TRUE&amp;DOC_NAME=FAT:FQL_AUDITING_CLIENT_TEMPLATE.FAT&amp;display_string=Audit&amp;VAR:KEY=UNOBIVMNGP&amp;VAR:QUERY=RkZfRU5UUlBSX1ZBTF9EQUlMWShOT1csLCwsLCdESUwnKQ==&amp;WINDOW=FIRST_POPUP&amp;HEIGHT=450&amp;WIDTH=","450&amp;START_MAXIMIZED=FALSE&amp;VAR:CALENDAR=FIVEDAY&amp;VAR:SYMBOL=DNEX&amp;VAR:INDEX=0"}</definedName>
    <definedName name="_83__FDSAUDITLINK___1" hidden="1">{"fdsup://directions/FAT Viewer?action=UPDATE&amp;creator=factset&amp;DYN_ARGS=TRUE&amp;DOC_NAME=FAT:FQL_AUDITING_CLIENT_TEMPLATE.FAT&amp;display_string=Audit&amp;VAR:KEY=UNOBIVMNGP&amp;VAR:QUERY=RkZfRU5UUlBSX1ZBTF9EQUlMWShOT1csLCwsLCdESUwnKQ==&amp;WINDOW=FIRST_POPUP&amp;HEIGHT=450&amp;WIDTH=","450&amp;START_MAXIMIZED=FALSE&amp;VAR:CALENDAR=FIVEDAY&amp;VAR:SYMBOL=DNEX&amp;VAR:INDEX=0"}</definedName>
    <definedName name="_83__FDSAUDITLINK___2" hidden="1">{"fdsup://directions/FAT Viewer?action=UPDATE&amp;creator=factset&amp;DYN_ARGS=TRUE&amp;DOC_NAME=FAT:FQL_AUDITING_CLIENT_TEMPLATE.FAT&amp;display_string=Audit&amp;VAR:KEY=UNOBIVMNGP&amp;VAR:QUERY=RkZfRU5UUlBSX1ZBTF9EQUlMWShOT1csLCwsLCdESUwnKQ==&amp;WINDOW=FIRST_POPUP&amp;HEIGHT=450&amp;WIDTH=","450&amp;START_MAXIMIZED=FALSE&amp;VAR:CALENDAR=FIVEDAY&amp;VAR:SYMBOL=DNEX&amp;VAR:INDEX=0"}</definedName>
    <definedName name="_84__FDSAUDITLINK__" localSheetId="7" hidden="1">{"fdsup://directions/FAT Viewer?action=UPDATE&amp;creator=factset&amp;DYN_ARGS=TRUE&amp;DOC_NAME=FAT:FQL_AUDITING_CLIENT_TEMPLATE.FAT&amp;display_string=Audit&amp;VAR:KEY=QPUPARQXUX&amp;VAR:QUERY=RkZfRU5UUlBSX1ZBTF9EQUlMWShOT1csLCwsLCdESUwnKQ==&amp;WINDOW=FIRST_POPUP&amp;HEIGHT=450&amp;WIDTH=","450&amp;START_MAXIMIZED=FALSE&amp;VAR:CALENDAR=FIVEDAY&amp;VAR:SYMBOL=LMNX&amp;VAR:INDEX=0"}</definedName>
    <definedName name="_84__FDSAUDITLINK__" localSheetId="5" hidden="1">{"fdsup://directions/FAT Viewer?action=UPDATE&amp;creator=factset&amp;DYN_ARGS=TRUE&amp;DOC_NAME=FAT:FQL_AUDITING_CLIENT_TEMPLATE.FAT&amp;display_string=Audit&amp;VAR:KEY=QPUPARQXUX&amp;VAR:QUERY=RkZfRU5UUlBSX1ZBTF9EQUlMWShOT1csLCwsLCdESUwnKQ==&amp;WINDOW=FIRST_POPUP&amp;HEIGHT=450&amp;WIDTH=","450&amp;START_MAXIMIZED=FALSE&amp;VAR:CALENDAR=FIVEDAY&amp;VAR:SYMBOL=LMNX&amp;VAR:INDEX=0"}</definedName>
    <definedName name="_84__FDSAUDITLINK__" hidden="1">{"fdsup://directions/FAT Viewer?action=UPDATE&amp;creator=factset&amp;DYN_ARGS=TRUE&amp;DOC_NAME=FAT:FQL_AUDITING_CLIENT_TEMPLATE.FAT&amp;display_string=Audit&amp;VAR:KEY=QPUPARQXUX&amp;VAR:QUERY=RkZfRU5UUlBSX1ZBTF9EQUlMWShOT1csLCwsLCdESUwnKQ==&amp;WINDOW=FIRST_POPUP&amp;HEIGHT=450&amp;WIDTH=","450&amp;START_MAXIMIZED=FALSE&amp;VAR:CALENDAR=FIVEDAY&amp;VAR:SYMBOL=LMNX&amp;VAR:INDEX=0"}</definedName>
    <definedName name="_84__FDSAUDITLINK___1" hidden="1">{"fdsup://directions/FAT Viewer?action=UPDATE&amp;creator=factset&amp;DYN_ARGS=TRUE&amp;DOC_NAME=FAT:FQL_AUDITING_CLIENT_TEMPLATE.FAT&amp;display_string=Audit&amp;VAR:KEY=QPUPARQXUX&amp;VAR:QUERY=RkZfRU5UUlBSX1ZBTF9EQUlMWShOT1csLCwsLCdESUwnKQ==&amp;WINDOW=FIRST_POPUP&amp;HEIGHT=450&amp;WIDTH=","450&amp;START_MAXIMIZED=FALSE&amp;VAR:CALENDAR=FIVEDAY&amp;VAR:SYMBOL=LMNX&amp;VAR:INDEX=0"}</definedName>
    <definedName name="_84__FDSAUDITLINK___2" hidden="1">{"fdsup://directions/FAT Viewer?action=UPDATE&amp;creator=factset&amp;DYN_ARGS=TRUE&amp;DOC_NAME=FAT:FQL_AUDITING_CLIENT_TEMPLATE.FAT&amp;display_string=Audit&amp;VAR:KEY=QPUPARQXUX&amp;VAR:QUERY=RkZfRU5UUlBSX1ZBTF9EQUlMWShOT1csLCwsLCdESUwnKQ==&amp;WINDOW=FIRST_POPUP&amp;HEIGHT=450&amp;WIDTH=","450&amp;START_MAXIMIZED=FALSE&amp;VAR:CALENDAR=FIVEDAY&amp;VAR:SYMBOL=LMNX&amp;VAR:INDEX=0"}</definedName>
    <definedName name="_85__FDSAUDITLINK__" localSheetId="7" hidden="1">{"fdsup://directions/FAT Viewer?action=UPDATE&amp;creator=factset&amp;DYN_ARGS=TRUE&amp;DOC_NAME=FAT:FQL_AUDITING_CLIENT_TEMPLATE.FAT&amp;display_string=Audit&amp;VAR:KEY=ENALIHQZUJ&amp;VAR:QUERY=RkZfRU5UUlBSX1ZBTF9EQUlMWShOT1csLCwsLCdESUwnKQ==&amp;WINDOW=FIRST_POPUP&amp;HEIGHT=450&amp;WIDTH=","450&amp;START_MAXIMIZED=FALSE&amp;VAR:CALENDAR=FIVEDAY&amp;VAR:SYMBOL=SIAL&amp;VAR:INDEX=0"}</definedName>
    <definedName name="_85__FDSAUDITLINK__" localSheetId="5" hidden="1">{"fdsup://directions/FAT Viewer?action=UPDATE&amp;creator=factset&amp;DYN_ARGS=TRUE&amp;DOC_NAME=FAT:FQL_AUDITING_CLIENT_TEMPLATE.FAT&amp;display_string=Audit&amp;VAR:KEY=ENALIHQZUJ&amp;VAR:QUERY=RkZfRU5UUlBSX1ZBTF9EQUlMWShOT1csLCwsLCdESUwnKQ==&amp;WINDOW=FIRST_POPUP&amp;HEIGHT=450&amp;WIDTH=","450&amp;START_MAXIMIZED=FALSE&amp;VAR:CALENDAR=FIVEDAY&amp;VAR:SYMBOL=SIAL&amp;VAR:INDEX=0"}</definedName>
    <definedName name="_85__FDSAUDITLINK__" hidden="1">{"fdsup://directions/FAT Viewer?action=UPDATE&amp;creator=factset&amp;DYN_ARGS=TRUE&amp;DOC_NAME=FAT:FQL_AUDITING_CLIENT_TEMPLATE.FAT&amp;display_string=Audit&amp;VAR:KEY=ENALIHQZUJ&amp;VAR:QUERY=RkZfRU5UUlBSX1ZBTF9EQUlMWShOT1csLCwsLCdESUwnKQ==&amp;WINDOW=FIRST_POPUP&amp;HEIGHT=450&amp;WIDTH=","450&amp;START_MAXIMIZED=FALSE&amp;VAR:CALENDAR=FIVEDAY&amp;VAR:SYMBOL=SIAL&amp;VAR:INDEX=0"}</definedName>
    <definedName name="_85__FDSAUDITLINK___1" hidden="1">{"fdsup://directions/FAT Viewer?action=UPDATE&amp;creator=factset&amp;DYN_ARGS=TRUE&amp;DOC_NAME=FAT:FQL_AUDITING_CLIENT_TEMPLATE.FAT&amp;display_string=Audit&amp;VAR:KEY=ENALIHQZUJ&amp;VAR:QUERY=RkZfRU5UUlBSX1ZBTF9EQUlMWShOT1csLCwsLCdESUwnKQ==&amp;WINDOW=FIRST_POPUP&amp;HEIGHT=450&amp;WIDTH=","450&amp;START_MAXIMIZED=FALSE&amp;VAR:CALENDAR=FIVEDAY&amp;VAR:SYMBOL=SIAL&amp;VAR:INDEX=0"}</definedName>
    <definedName name="_85__FDSAUDITLINK___2" hidden="1">{"fdsup://directions/FAT Viewer?action=UPDATE&amp;creator=factset&amp;DYN_ARGS=TRUE&amp;DOC_NAME=FAT:FQL_AUDITING_CLIENT_TEMPLATE.FAT&amp;display_string=Audit&amp;VAR:KEY=ENALIHQZUJ&amp;VAR:QUERY=RkZfRU5UUlBSX1ZBTF9EQUlMWShOT1csLCwsLCdESUwnKQ==&amp;WINDOW=FIRST_POPUP&amp;HEIGHT=450&amp;WIDTH=","450&amp;START_MAXIMIZED=FALSE&amp;VAR:CALENDAR=FIVEDAY&amp;VAR:SYMBOL=SIAL&amp;VAR:INDEX=0"}</definedName>
    <definedName name="_86__FDSAUDITLINK__" localSheetId="7" hidden="1">{"fdsup://directions/FAT Viewer?action=UPDATE&amp;creator=factset&amp;DYN_ARGS=TRUE&amp;DOC_NAME=FAT:FQL_AUDITING_CLIENT_TEMPLATE.FAT&amp;display_string=Audit&amp;VAR:KEY=EPWDAVAVWL&amp;VAR:QUERY=RkZfRU5UUlBSX1ZBTF9EQUlMWShOT1csLCwsLCdESUwnKQ==&amp;WINDOW=FIRST_POPUP&amp;HEIGHT=450&amp;WIDTH=","450&amp;START_MAXIMIZED=FALSE&amp;VAR:CALENDAR=FIVEDAY&amp;VAR:SYMBOL=TECH&amp;VAR:INDEX=0"}</definedName>
    <definedName name="_86__FDSAUDITLINK__" localSheetId="5" hidden="1">{"fdsup://directions/FAT Viewer?action=UPDATE&amp;creator=factset&amp;DYN_ARGS=TRUE&amp;DOC_NAME=FAT:FQL_AUDITING_CLIENT_TEMPLATE.FAT&amp;display_string=Audit&amp;VAR:KEY=EPWDAVAVWL&amp;VAR:QUERY=RkZfRU5UUlBSX1ZBTF9EQUlMWShOT1csLCwsLCdESUwnKQ==&amp;WINDOW=FIRST_POPUP&amp;HEIGHT=450&amp;WIDTH=","450&amp;START_MAXIMIZED=FALSE&amp;VAR:CALENDAR=FIVEDAY&amp;VAR:SYMBOL=TECH&amp;VAR:INDEX=0"}</definedName>
    <definedName name="_86__FDSAUDITLINK__" hidden="1">{"fdsup://directions/FAT Viewer?action=UPDATE&amp;creator=factset&amp;DYN_ARGS=TRUE&amp;DOC_NAME=FAT:FQL_AUDITING_CLIENT_TEMPLATE.FAT&amp;display_string=Audit&amp;VAR:KEY=EPWDAVAVWL&amp;VAR:QUERY=RkZfRU5UUlBSX1ZBTF9EQUlMWShOT1csLCwsLCdESUwnKQ==&amp;WINDOW=FIRST_POPUP&amp;HEIGHT=450&amp;WIDTH=","450&amp;START_MAXIMIZED=FALSE&amp;VAR:CALENDAR=FIVEDAY&amp;VAR:SYMBOL=TECH&amp;VAR:INDEX=0"}</definedName>
    <definedName name="_86__FDSAUDITLINK___1" hidden="1">{"fdsup://directions/FAT Viewer?action=UPDATE&amp;creator=factset&amp;DYN_ARGS=TRUE&amp;DOC_NAME=FAT:FQL_AUDITING_CLIENT_TEMPLATE.FAT&amp;display_string=Audit&amp;VAR:KEY=EPWDAVAVWL&amp;VAR:QUERY=RkZfRU5UUlBSX1ZBTF9EQUlMWShOT1csLCwsLCdESUwnKQ==&amp;WINDOW=FIRST_POPUP&amp;HEIGHT=450&amp;WIDTH=","450&amp;START_MAXIMIZED=FALSE&amp;VAR:CALENDAR=FIVEDAY&amp;VAR:SYMBOL=TECH&amp;VAR:INDEX=0"}</definedName>
    <definedName name="_86__FDSAUDITLINK___2" hidden="1">{"fdsup://directions/FAT Viewer?action=UPDATE&amp;creator=factset&amp;DYN_ARGS=TRUE&amp;DOC_NAME=FAT:FQL_AUDITING_CLIENT_TEMPLATE.FAT&amp;display_string=Audit&amp;VAR:KEY=EPWDAVAVWL&amp;VAR:QUERY=RkZfRU5UUlBSX1ZBTF9EQUlMWShOT1csLCwsLCdESUwnKQ==&amp;WINDOW=FIRST_POPUP&amp;HEIGHT=450&amp;WIDTH=","450&amp;START_MAXIMIZED=FALSE&amp;VAR:CALENDAR=FIVEDAY&amp;VAR:SYMBOL=TECH&amp;VAR:INDEX=0"}</definedName>
    <definedName name="_87__FDSAUDITLINK__" localSheetId="7" hidden="1">{"fdsup://directions/FAT Viewer?action=UPDATE&amp;creator=factset&amp;DYN_ARGS=TRUE&amp;DOC_NAME=FAT:FQL_AUDITING_CLIENT_TEMPLATE.FAT&amp;display_string=Audit&amp;VAR:KEY=CFMTMNEHCF&amp;VAR:QUERY=RkZfRU5UUlBSX1ZBTF9EQUlMWShOT1csLCwsLCdESUwnKQ==&amp;WINDOW=FIRST_POPUP&amp;HEIGHT=450&amp;WIDTH=","450&amp;START_MAXIMIZED=FALSE&amp;VAR:CALENDAR=FIVEDAY&amp;VAR:SYMBOL=ALR&amp;VAR:INDEX=0"}</definedName>
    <definedName name="_87__FDSAUDITLINK__" localSheetId="5" hidden="1">{"fdsup://directions/FAT Viewer?action=UPDATE&amp;creator=factset&amp;DYN_ARGS=TRUE&amp;DOC_NAME=FAT:FQL_AUDITING_CLIENT_TEMPLATE.FAT&amp;display_string=Audit&amp;VAR:KEY=CFMTMNEHCF&amp;VAR:QUERY=RkZfRU5UUlBSX1ZBTF9EQUlMWShOT1csLCwsLCdESUwnKQ==&amp;WINDOW=FIRST_POPUP&amp;HEIGHT=450&amp;WIDTH=","450&amp;START_MAXIMIZED=FALSE&amp;VAR:CALENDAR=FIVEDAY&amp;VAR:SYMBOL=ALR&amp;VAR:INDEX=0"}</definedName>
    <definedName name="_87__FDSAUDITLINK__" hidden="1">{"fdsup://directions/FAT Viewer?action=UPDATE&amp;creator=factset&amp;DYN_ARGS=TRUE&amp;DOC_NAME=FAT:FQL_AUDITING_CLIENT_TEMPLATE.FAT&amp;display_string=Audit&amp;VAR:KEY=CFMTMNEHCF&amp;VAR:QUERY=RkZfRU5UUlBSX1ZBTF9EQUlMWShOT1csLCwsLCdESUwnKQ==&amp;WINDOW=FIRST_POPUP&amp;HEIGHT=450&amp;WIDTH=","450&amp;START_MAXIMIZED=FALSE&amp;VAR:CALENDAR=FIVEDAY&amp;VAR:SYMBOL=ALR&amp;VAR:INDEX=0"}</definedName>
    <definedName name="_87__FDSAUDITLINK___1" hidden="1">{"fdsup://directions/FAT Viewer?action=UPDATE&amp;creator=factset&amp;DYN_ARGS=TRUE&amp;DOC_NAME=FAT:FQL_AUDITING_CLIENT_TEMPLATE.FAT&amp;display_string=Audit&amp;VAR:KEY=CFMTMNEHCF&amp;VAR:QUERY=RkZfRU5UUlBSX1ZBTF9EQUlMWShOT1csLCwsLCdESUwnKQ==&amp;WINDOW=FIRST_POPUP&amp;HEIGHT=450&amp;WIDTH=","450&amp;START_MAXIMIZED=FALSE&amp;VAR:CALENDAR=FIVEDAY&amp;VAR:SYMBOL=ALR&amp;VAR:INDEX=0"}</definedName>
    <definedName name="_87__FDSAUDITLINK___2" hidden="1">{"fdsup://directions/FAT Viewer?action=UPDATE&amp;creator=factset&amp;DYN_ARGS=TRUE&amp;DOC_NAME=FAT:FQL_AUDITING_CLIENT_TEMPLATE.FAT&amp;display_string=Audit&amp;VAR:KEY=CFMTMNEHCF&amp;VAR:QUERY=RkZfRU5UUlBSX1ZBTF9EQUlMWShOT1csLCwsLCdESUwnKQ==&amp;WINDOW=FIRST_POPUP&amp;HEIGHT=450&amp;WIDTH=","450&amp;START_MAXIMIZED=FALSE&amp;VAR:CALENDAR=FIVEDAY&amp;VAR:SYMBOL=ALR&amp;VAR:INDEX=0"}</definedName>
    <definedName name="_88__FDSAUDITLINK__" localSheetId="7" hidden="1">{"fdsup://directions/FAT Viewer?action=UPDATE&amp;creator=factset&amp;DYN_ARGS=TRUE&amp;DOC_NAME=FAT:FQL_AUDITING_CLIENT_TEMPLATE.FAT&amp;display_string=Audit&amp;VAR:KEY=CBUFQRWTMN&amp;VAR:QUERY=RkZfRU5UUlBSX1ZBTF9EQUlMWShOT1csLCwsLCdESUwnKQ==&amp;WINDOW=FIRST_POPUP&amp;HEIGHT=450&amp;WIDTH=","450&amp;START_MAXIMIZED=FALSE&amp;VAR:CALENDAR=FIVEDAY&amp;VAR:SYMBOL=GHDX&amp;VAR:INDEX=0"}</definedName>
    <definedName name="_88__FDSAUDITLINK__" localSheetId="5" hidden="1">{"fdsup://directions/FAT Viewer?action=UPDATE&amp;creator=factset&amp;DYN_ARGS=TRUE&amp;DOC_NAME=FAT:FQL_AUDITING_CLIENT_TEMPLATE.FAT&amp;display_string=Audit&amp;VAR:KEY=CBUFQRWTMN&amp;VAR:QUERY=RkZfRU5UUlBSX1ZBTF9EQUlMWShOT1csLCwsLCdESUwnKQ==&amp;WINDOW=FIRST_POPUP&amp;HEIGHT=450&amp;WIDTH=","450&amp;START_MAXIMIZED=FALSE&amp;VAR:CALENDAR=FIVEDAY&amp;VAR:SYMBOL=GHDX&amp;VAR:INDEX=0"}</definedName>
    <definedName name="_88__FDSAUDITLINK__" hidden="1">{"fdsup://directions/FAT Viewer?action=UPDATE&amp;creator=factset&amp;DYN_ARGS=TRUE&amp;DOC_NAME=FAT:FQL_AUDITING_CLIENT_TEMPLATE.FAT&amp;display_string=Audit&amp;VAR:KEY=CBUFQRWTMN&amp;VAR:QUERY=RkZfRU5UUlBSX1ZBTF9EQUlMWShOT1csLCwsLCdESUwnKQ==&amp;WINDOW=FIRST_POPUP&amp;HEIGHT=450&amp;WIDTH=","450&amp;START_MAXIMIZED=FALSE&amp;VAR:CALENDAR=FIVEDAY&amp;VAR:SYMBOL=GHDX&amp;VAR:INDEX=0"}</definedName>
    <definedName name="_88__FDSAUDITLINK___1" hidden="1">{"fdsup://directions/FAT Viewer?action=UPDATE&amp;creator=factset&amp;DYN_ARGS=TRUE&amp;DOC_NAME=FAT:FQL_AUDITING_CLIENT_TEMPLATE.FAT&amp;display_string=Audit&amp;VAR:KEY=CBUFQRWTMN&amp;VAR:QUERY=RkZfRU5UUlBSX1ZBTF9EQUlMWShOT1csLCwsLCdESUwnKQ==&amp;WINDOW=FIRST_POPUP&amp;HEIGHT=450&amp;WIDTH=","450&amp;START_MAXIMIZED=FALSE&amp;VAR:CALENDAR=FIVEDAY&amp;VAR:SYMBOL=GHDX&amp;VAR:INDEX=0"}</definedName>
    <definedName name="_88__FDSAUDITLINK___2" hidden="1">{"fdsup://directions/FAT Viewer?action=UPDATE&amp;creator=factset&amp;DYN_ARGS=TRUE&amp;DOC_NAME=FAT:FQL_AUDITING_CLIENT_TEMPLATE.FAT&amp;display_string=Audit&amp;VAR:KEY=CBUFQRWTMN&amp;VAR:QUERY=RkZfRU5UUlBSX1ZBTF9EQUlMWShOT1csLCwsLCdESUwnKQ==&amp;WINDOW=FIRST_POPUP&amp;HEIGHT=450&amp;WIDTH=","450&amp;START_MAXIMIZED=FALSE&amp;VAR:CALENDAR=FIVEDAY&amp;VAR:SYMBOL=GHDX&amp;VAR:INDEX=0"}</definedName>
    <definedName name="_89__FDSAUDITLINK__" localSheetId="7" hidden="1">{"fdsup://directions/FAT Viewer?action=UPDATE&amp;creator=factset&amp;DYN_ARGS=TRUE&amp;DOC_NAME=FAT:FQL_AUDITING_CLIENT_TEMPLATE.FAT&amp;display_string=Audit&amp;VAR:KEY=GFSNGJUZGB&amp;VAR:QUERY=RkZfRU5UUlBSX1ZBTF9EQUlMWShOT1csLCwsLCdESUwnKQ==&amp;WINDOW=FIRST_POPUP&amp;HEIGHT=450&amp;WIDTH=","450&amp;START_MAXIMIZED=FALSE&amp;VAR:CALENDAR=FIVEDAY&amp;VAR:SYMBOL=CPHD&amp;VAR:INDEX=0"}</definedName>
    <definedName name="_89__FDSAUDITLINK__" localSheetId="5" hidden="1">{"fdsup://directions/FAT Viewer?action=UPDATE&amp;creator=factset&amp;DYN_ARGS=TRUE&amp;DOC_NAME=FAT:FQL_AUDITING_CLIENT_TEMPLATE.FAT&amp;display_string=Audit&amp;VAR:KEY=GFSNGJUZGB&amp;VAR:QUERY=RkZfRU5UUlBSX1ZBTF9EQUlMWShOT1csLCwsLCdESUwnKQ==&amp;WINDOW=FIRST_POPUP&amp;HEIGHT=450&amp;WIDTH=","450&amp;START_MAXIMIZED=FALSE&amp;VAR:CALENDAR=FIVEDAY&amp;VAR:SYMBOL=CPHD&amp;VAR:INDEX=0"}</definedName>
    <definedName name="_89__FDSAUDITLINK__" hidden="1">{"fdsup://directions/FAT Viewer?action=UPDATE&amp;creator=factset&amp;DYN_ARGS=TRUE&amp;DOC_NAME=FAT:FQL_AUDITING_CLIENT_TEMPLATE.FAT&amp;display_string=Audit&amp;VAR:KEY=GFSNGJUZGB&amp;VAR:QUERY=RkZfRU5UUlBSX1ZBTF9EQUlMWShOT1csLCwsLCdESUwnKQ==&amp;WINDOW=FIRST_POPUP&amp;HEIGHT=450&amp;WIDTH=","450&amp;START_MAXIMIZED=FALSE&amp;VAR:CALENDAR=FIVEDAY&amp;VAR:SYMBOL=CPHD&amp;VAR:INDEX=0"}</definedName>
    <definedName name="_89__FDSAUDITLINK___1" hidden="1">{"fdsup://directions/FAT Viewer?action=UPDATE&amp;creator=factset&amp;DYN_ARGS=TRUE&amp;DOC_NAME=FAT:FQL_AUDITING_CLIENT_TEMPLATE.FAT&amp;display_string=Audit&amp;VAR:KEY=GFSNGJUZGB&amp;VAR:QUERY=RkZfRU5UUlBSX1ZBTF9EQUlMWShOT1csLCwsLCdESUwnKQ==&amp;WINDOW=FIRST_POPUP&amp;HEIGHT=450&amp;WIDTH=","450&amp;START_MAXIMIZED=FALSE&amp;VAR:CALENDAR=FIVEDAY&amp;VAR:SYMBOL=CPHD&amp;VAR:INDEX=0"}</definedName>
    <definedName name="_89__FDSAUDITLINK___2" hidden="1">{"fdsup://directions/FAT Viewer?action=UPDATE&amp;creator=factset&amp;DYN_ARGS=TRUE&amp;DOC_NAME=FAT:FQL_AUDITING_CLIENT_TEMPLATE.FAT&amp;display_string=Audit&amp;VAR:KEY=GFSNGJUZGB&amp;VAR:QUERY=RkZfRU5UUlBSX1ZBTF9EQUlMWShOT1csLCwsLCdESUwnKQ==&amp;WINDOW=FIRST_POPUP&amp;HEIGHT=450&amp;WIDTH=","450&amp;START_MAXIMIZED=FALSE&amp;VAR:CALENDAR=FIVEDAY&amp;VAR:SYMBOL=CPHD&amp;VAR:INDEX=0"}</definedName>
    <definedName name="_9__FDSAUDITLINK__" localSheetId="7" hidden="1">{"fdsup://directions/FAT Viewer?action=UPDATE&amp;creator=factset&amp;DYN_ARGS=TRUE&amp;DOC_NAME=FAT:FQL_AUDITING_CLIENT_TEMPLATE.FAT&amp;display_string=Audit&amp;VAR:KEY=UFOZKPGNCL&amp;VAR:QUERY=RkZfREVCVChBTk4sMCk=&amp;WINDOW=FIRST_POPUP&amp;HEIGHT=450&amp;WIDTH=450&amp;START_MAXIMIZED=FALSE&amp;VA","R:CALENDAR=US&amp;VAR:SYMBOL=STJ&amp;VAR:INDEX=0"}</definedName>
    <definedName name="_9__FDSAUDITLINK__" localSheetId="5" hidden="1">{"fdsup://directions/FAT Viewer?action=UPDATE&amp;creator=factset&amp;DYN_ARGS=TRUE&amp;DOC_NAME=FAT:FQL_AUDITING_CLIENT_TEMPLATE.FAT&amp;display_string=Audit&amp;VAR:KEY=UFOZKPGNCL&amp;VAR:QUERY=RkZfREVCVChBTk4sMCk=&amp;WINDOW=FIRST_POPUP&amp;HEIGHT=450&amp;WIDTH=450&amp;START_MAXIMIZED=FALSE&amp;VA","R:CALENDAR=US&amp;VAR:SYMBOL=STJ&amp;VAR:INDEX=0"}</definedName>
    <definedName name="_9__FDSAUDITLINK__" hidden="1">{"fdsup://directions/FAT Viewer?action=UPDATE&amp;creator=factset&amp;DYN_ARGS=TRUE&amp;DOC_NAME=FAT:FQL_AUDITING_CLIENT_TEMPLATE.FAT&amp;display_string=Audit&amp;VAR:KEY=UFOZKPGNCL&amp;VAR:QUERY=RkZfREVCVChBTk4sMCk=&amp;WINDOW=FIRST_POPUP&amp;HEIGHT=450&amp;WIDTH=450&amp;START_MAXIMIZED=FALSE&amp;VA","R:CALENDAR=US&amp;VAR:SYMBOL=STJ&amp;VAR:INDEX=0"}</definedName>
    <definedName name="_9__FDSAUDITLINK___1" hidden="1">{"fdsup://directions/FAT Viewer?action=UPDATE&amp;creator=factset&amp;DYN_ARGS=TRUE&amp;DOC_NAME=FAT:FQL_AUDITING_CLIENT_TEMPLATE.FAT&amp;display_string=Audit&amp;VAR:KEY=UFOZKPGNCL&amp;VAR:QUERY=RkZfREVCVChBTk4sMCk=&amp;WINDOW=FIRST_POPUP&amp;HEIGHT=450&amp;WIDTH=450&amp;START_MAXIMIZED=FALSE&amp;VA","R:CALENDAR=US&amp;VAR:SYMBOL=STJ&amp;VAR:INDEX=0"}</definedName>
    <definedName name="_9__FDSAUDITLINK___2" hidden="1">{"fdsup://directions/FAT Viewer?action=UPDATE&amp;creator=factset&amp;DYN_ARGS=TRUE&amp;DOC_NAME=FAT:FQL_AUDITING_CLIENT_TEMPLATE.FAT&amp;display_string=Audit&amp;VAR:KEY=UFOZKPGNCL&amp;VAR:QUERY=RkZfREVCVChBTk4sMCk=&amp;WINDOW=FIRST_POPUP&amp;HEIGHT=450&amp;WIDTH=450&amp;START_MAXIMIZED=FALSE&amp;VA","R:CALENDAR=US&amp;VAR:SYMBOL=STJ&amp;VAR:INDEX=0"}</definedName>
    <definedName name="_90__FDSAUDITLINK__" localSheetId="7" hidden="1">{"fdsup://directions/FAT Viewer?action=UPDATE&amp;creator=factset&amp;DYN_ARGS=TRUE&amp;DOC_NAME=FAT:FQL_AUDITING_CLIENT_TEMPLATE.FAT&amp;display_string=Audit&amp;VAR:KEY=YHONQXAZSR&amp;VAR:QUERY=RkZfRU5UUlBSX1ZBTF9EQUlMWShOT1csLCwsLCdESUwnKQ==&amp;WINDOW=FIRST_POPUP&amp;HEIGHT=450&amp;WIDTH=","450&amp;START_MAXIMIZED=FALSE&amp;VAR:CALENDAR=FIVEDAY&amp;VAR:SYMBOL=VIVO&amp;VAR:INDEX=0"}</definedName>
    <definedName name="_90__FDSAUDITLINK__" localSheetId="5" hidden="1">{"fdsup://directions/FAT Viewer?action=UPDATE&amp;creator=factset&amp;DYN_ARGS=TRUE&amp;DOC_NAME=FAT:FQL_AUDITING_CLIENT_TEMPLATE.FAT&amp;display_string=Audit&amp;VAR:KEY=YHONQXAZSR&amp;VAR:QUERY=RkZfRU5UUlBSX1ZBTF9EQUlMWShOT1csLCwsLCdESUwnKQ==&amp;WINDOW=FIRST_POPUP&amp;HEIGHT=450&amp;WIDTH=","450&amp;START_MAXIMIZED=FALSE&amp;VAR:CALENDAR=FIVEDAY&amp;VAR:SYMBOL=VIVO&amp;VAR:INDEX=0"}</definedName>
    <definedName name="_90__FDSAUDITLINK__" hidden="1">{"fdsup://directions/FAT Viewer?action=UPDATE&amp;creator=factset&amp;DYN_ARGS=TRUE&amp;DOC_NAME=FAT:FQL_AUDITING_CLIENT_TEMPLATE.FAT&amp;display_string=Audit&amp;VAR:KEY=YHONQXAZSR&amp;VAR:QUERY=RkZfRU5UUlBSX1ZBTF9EQUlMWShOT1csLCwsLCdESUwnKQ==&amp;WINDOW=FIRST_POPUP&amp;HEIGHT=450&amp;WIDTH=","450&amp;START_MAXIMIZED=FALSE&amp;VAR:CALENDAR=FIVEDAY&amp;VAR:SYMBOL=VIVO&amp;VAR:INDEX=0"}</definedName>
    <definedName name="_90__FDSAUDITLINK___1" hidden="1">{"fdsup://directions/FAT Viewer?action=UPDATE&amp;creator=factset&amp;DYN_ARGS=TRUE&amp;DOC_NAME=FAT:FQL_AUDITING_CLIENT_TEMPLATE.FAT&amp;display_string=Audit&amp;VAR:KEY=YHONQXAZSR&amp;VAR:QUERY=RkZfRU5UUlBSX1ZBTF9EQUlMWShOT1csLCwsLCdESUwnKQ==&amp;WINDOW=FIRST_POPUP&amp;HEIGHT=450&amp;WIDTH=","450&amp;START_MAXIMIZED=FALSE&amp;VAR:CALENDAR=FIVEDAY&amp;VAR:SYMBOL=VIVO&amp;VAR:INDEX=0"}</definedName>
    <definedName name="_90__FDSAUDITLINK___2" hidden="1">{"fdsup://directions/FAT Viewer?action=UPDATE&amp;creator=factset&amp;DYN_ARGS=TRUE&amp;DOC_NAME=FAT:FQL_AUDITING_CLIENT_TEMPLATE.FAT&amp;display_string=Audit&amp;VAR:KEY=YHONQXAZSR&amp;VAR:QUERY=RkZfRU5UUlBSX1ZBTF9EQUlMWShOT1csLCwsLCdESUwnKQ==&amp;WINDOW=FIRST_POPUP&amp;HEIGHT=450&amp;WIDTH=","450&amp;START_MAXIMIZED=FALSE&amp;VAR:CALENDAR=FIVEDAY&amp;VAR:SYMBOL=VIVO&amp;VAR:INDEX=0"}</definedName>
    <definedName name="_91__FDSAUDITLINK__" localSheetId="7" hidden="1">{"fdsup://directions/FAT Viewer?action=UPDATE&amp;creator=factset&amp;DYN_ARGS=TRUE&amp;DOC_NAME=FAT:FQL_AUDITING_CLIENT_TEMPLATE.FAT&amp;display_string=Audit&amp;VAR:KEY=KDCPCRGJOX&amp;VAR:QUERY=RkZfRU5UUlBSX1ZBTF9EQUlMWShOT1csLCwsLCdESUwnKQ==&amp;WINDOW=FIRST_POPUP&amp;HEIGHT=450&amp;WIDTH=","450&amp;START_MAXIMIZED=FALSE&amp;VAR:CALENDAR=FIVEDAY&amp;VAR:SYMBOL=ILMN&amp;VAR:INDEX=0"}</definedName>
    <definedName name="_91__FDSAUDITLINK__" localSheetId="5" hidden="1">{"fdsup://directions/FAT Viewer?action=UPDATE&amp;creator=factset&amp;DYN_ARGS=TRUE&amp;DOC_NAME=FAT:FQL_AUDITING_CLIENT_TEMPLATE.FAT&amp;display_string=Audit&amp;VAR:KEY=KDCPCRGJOX&amp;VAR:QUERY=RkZfRU5UUlBSX1ZBTF9EQUlMWShOT1csLCwsLCdESUwnKQ==&amp;WINDOW=FIRST_POPUP&amp;HEIGHT=450&amp;WIDTH=","450&amp;START_MAXIMIZED=FALSE&amp;VAR:CALENDAR=FIVEDAY&amp;VAR:SYMBOL=ILMN&amp;VAR:INDEX=0"}</definedName>
    <definedName name="_91__FDSAUDITLINK__" hidden="1">{"fdsup://directions/FAT Viewer?action=UPDATE&amp;creator=factset&amp;DYN_ARGS=TRUE&amp;DOC_NAME=FAT:FQL_AUDITING_CLIENT_TEMPLATE.FAT&amp;display_string=Audit&amp;VAR:KEY=KDCPCRGJOX&amp;VAR:QUERY=RkZfRU5UUlBSX1ZBTF9EQUlMWShOT1csLCwsLCdESUwnKQ==&amp;WINDOW=FIRST_POPUP&amp;HEIGHT=450&amp;WIDTH=","450&amp;START_MAXIMIZED=FALSE&amp;VAR:CALENDAR=FIVEDAY&amp;VAR:SYMBOL=ILMN&amp;VAR:INDEX=0"}</definedName>
    <definedName name="_91__FDSAUDITLINK___1" hidden="1">{"fdsup://directions/FAT Viewer?action=UPDATE&amp;creator=factset&amp;DYN_ARGS=TRUE&amp;DOC_NAME=FAT:FQL_AUDITING_CLIENT_TEMPLATE.FAT&amp;display_string=Audit&amp;VAR:KEY=KDCPCRGJOX&amp;VAR:QUERY=RkZfRU5UUlBSX1ZBTF9EQUlMWShOT1csLCwsLCdESUwnKQ==&amp;WINDOW=FIRST_POPUP&amp;HEIGHT=450&amp;WIDTH=","450&amp;START_MAXIMIZED=FALSE&amp;VAR:CALENDAR=FIVEDAY&amp;VAR:SYMBOL=ILMN&amp;VAR:INDEX=0"}</definedName>
    <definedName name="_91__FDSAUDITLINK___2" hidden="1">{"fdsup://directions/FAT Viewer?action=UPDATE&amp;creator=factset&amp;DYN_ARGS=TRUE&amp;DOC_NAME=FAT:FQL_AUDITING_CLIENT_TEMPLATE.FAT&amp;display_string=Audit&amp;VAR:KEY=KDCPCRGJOX&amp;VAR:QUERY=RkZfRU5UUlBSX1ZBTF9EQUlMWShOT1csLCwsLCdESUwnKQ==&amp;WINDOW=FIRST_POPUP&amp;HEIGHT=450&amp;WIDTH=","450&amp;START_MAXIMIZED=FALSE&amp;VAR:CALENDAR=FIVEDAY&amp;VAR:SYMBOL=ILMN&amp;VAR:INDEX=0"}</definedName>
    <definedName name="_92__FDSAUDITLINK__" localSheetId="7" hidden="1">{"fdsup://directions/FAT Viewer?action=UPDATE&amp;creator=factset&amp;DYN_ARGS=TRUE&amp;DOC_NAME=FAT:FQL_AUDITING_CLIENT_TEMPLATE.FAT&amp;display_string=Audit&amp;VAR:KEY=WNEPKPEBAB&amp;VAR:QUERY=RkZfRU5UUlBSX1ZBTF9EQUlMWShOT1csLCwsLCdESUwnKQ==&amp;WINDOW=FIRST_POPUP&amp;HEIGHT=450&amp;WIDTH=","450&amp;START_MAXIMIZED=FALSE&amp;VAR:CALENDAR=FIVEDAY&amp;VAR:SYMBOL=LIFE&amp;VAR:INDEX=0"}</definedName>
    <definedName name="_92__FDSAUDITLINK__" localSheetId="5" hidden="1">{"fdsup://directions/FAT Viewer?action=UPDATE&amp;creator=factset&amp;DYN_ARGS=TRUE&amp;DOC_NAME=FAT:FQL_AUDITING_CLIENT_TEMPLATE.FAT&amp;display_string=Audit&amp;VAR:KEY=WNEPKPEBAB&amp;VAR:QUERY=RkZfRU5UUlBSX1ZBTF9EQUlMWShOT1csLCwsLCdESUwnKQ==&amp;WINDOW=FIRST_POPUP&amp;HEIGHT=450&amp;WIDTH=","450&amp;START_MAXIMIZED=FALSE&amp;VAR:CALENDAR=FIVEDAY&amp;VAR:SYMBOL=LIFE&amp;VAR:INDEX=0"}</definedName>
    <definedName name="_92__FDSAUDITLINK__" hidden="1">{"fdsup://directions/FAT Viewer?action=UPDATE&amp;creator=factset&amp;DYN_ARGS=TRUE&amp;DOC_NAME=FAT:FQL_AUDITING_CLIENT_TEMPLATE.FAT&amp;display_string=Audit&amp;VAR:KEY=WNEPKPEBAB&amp;VAR:QUERY=RkZfRU5UUlBSX1ZBTF9EQUlMWShOT1csLCwsLCdESUwnKQ==&amp;WINDOW=FIRST_POPUP&amp;HEIGHT=450&amp;WIDTH=","450&amp;START_MAXIMIZED=FALSE&amp;VAR:CALENDAR=FIVEDAY&amp;VAR:SYMBOL=LIFE&amp;VAR:INDEX=0"}</definedName>
    <definedName name="_92__FDSAUDITLINK___1" hidden="1">{"fdsup://directions/FAT Viewer?action=UPDATE&amp;creator=factset&amp;DYN_ARGS=TRUE&amp;DOC_NAME=FAT:FQL_AUDITING_CLIENT_TEMPLATE.FAT&amp;display_string=Audit&amp;VAR:KEY=WNEPKPEBAB&amp;VAR:QUERY=RkZfRU5UUlBSX1ZBTF9EQUlMWShOT1csLCwsLCdESUwnKQ==&amp;WINDOW=FIRST_POPUP&amp;HEIGHT=450&amp;WIDTH=","450&amp;START_MAXIMIZED=FALSE&amp;VAR:CALENDAR=FIVEDAY&amp;VAR:SYMBOL=LIFE&amp;VAR:INDEX=0"}</definedName>
    <definedName name="_92__FDSAUDITLINK___2" hidden="1">{"fdsup://directions/FAT Viewer?action=UPDATE&amp;creator=factset&amp;DYN_ARGS=TRUE&amp;DOC_NAME=FAT:FQL_AUDITING_CLIENT_TEMPLATE.FAT&amp;display_string=Audit&amp;VAR:KEY=WNEPKPEBAB&amp;VAR:QUERY=RkZfRU5UUlBSX1ZBTF9EQUlMWShOT1csLCwsLCdESUwnKQ==&amp;WINDOW=FIRST_POPUP&amp;HEIGHT=450&amp;WIDTH=","450&amp;START_MAXIMIZED=FALSE&amp;VAR:CALENDAR=FIVEDAY&amp;VAR:SYMBOL=LIFE&amp;VAR:INDEX=0"}</definedName>
    <definedName name="_93__FDSAUDITLINK__" localSheetId="7" hidden="1">{"fdsup://directions/FAT Viewer?action=UPDATE&amp;creator=factset&amp;DYN_ARGS=TRUE&amp;DOC_NAME=FAT:FQL_AUDITING_CLIENT_TEMPLATE.FAT&amp;display_string=Audit&amp;VAR:KEY=WHUFCHOVAN&amp;VAR:QUERY=RkZfRU5UUlBSX1ZBTF9EQUlMWShOT1csLCwsLCdESUwnKQ==&amp;WINDOW=FIRST_POPUP&amp;HEIGHT=450&amp;WIDTH=","450&amp;START_MAXIMIZED=FALSE&amp;VAR:CALENDAR=FIVEDAY&amp;VAR:SYMBOL=WAT&amp;VAR:INDEX=0"}</definedName>
    <definedName name="_93__FDSAUDITLINK__" localSheetId="5" hidden="1">{"fdsup://directions/FAT Viewer?action=UPDATE&amp;creator=factset&amp;DYN_ARGS=TRUE&amp;DOC_NAME=FAT:FQL_AUDITING_CLIENT_TEMPLATE.FAT&amp;display_string=Audit&amp;VAR:KEY=WHUFCHOVAN&amp;VAR:QUERY=RkZfRU5UUlBSX1ZBTF9EQUlMWShOT1csLCwsLCdESUwnKQ==&amp;WINDOW=FIRST_POPUP&amp;HEIGHT=450&amp;WIDTH=","450&amp;START_MAXIMIZED=FALSE&amp;VAR:CALENDAR=FIVEDAY&amp;VAR:SYMBOL=WAT&amp;VAR:INDEX=0"}</definedName>
    <definedName name="_93__FDSAUDITLINK__" hidden="1">{"fdsup://directions/FAT Viewer?action=UPDATE&amp;creator=factset&amp;DYN_ARGS=TRUE&amp;DOC_NAME=FAT:FQL_AUDITING_CLIENT_TEMPLATE.FAT&amp;display_string=Audit&amp;VAR:KEY=WHUFCHOVAN&amp;VAR:QUERY=RkZfRU5UUlBSX1ZBTF9EQUlMWShOT1csLCwsLCdESUwnKQ==&amp;WINDOW=FIRST_POPUP&amp;HEIGHT=450&amp;WIDTH=","450&amp;START_MAXIMIZED=FALSE&amp;VAR:CALENDAR=FIVEDAY&amp;VAR:SYMBOL=WAT&amp;VAR:INDEX=0"}</definedName>
    <definedName name="_93__FDSAUDITLINK___1" hidden="1">{"fdsup://directions/FAT Viewer?action=UPDATE&amp;creator=factset&amp;DYN_ARGS=TRUE&amp;DOC_NAME=FAT:FQL_AUDITING_CLIENT_TEMPLATE.FAT&amp;display_string=Audit&amp;VAR:KEY=WHUFCHOVAN&amp;VAR:QUERY=RkZfRU5UUlBSX1ZBTF9EQUlMWShOT1csLCwsLCdESUwnKQ==&amp;WINDOW=FIRST_POPUP&amp;HEIGHT=450&amp;WIDTH=","450&amp;START_MAXIMIZED=FALSE&amp;VAR:CALENDAR=FIVEDAY&amp;VAR:SYMBOL=WAT&amp;VAR:INDEX=0"}</definedName>
    <definedName name="_93__FDSAUDITLINK___2" hidden="1">{"fdsup://directions/FAT Viewer?action=UPDATE&amp;creator=factset&amp;DYN_ARGS=TRUE&amp;DOC_NAME=FAT:FQL_AUDITING_CLIENT_TEMPLATE.FAT&amp;display_string=Audit&amp;VAR:KEY=WHUFCHOVAN&amp;VAR:QUERY=RkZfRU5UUlBSX1ZBTF9EQUlMWShOT1csLCwsLCdESUwnKQ==&amp;WINDOW=FIRST_POPUP&amp;HEIGHT=450&amp;WIDTH=","450&amp;START_MAXIMIZED=FALSE&amp;VAR:CALENDAR=FIVEDAY&amp;VAR:SYMBOL=WAT&amp;VAR:INDEX=0"}</definedName>
    <definedName name="_94__FDSAUDITLINK__" localSheetId="7" hidden="1">{"fdsup://directions/FAT Viewer?action=UPDATE&amp;creator=factset&amp;DYN_ARGS=TRUE&amp;DOC_NAME=FAT:FQL_AUDITING_CLIENT_TEMPLATE.FAT&amp;display_string=Audit&amp;VAR:KEY=CBYLCVWFIZ&amp;VAR:QUERY=RkZfRU5UUlBSX1ZBTF9EQUlMWShOT1csLCwsLCdESUwnKQ==&amp;WINDOW=FIRST_POPUP&amp;HEIGHT=450&amp;WIDTH=","450&amp;START_MAXIMIZED=FALSE&amp;VAR:CALENDAR=FIVEDAY&amp;VAR:SYMBOL=TMO&amp;VAR:INDEX=0"}</definedName>
    <definedName name="_94__FDSAUDITLINK__" localSheetId="5" hidden="1">{"fdsup://directions/FAT Viewer?action=UPDATE&amp;creator=factset&amp;DYN_ARGS=TRUE&amp;DOC_NAME=FAT:FQL_AUDITING_CLIENT_TEMPLATE.FAT&amp;display_string=Audit&amp;VAR:KEY=CBYLCVWFIZ&amp;VAR:QUERY=RkZfRU5UUlBSX1ZBTF9EQUlMWShOT1csLCwsLCdESUwnKQ==&amp;WINDOW=FIRST_POPUP&amp;HEIGHT=450&amp;WIDTH=","450&amp;START_MAXIMIZED=FALSE&amp;VAR:CALENDAR=FIVEDAY&amp;VAR:SYMBOL=TMO&amp;VAR:INDEX=0"}</definedName>
    <definedName name="_94__FDSAUDITLINK__" hidden="1">{"fdsup://directions/FAT Viewer?action=UPDATE&amp;creator=factset&amp;DYN_ARGS=TRUE&amp;DOC_NAME=FAT:FQL_AUDITING_CLIENT_TEMPLATE.FAT&amp;display_string=Audit&amp;VAR:KEY=CBYLCVWFIZ&amp;VAR:QUERY=RkZfRU5UUlBSX1ZBTF9EQUlMWShOT1csLCwsLCdESUwnKQ==&amp;WINDOW=FIRST_POPUP&amp;HEIGHT=450&amp;WIDTH=","450&amp;START_MAXIMIZED=FALSE&amp;VAR:CALENDAR=FIVEDAY&amp;VAR:SYMBOL=TMO&amp;VAR:INDEX=0"}</definedName>
    <definedName name="_94__FDSAUDITLINK___1" hidden="1">{"fdsup://directions/FAT Viewer?action=UPDATE&amp;creator=factset&amp;DYN_ARGS=TRUE&amp;DOC_NAME=FAT:FQL_AUDITING_CLIENT_TEMPLATE.FAT&amp;display_string=Audit&amp;VAR:KEY=CBYLCVWFIZ&amp;VAR:QUERY=RkZfRU5UUlBSX1ZBTF9EQUlMWShOT1csLCwsLCdESUwnKQ==&amp;WINDOW=FIRST_POPUP&amp;HEIGHT=450&amp;WIDTH=","450&amp;START_MAXIMIZED=FALSE&amp;VAR:CALENDAR=FIVEDAY&amp;VAR:SYMBOL=TMO&amp;VAR:INDEX=0"}</definedName>
    <definedName name="_94__FDSAUDITLINK___2" hidden="1">{"fdsup://directions/FAT Viewer?action=UPDATE&amp;creator=factset&amp;DYN_ARGS=TRUE&amp;DOC_NAME=FAT:FQL_AUDITING_CLIENT_TEMPLATE.FAT&amp;display_string=Audit&amp;VAR:KEY=CBYLCVWFIZ&amp;VAR:QUERY=RkZfRU5UUlBSX1ZBTF9EQUlMWShOT1csLCwsLCdESUwnKQ==&amp;WINDOW=FIRST_POPUP&amp;HEIGHT=450&amp;WIDTH=","450&amp;START_MAXIMIZED=FALSE&amp;VAR:CALENDAR=FIVEDAY&amp;VAR:SYMBOL=TMO&amp;VAR:INDEX=0"}</definedName>
    <definedName name="_95__FDSAUDITLINK__" localSheetId="7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95__FDSAUDITLINK__" localSheetId="5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95__FDSAUDITLINK__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95__FDSAUDITLINK___1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95__FDSAUDITLINK___2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96__FDSAUDITLINK__" localSheetId="7" hidden="1">{"fdsup://directions/FAT Viewer?action=UPDATE&amp;creator=factset&amp;DYN_ARGS=TRUE&amp;DOC_NAME=FAT:FQL_AUDITING_CLIENT_TEMPLATE.FAT&amp;display_string=Audit&amp;VAR:KEY=OZKRUNWHIL&amp;VAR:QUERY=RkZfRU5UUlBSX1ZBTF9EQUlMWShOT1csLCwsLCdESUwnKQ==&amp;WINDOW=FIRST_POPUP&amp;HEIGHT=450&amp;WIDTH=","450&amp;START_MAXIMIZED=FALSE&amp;VAR:CALENDAR=FIVEDAY&amp;VAR:SYMBOL=MTD&amp;VAR:INDEX=0"}</definedName>
    <definedName name="_96__FDSAUDITLINK__" localSheetId="5" hidden="1">{"fdsup://directions/FAT Viewer?action=UPDATE&amp;creator=factset&amp;DYN_ARGS=TRUE&amp;DOC_NAME=FAT:FQL_AUDITING_CLIENT_TEMPLATE.FAT&amp;display_string=Audit&amp;VAR:KEY=OZKRUNWHIL&amp;VAR:QUERY=RkZfRU5UUlBSX1ZBTF9EQUlMWShOT1csLCwsLCdESUwnKQ==&amp;WINDOW=FIRST_POPUP&amp;HEIGHT=450&amp;WIDTH=","450&amp;START_MAXIMIZED=FALSE&amp;VAR:CALENDAR=FIVEDAY&amp;VAR:SYMBOL=MTD&amp;VAR:INDEX=0"}</definedName>
    <definedName name="_96__FDSAUDITLINK__" hidden="1">{"fdsup://directions/FAT Viewer?action=UPDATE&amp;creator=factset&amp;DYN_ARGS=TRUE&amp;DOC_NAME=FAT:FQL_AUDITING_CLIENT_TEMPLATE.FAT&amp;display_string=Audit&amp;VAR:KEY=OZKRUNWHIL&amp;VAR:QUERY=RkZfRU5UUlBSX1ZBTF9EQUlMWShOT1csLCwsLCdESUwnKQ==&amp;WINDOW=FIRST_POPUP&amp;HEIGHT=450&amp;WIDTH=","450&amp;START_MAXIMIZED=FALSE&amp;VAR:CALENDAR=FIVEDAY&amp;VAR:SYMBOL=MTD&amp;VAR:INDEX=0"}</definedName>
    <definedName name="_96__FDSAUDITLINK___1" hidden="1">{"fdsup://directions/FAT Viewer?action=UPDATE&amp;creator=factset&amp;DYN_ARGS=TRUE&amp;DOC_NAME=FAT:FQL_AUDITING_CLIENT_TEMPLATE.FAT&amp;display_string=Audit&amp;VAR:KEY=OZKRUNWHIL&amp;VAR:QUERY=RkZfRU5UUlBSX1ZBTF9EQUlMWShOT1csLCwsLCdESUwnKQ==&amp;WINDOW=FIRST_POPUP&amp;HEIGHT=450&amp;WIDTH=","450&amp;START_MAXIMIZED=FALSE&amp;VAR:CALENDAR=FIVEDAY&amp;VAR:SYMBOL=MTD&amp;VAR:INDEX=0"}</definedName>
    <definedName name="_96__FDSAUDITLINK___2" hidden="1">{"fdsup://directions/FAT Viewer?action=UPDATE&amp;creator=factset&amp;DYN_ARGS=TRUE&amp;DOC_NAME=FAT:FQL_AUDITING_CLIENT_TEMPLATE.FAT&amp;display_string=Audit&amp;VAR:KEY=OZKRUNWHIL&amp;VAR:QUERY=RkZfRU5UUlBSX1ZBTF9EQUlMWShOT1csLCwsLCdESUwnKQ==&amp;WINDOW=FIRST_POPUP&amp;HEIGHT=450&amp;WIDTH=","450&amp;START_MAXIMIZED=FALSE&amp;VAR:CALENDAR=FIVEDAY&amp;VAR:SYMBOL=MTD&amp;VAR:INDEX=0"}</definedName>
    <definedName name="_97__FDSAUDITLINK__" localSheetId="7" hidden="1">{"fdsup://directions/FAT Viewer?action=UPDATE&amp;creator=factset&amp;DYN_ARGS=TRUE&amp;DOC_NAME=FAT:FQL_AUDITING_CLIENT_TEMPLATE.FAT&amp;display_string=Audit&amp;VAR:KEY=EFKFOZQBKX&amp;VAR:QUERY=RkZfRU5UUlBSX1ZBTF9EQUlMWShOT1csLCwsLCdESUwnKQ==&amp;WINDOW=FIRST_POPUP&amp;HEIGHT=450&amp;WIDTH=","450&amp;START_MAXIMIZED=FALSE&amp;VAR:CALENDAR=FIVEDAY&amp;VAR:SYMBOL=PKI&amp;VAR:INDEX=0"}</definedName>
    <definedName name="_97__FDSAUDITLINK__" localSheetId="5" hidden="1">{"fdsup://directions/FAT Viewer?action=UPDATE&amp;creator=factset&amp;DYN_ARGS=TRUE&amp;DOC_NAME=FAT:FQL_AUDITING_CLIENT_TEMPLATE.FAT&amp;display_string=Audit&amp;VAR:KEY=EFKFOZQBKX&amp;VAR:QUERY=RkZfRU5UUlBSX1ZBTF9EQUlMWShOT1csLCwsLCdESUwnKQ==&amp;WINDOW=FIRST_POPUP&amp;HEIGHT=450&amp;WIDTH=","450&amp;START_MAXIMIZED=FALSE&amp;VAR:CALENDAR=FIVEDAY&amp;VAR:SYMBOL=PKI&amp;VAR:INDEX=0"}</definedName>
    <definedName name="_97__FDSAUDITLINK__" hidden="1">{"fdsup://directions/FAT Viewer?action=UPDATE&amp;creator=factset&amp;DYN_ARGS=TRUE&amp;DOC_NAME=FAT:FQL_AUDITING_CLIENT_TEMPLATE.FAT&amp;display_string=Audit&amp;VAR:KEY=EFKFOZQBKX&amp;VAR:QUERY=RkZfRU5UUlBSX1ZBTF9EQUlMWShOT1csLCwsLCdESUwnKQ==&amp;WINDOW=FIRST_POPUP&amp;HEIGHT=450&amp;WIDTH=","450&amp;START_MAXIMIZED=FALSE&amp;VAR:CALENDAR=FIVEDAY&amp;VAR:SYMBOL=PKI&amp;VAR:INDEX=0"}</definedName>
    <definedName name="_97__FDSAUDITLINK___1" hidden="1">{"fdsup://directions/FAT Viewer?action=UPDATE&amp;creator=factset&amp;DYN_ARGS=TRUE&amp;DOC_NAME=FAT:FQL_AUDITING_CLIENT_TEMPLATE.FAT&amp;display_string=Audit&amp;VAR:KEY=EFKFOZQBKX&amp;VAR:QUERY=RkZfRU5UUlBSX1ZBTF9EQUlMWShOT1csLCwsLCdESUwnKQ==&amp;WINDOW=FIRST_POPUP&amp;HEIGHT=450&amp;WIDTH=","450&amp;START_MAXIMIZED=FALSE&amp;VAR:CALENDAR=FIVEDAY&amp;VAR:SYMBOL=PKI&amp;VAR:INDEX=0"}</definedName>
    <definedName name="_97__FDSAUDITLINK___2" hidden="1">{"fdsup://directions/FAT Viewer?action=UPDATE&amp;creator=factset&amp;DYN_ARGS=TRUE&amp;DOC_NAME=FAT:FQL_AUDITING_CLIENT_TEMPLATE.FAT&amp;display_string=Audit&amp;VAR:KEY=EFKFOZQBKX&amp;VAR:QUERY=RkZfRU5UUlBSX1ZBTF9EQUlMWShOT1csLCwsLCdESUwnKQ==&amp;WINDOW=FIRST_POPUP&amp;HEIGHT=450&amp;WIDTH=","450&amp;START_MAXIMIZED=FALSE&amp;VAR:CALENDAR=FIVEDAY&amp;VAR:SYMBOL=PKI&amp;VAR:INDEX=0"}</definedName>
    <definedName name="_98__FDSAUDITLINK__" localSheetId="7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98__FDSAUDITLINK__" localSheetId="5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98__FDSAUDITLINK__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98__FDSAUDITLINK___1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98__FDSAUDITLINK___2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99__FDSAUDITLINK__" localSheetId="7" hidden="1">{"fdsup://directions/FAT Viewer?action=UPDATE&amp;creator=factset&amp;DYN_ARGS=TRUE&amp;DOC_NAME=FAT:FQL_AUDITING_CLIENT_TEMPLATE.FAT&amp;display_string=Audit&amp;VAR:KEY=ELINIDUNIT&amp;VAR:QUERY=RkZfRU5UUlBSX1ZBTF9EQUlMWShOT1csLCwsLCdESUwnKQ==&amp;WINDOW=FIRST_POPUP&amp;HEIGHT=450&amp;WIDTH=","450&amp;START_MAXIMIZED=FALSE&amp;VAR:CALENDAR=FIVEDAY&amp;VAR:SYMBOL=ZIGO&amp;VAR:INDEX=0"}</definedName>
    <definedName name="_99__FDSAUDITLINK__" localSheetId="5" hidden="1">{"fdsup://directions/FAT Viewer?action=UPDATE&amp;creator=factset&amp;DYN_ARGS=TRUE&amp;DOC_NAME=FAT:FQL_AUDITING_CLIENT_TEMPLATE.FAT&amp;display_string=Audit&amp;VAR:KEY=ELINIDUNIT&amp;VAR:QUERY=RkZfRU5UUlBSX1ZBTF9EQUlMWShOT1csLCwsLCdESUwnKQ==&amp;WINDOW=FIRST_POPUP&amp;HEIGHT=450&amp;WIDTH=","450&amp;START_MAXIMIZED=FALSE&amp;VAR:CALENDAR=FIVEDAY&amp;VAR:SYMBOL=ZIGO&amp;VAR:INDEX=0"}</definedName>
    <definedName name="_99__FDSAUDITLINK__" hidden="1">{"fdsup://directions/FAT Viewer?action=UPDATE&amp;creator=factset&amp;DYN_ARGS=TRUE&amp;DOC_NAME=FAT:FQL_AUDITING_CLIENT_TEMPLATE.FAT&amp;display_string=Audit&amp;VAR:KEY=ELINIDUNIT&amp;VAR:QUERY=RkZfRU5UUlBSX1ZBTF9EQUlMWShOT1csLCwsLCdESUwnKQ==&amp;WINDOW=FIRST_POPUP&amp;HEIGHT=450&amp;WIDTH=","450&amp;START_MAXIMIZED=FALSE&amp;VAR:CALENDAR=FIVEDAY&amp;VAR:SYMBOL=ZIGO&amp;VAR:INDEX=0"}</definedName>
    <definedName name="_99__FDSAUDITLINK___1" hidden="1">{"fdsup://directions/FAT Viewer?action=UPDATE&amp;creator=factset&amp;DYN_ARGS=TRUE&amp;DOC_NAME=FAT:FQL_AUDITING_CLIENT_TEMPLATE.FAT&amp;display_string=Audit&amp;VAR:KEY=ELINIDUNIT&amp;VAR:QUERY=RkZfRU5UUlBSX1ZBTF9EQUlMWShOT1csLCwsLCdESUwnKQ==&amp;WINDOW=FIRST_POPUP&amp;HEIGHT=450&amp;WIDTH=","450&amp;START_MAXIMIZED=FALSE&amp;VAR:CALENDAR=FIVEDAY&amp;VAR:SYMBOL=ZIGO&amp;VAR:INDEX=0"}</definedName>
    <definedName name="_99__FDSAUDITLINK___2" hidden="1">{"fdsup://directions/FAT Viewer?action=UPDATE&amp;creator=factset&amp;DYN_ARGS=TRUE&amp;DOC_NAME=FAT:FQL_AUDITING_CLIENT_TEMPLATE.FAT&amp;display_string=Audit&amp;VAR:KEY=ELINIDUNIT&amp;VAR:QUERY=RkZfRU5UUlBSX1ZBTF9EQUlMWShOT1csLCwsLCdESUwnKQ==&amp;WINDOW=FIRST_POPUP&amp;HEIGHT=450&amp;WIDTH=","450&amp;START_MAXIMIZED=FALSE&amp;VAR:CALENDAR=FIVEDAY&amp;VAR:SYMBOL=ZIGO&amp;VAR:INDEX=0"}</definedName>
    <definedName name="_a1" hidden="1">{"comp1",#N/A,FALSE,"COMPS";"footnotes",#N/A,FALSE,"COMPS"}</definedName>
    <definedName name="_aa1" hidden="1">{#N/A,#N/A,TRUE,"Pro Forma";#N/A,#N/A,TRUE,"PF_Bal";#N/A,#N/A,TRUE,"PF_INC";#N/A,#N/A,TRUE,"CBE";#N/A,#N/A,TRUE,"SWK"}</definedName>
    <definedName name="_ab1" hidden="1">{"comp1",#N/A,FALSE,"COMPS";"footnotes",#N/A,FALSE,"COMPS"}</definedName>
    <definedName name="_ae1" hidden="1">{#N/A,#N/A,FALSE,"Calc";#N/A,#N/A,FALSE,"Sensitivity";#N/A,#N/A,FALSE,"LT Earn.Dil.";#N/A,#N/A,FALSE,"Dil. AVP"}</definedName>
    <definedName name="_af1" hidden="1">"c1455"</definedName>
    <definedName name="_af10" hidden="1">"c2141"</definedName>
    <definedName name="_af11" hidden="1">"c1382"</definedName>
    <definedName name="_af12" hidden="1">"c1385"</definedName>
    <definedName name="_af13" hidden="1">"c1435"</definedName>
    <definedName name="_af14" hidden="1">"c1436"</definedName>
    <definedName name="_af15" hidden="1">"c1424"</definedName>
    <definedName name="_af16" hidden="1">"c1345"</definedName>
    <definedName name="_af18" hidden="1">"c1438"</definedName>
    <definedName name="_af19">{"Client Name or Project Name"}</definedName>
    <definedName name="_af2" hidden="1">"c1352"</definedName>
    <definedName name="_af20">{"Client Name or Project Name"}</definedName>
    <definedName name="_af21">{"Client Name or Project Name"}</definedName>
    <definedName name="_af22">{"Client Name or Project Name"}</definedName>
    <definedName name="_af23">{126}</definedName>
    <definedName name="_af24">{1}</definedName>
    <definedName name="_af25">{0}</definedName>
    <definedName name="_af26">{126}</definedName>
    <definedName name="_af27">{"Client Name or Project Name"}</definedName>
    <definedName name="_af28">{"Client Name or Project Name"}</definedName>
    <definedName name="_af3" hidden="1">"c1353"</definedName>
    <definedName name="_af30">{"Client Name or Project Name"}</definedName>
    <definedName name="_af31">{"Client Name or Project Name"}</definedName>
    <definedName name="_af32">{"Client Name or Project Name"}</definedName>
    <definedName name="_af33">{"Client Name or Project Name"}</definedName>
    <definedName name="_af34">{"Client Name or Project Name"}</definedName>
    <definedName name="_af35">{"Client Name or Project Name"}</definedName>
    <definedName name="_af36">{"Client Name or Project Name"}</definedName>
    <definedName name="_af37" hidden="1">{"Client is",#N/A,FALSE,"Client"}</definedName>
    <definedName name="_af38" hidden="1">{TRUE,TRUE,-1.25,-15.5,456.75,279.75,FALSE,FALSE,TRUE,TRUE,0,1,18,1,199,6,3,4,TRUE,TRUE,3,TRUE,1,TRUE,100,"Swvu.cash.","ACwvu.cash.",1,FALSE,FALSE,0.511811023622047,0.511811023622047,0.511811023622047,0.511811023622047,1,"","",FALSE,FALSE,FALSE,FALSE,1,#N/A,1,1,#DIV/0!,FALSE,"Rwvu.cash.",#N/A,FALSE,FALSE}</definedName>
    <definedName name="_af39" hidden="1">{TRUE,TRUE,-1.25,-15.5,456.75,279.75,FALSE,FALSE,TRUE,TRUE,0,1,21,1,127,6,3,4,TRUE,TRUE,3,TRUE,1,TRUE,100,"Swvu.profits.","ACwvu.profits.",1,FALSE,FALSE,0.511811023622047,0.511811023622047,0.511811023622047,0.511811023622047,1,"","",FALSE,FALSE,FALSE,FALSE,1,#N/A,1,1,#DIV/0!,FALSE,"Rwvu.profits.",#N/A,FALSE,FALSE}</definedName>
    <definedName name="_af4" hidden="1">"c1354"</definedName>
    <definedName name="_af40" hidden="1">{TRUE,TRUE,-1.25,-15.5,456.75,279.75,FALSE,FALSE,TRUE,TRUE,0,1,8,1,4,6,3,4,TRUE,TRUE,3,TRUE,1,TRUE,100,"Swvu.turnover.","ACwvu.turnover.",1,FALSE,FALSE,0.511811023622047,0.511811023622047,0.511811023622047,0.511811023622047,1,"","",FALSE,FALSE,FALSE,FALSE,1,#N/A,1,1,#DIV/0!,FALSE,"Rwvu.turnover.",#N/A,FALSE,FALSE}</definedName>
    <definedName name="_af5" hidden="1">"c1411"</definedName>
    <definedName name="_af6" hidden="1">"c1431"</definedName>
    <definedName name="_af7" hidden="1">"c1433"</definedName>
    <definedName name="_af8" hidden="1">"c1434"</definedName>
    <definedName name="_af9" hidden="1">"c1432"</definedName>
    <definedName name="_am1" hidden="1">{#N/A,#N/A,TRUE,"Pro Forma";#N/A,#N/A,TRUE,"PF_Bal";#N/A,#N/A,TRUE,"PF_INC";#N/A,#N/A,TRUE,"CBE";#N/A,#N/A,TRUE,"SWK"}</definedName>
    <definedName name="_as1" hidden="1">{"comp1",#N/A,FALSE,"COMPS";"footnotes",#N/A,FALSE,"COMPS"}</definedName>
    <definedName name="_ASM1">{9}</definedName>
    <definedName name="_ASM2">{9}</definedName>
    <definedName name="_bdm.D3D015489E4F45C1905C95E6AA98954C.edm" localSheetId="4" hidden="1">ccGro!$A$2:$U$12</definedName>
    <definedName name="_bdm.ED20F03133AF48328CFFEBFE37BDAE7F.edm" hidden="1">ccGro!$1:$1048576</definedName>
    <definedName name="_f1" hidden="1">{"assumption cash",#N/A,TRUE,"Merger";"has gets cash",#N/A,TRUE,"Merger";"accretion dilution",#N/A,TRUE,"Merger";"comparison credit stats",#N/A,TRUE,"Merger";"pf credit stats",#N/A,TRUE,"Merger";"pf sheets",#N/A,TRUE,"Merger"}</definedName>
    <definedName name="_fy2001">'[1]5 yr Sales and Earnings'!$C$1:$C$170</definedName>
    <definedName name="_ik1" hidden="1">{"casespecific",#N/A,FALSE,"Assumptions"}</definedName>
    <definedName name="_Order1" hidden="1">255</definedName>
    <definedName name="_Order2" hidden="1">0</definedName>
    <definedName name="_P1">[2]Bio!$A$5:$S$293</definedName>
    <definedName name="_P2">[2]Bio!$A$5:$P$293</definedName>
    <definedName name="_ppp1">{"Client Name or Project Name"}</definedName>
    <definedName name="_rb10">{"Client Name or Project Name"}</definedName>
    <definedName name="_rb12">{9}</definedName>
    <definedName name="_rb13" hidden="1">{"'Breakup 01 Euro'!$A$3:$I$30"}</definedName>
    <definedName name="_rb15" hidden="1">"c1449"</definedName>
    <definedName name="_rb16" hidden="1">"c1343"</definedName>
    <definedName name="_rb17" hidden="1">"c1341"</definedName>
    <definedName name="_rb18" hidden="1">"c1340"</definedName>
    <definedName name="_rb19" hidden="1">"c1344"</definedName>
    <definedName name="_rb20" hidden="1">"c1342"</definedName>
    <definedName name="_rb21" hidden="1">"c1591"</definedName>
    <definedName name="_rb22" hidden="1">"c1346"</definedName>
    <definedName name="_rb23" hidden="1">"c2133"</definedName>
    <definedName name="_rb24" hidden="1">"c1349"</definedName>
    <definedName name="_rb25" hidden="1">"c1350"</definedName>
    <definedName name="_rb26" hidden="1">"c1458"</definedName>
    <definedName name="_rb27" hidden="1">"c116"</definedName>
    <definedName name="_rb28" hidden="1">"c1351"</definedName>
    <definedName name="_rb29" hidden="1">"c1355"</definedName>
    <definedName name="_rb30" hidden="1">"c1357"</definedName>
    <definedName name="_rb31" hidden="1">"c1358"</definedName>
    <definedName name="_rb32" hidden="1">"c1359"</definedName>
    <definedName name="_rb33" hidden="1">"c1362"</definedName>
    <definedName name="_rb34" hidden="1">"c1363"</definedName>
    <definedName name="_rb35" hidden="1">"c1364"</definedName>
    <definedName name="_rb36" hidden="1">"c1365"</definedName>
    <definedName name="_rb37" hidden="1">"c1447"</definedName>
    <definedName name="_rb38" hidden="1">"c1356"</definedName>
    <definedName name="_rb39" hidden="1">"c1360"</definedName>
    <definedName name="_rb40" hidden="1">"c1361"</definedName>
    <definedName name="_rb41" hidden="1">"c1520"</definedName>
    <definedName name="_rb42" hidden="1">"c1367"</definedName>
    <definedName name="_rb43" hidden="1">"c1366"</definedName>
    <definedName name="_rb44" hidden="1">"c1369"</definedName>
    <definedName name="_rb45" hidden="1">"c1370"</definedName>
    <definedName name="_rb46" hidden="1">"c1371"</definedName>
    <definedName name="_rb47" hidden="1">"c1348"</definedName>
    <definedName name="_rb48" hidden="1">"c1451"</definedName>
    <definedName name="_rb49" hidden="1">"c1390"</definedName>
    <definedName name="_rb5">{9}</definedName>
    <definedName name="_rb50" hidden="1">"c1428"</definedName>
    <definedName name="_rb51" hidden="1">"c1426"</definedName>
    <definedName name="_rb52" hidden="1">"c1427"</definedName>
    <definedName name="_rb53" hidden="1">"c1429"</definedName>
    <definedName name="_rb54" hidden="1">"c1897"</definedName>
    <definedName name="_rb55" hidden="1">"c1459"</definedName>
    <definedName name="_rb56" hidden="1">"c1405"</definedName>
    <definedName name="_rb57" hidden="1">"c1406"</definedName>
    <definedName name="_rb58" hidden="1">"c1376"</definedName>
    <definedName name="_rb59" hidden="1">"c1377"</definedName>
    <definedName name="_rb60" hidden="1">"c1380"</definedName>
    <definedName name="_rb61" hidden="1">"c1446"</definedName>
    <definedName name="_rb62" hidden="1">"c1378"</definedName>
    <definedName name="_rb63" hidden="1">"c1395"</definedName>
    <definedName name="_rb64" hidden="1">"c1396"</definedName>
    <definedName name="_rb65" hidden="1">"c1375"</definedName>
    <definedName name="_rb66" hidden="1">"c1407"</definedName>
    <definedName name="_rb67" hidden="1">"c1383"</definedName>
    <definedName name="_rb68" hidden="1">"c1393"</definedName>
    <definedName name="_rb69" hidden="1">"c1384"</definedName>
    <definedName name="_rb70" hidden="1">"c1391"</definedName>
    <definedName name="_rb71" hidden="1">"c1386"</definedName>
    <definedName name="_rb72" hidden="1">"c1387"</definedName>
    <definedName name="_rb73" hidden="1">"c1388"</definedName>
    <definedName name="_rb74" hidden="1">"c1389"</definedName>
    <definedName name="_rb75" hidden="1">"c1437"</definedName>
    <definedName name="_rb76" hidden="1">"c1394"</definedName>
    <definedName name="_rb77" hidden="1">"c1368"</definedName>
    <definedName name="_rb78" hidden="1">"c1397"</definedName>
    <definedName name="_rb79" hidden="1">"c1398"</definedName>
    <definedName name="_rb8">{9}</definedName>
    <definedName name="_rb9">{9}</definedName>
    <definedName name="_Regression_Int" hidden="1">1</definedName>
    <definedName name="_rt1" hidden="1">"c1392"</definedName>
    <definedName name="_rt10" hidden="1">"c1409"</definedName>
    <definedName name="_rt11" hidden="1">"c1453"</definedName>
    <definedName name="_rt12" hidden="1">"c1410"</definedName>
    <definedName name="_rt14" hidden="1">"c2128"</definedName>
    <definedName name="_rt15" hidden="1">"c1457"</definedName>
    <definedName name="_rt16" hidden="1">"c1414"</definedName>
    <definedName name="_rt17" hidden="1">"c1416"</definedName>
    <definedName name="_rt18" hidden="1">"c1415"</definedName>
    <definedName name="_rt19" hidden="1">"c1418"</definedName>
    <definedName name="_rt2" hidden="1">"c1399"</definedName>
    <definedName name="_rt20" hidden="1">"c1412"</definedName>
    <definedName name="_rt21" hidden="1">"c1413"</definedName>
    <definedName name="_rt22" hidden="1">"c1452"</definedName>
    <definedName name="_rt24" hidden="1">"c1379"</definedName>
    <definedName name="_rt25" hidden="1">"c1402"</definedName>
    <definedName name="_rt26" hidden="1">"c1417"</definedName>
    <definedName name="_rt27" hidden="1">"c1419"</definedName>
    <definedName name="_rt28" hidden="1">"c1420"</definedName>
    <definedName name="_rt29" hidden="1">"c1421"</definedName>
    <definedName name="_rt3" hidden="1">"c1400"</definedName>
    <definedName name="_rt30" hidden="1">"c1422"</definedName>
    <definedName name="_rt31" hidden="1">"c1347"</definedName>
    <definedName name="_rt32" hidden="1">"c1425"</definedName>
    <definedName name="_rt4" hidden="1">"c1401"</definedName>
    <definedName name="_rt5" hidden="1">"c1423"</definedName>
    <definedName name="_rt6" hidden="1">"c1448"</definedName>
    <definedName name="_rt7" hidden="1">"c1403"</definedName>
    <definedName name="_rt8" hidden="1">"c1404"</definedName>
    <definedName name="_rt9" hidden="1">"c1408"</definedName>
    <definedName name="_t1" hidden="1">{"Client is",#N/A,FALSE,"Client"}</definedName>
    <definedName name="AdditionalInstructions">IndexInformation!$B$42</definedName>
    <definedName name="Address" localSheetId="0">ImportantDisclosures!$A$2:$A$2</definedName>
    <definedName name="af" hidden="1">"c1430"</definedName>
    <definedName name="AllTables">{9}</definedName>
    <definedName name="alltables1">{9}</definedName>
    <definedName name="ANA" localSheetId="10">ModPubIndex!$A$7</definedName>
    <definedName name="anscount" hidden="1">1</definedName>
    <definedName name="ASM">{9}</definedName>
    <definedName name="ASMM2">{9}</definedName>
    <definedName name="Authors" localSheetId="0">ImportantDisclosures!$A$7</definedName>
    <definedName name="Authors" localSheetId="9">IndexInformation!$B$18</definedName>
    <definedName name="BRO" localSheetId="10">ModPubIndex!$A$1</definedName>
    <definedName name="CashFlowCapitalExpenditureCellular">0</definedName>
    <definedName name="CashFlowCapitalExpenditureOther">0</definedName>
    <definedName name="CashFlowCapitalExpenditurePaging">0</definedName>
    <definedName name="CashFlowCapitalExpenditureTelephone">0</definedName>
    <definedName name="CashFlowCapitalExpenditureWireless">0</definedName>
    <definedName name="CashFlowDividendPaidPreferredStock">0</definedName>
    <definedName name="cb_sChart10D6460A_opts" hidden="1">"1, 1, 1, False, 2, True, False, , 0, False, False, 1, 1"</definedName>
    <definedName name="cb_sChart10D65256_opts" hidden="1">"1, 1, 1, False, 2, True, False, , 0, False, False, 1, 1"</definedName>
    <definedName name="cb_sChart10D653EB_opts" hidden="1">"1, 1, 1, False, 2, True, False, , 0, False, False, 1, 1"</definedName>
    <definedName name="cb_sChart10D65893_opts" hidden="1">"1, 1, 1, False, 2, True, False, , 0, False, False, 1, 1"</definedName>
    <definedName name="cb_sChartEE4CE1B_opts" hidden="1">"1, 4, 1, False, 2, False, False, , 0, False, False, 1, 1"</definedName>
    <definedName name="cb_sChartEE4CF99_opts" hidden="1">"1, 1, 1, False, 2, False, False, , 0, False, False, 1, 1"</definedName>
    <definedName name="cb_sChartEE4DD06_opts" hidden="1">"1, 1, 1, False, 2, False, False, , 0, False, False, 1, 2"</definedName>
    <definedName name="cb_sChartEE4E93B_opts" hidden="1">"1, 1, 1, False, 2, False, False, , 0, False, False, 1, 1"</definedName>
    <definedName name="cb_sChartEE51E95_opts" hidden="1">"1, 1, 1, False, 2, False, False, , 0, False, False, 1, 1"</definedName>
    <definedName name="cb_sChartEED7645_opts" hidden="1">"1, 1, 1, False, 2, False, False, , 0, False, False, 1, 1"</definedName>
    <definedName name="cb_sChartEEDA195_opts" hidden="1">"1, 1, 1, False, 2, False, False, , 0, False, False, 1, 1"</definedName>
    <definedName name="cb_sChartEEDC338_opts" hidden="1">"1, 1, 1, False, 2, False, False, , 0, False, False, 1, 1"</definedName>
    <definedName name="cb_sChartEEDEDB8_opts" hidden="1">"1, 1, 1, False, 2, False, False, , 0, False, True, 1, 1"</definedName>
    <definedName name="cb_sChartEEDEE5A_opts" hidden="1">"1, 3, 1, False, 2, True, False, , 0, False, True, 1, 1"</definedName>
    <definedName name="cb_sChartEEDF178_opts" hidden="1">"1, 3, 1, False, 2, False, False, , 0, False, True, 1, 1"</definedName>
    <definedName name="cb_sChartF6A6B11_opts" hidden="1">"1, 1, 1, False, 2, True, False, , 0, False, False, 1, 1"</definedName>
    <definedName name="cb_sChartFD191DC_opts" hidden="1">"1, 3, 1, False, 2, True, False, , 0, False, True, 1, 1"</definedName>
    <definedName name="cb_sChartFD1A245_opts" hidden="1">"1, 3, 1, False, 2, True, False, , 0, False, True, 1, 1"</definedName>
    <definedName name="cb_sChartFD3F0E9_opts" hidden="1">"1, 3, 1, False, 2, True, False, , 0, False, False, 1, 1"</definedName>
    <definedName name="cb_sChartFD3F27E_opts" hidden="1">"1, 3, 1, False, 2, True, False, , 0, False, True, 1, 1"</definedName>
    <definedName name="cb_sChartFD58483_opts" hidden="1">"1, 1, 1, False, 2, True, False, , 0, False, False, 1, 1"</definedName>
    <definedName name="cb_sChartFD5C4CD_opts" hidden="1">"1, 1, 1, False, 2, True, False, , 0, False, False, 1, 1"</definedName>
    <definedName name="cb_sChartFD5D4CE_opts" hidden="1">"1, 1, 1, False, 2, True, False, , 0, False, False, 1, 1"</definedName>
    <definedName name="cb_sChartFD5DF34_opts" hidden="1">"1, 1, 1, False, 2, True, False, , 0, False, False, 1, 1"</definedName>
    <definedName name="cb_sChartFD5EFC0_opts" hidden="1">"1, 1, 1, False, 2, True, False, , 0, False, False, 1, 1"</definedName>
    <definedName name="cb_sChartFD5FDB9_opts" hidden="1">"1, 1, 1, False, 2, True, False, , 0, False, False, 1, 1"</definedName>
    <definedName name="cb_sChartFE54712_opts" hidden="1">"1, 3, 1, False, 2, True, False, , 0, False, True, 1, 1"</definedName>
    <definedName name="ChoiceOfChem">{"Client Name or Project Name"}</definedName>
    <definedName name="copy">{9}</definedName>
    <definedName name="copy2">{9}</definedName>
    <definedName name="CopyrightStamp">ImportantDisclosures!$A$27</definedName>
    <definedName name="COU" localSheetId="10">ModPubIndex!$A$5</definedName>
    <definedName name="CQEnd" localSheetId="9">IndexInformation!$B$31</definedName>
    <definedName name="Currency" localSheetId="9">IndexInformation!$B$24</definedName>
    <definedName name="CurrentStockPrice" localSheetId="9">IndexInformation!$B$23</definedName>
    <definedName name="CurrQtrEPS" localSheetId="9">IndexInformation!$B$29</definedName>
    <definedName name="CurrYearEPS" localSheetId="9">IndexInformation!$B$11</definedName>
    <definedName name="CurrYearTotalRevenue" localSheetId="9">IndexInformation!$B$10</definedName>
    <definedName name="CurrYearTotalRevenueActual" localSheetId="9">IndexInformation!$B$32</definedName>
    <definedName name="CUSIP" localSheetId="9">IndexInformation!$B$20</definedName>
    <definedName name="CYEnd" localSheetId="9">IndexInformation!$B$30</definedName>
    <definedName name="Date" localSheetId="0">ImportantDisclosures!$A$8</definedName>
    <definedName name="Deleted" localSheetId="9">IndexInformation!$B$27</definedName>
    <definedName name="Description" localSheetId="9">IndexInformation!$B$7</definedName>
    <definedName name="DEVELOPMENT">5</definedName>
    <definedName name="Discipline" localSheetId="9">IndexInformation!$B$3</definedName>
    <definedName name="DISCIPLINE" localSheetId="10">ModPubIndex!$A$12</definedName>
    <definedName name="DisclosuresText">ImportantDisclosures!$A$22</definedName>
    <definedName name="Distribution" localSheetId="9">IndexInformation!$B$26</definedName>
    <definedName name="DistTable" localSheetId="0">ImportantDisclosures!#REF!</definedName>
    <definedName name="DistTablePreamble" localSheetId="0">ImportantDisclosures!#REF!</definedName>
    <definedName name="DOCDAT" localSheetId="10">ModPubIndex!$A$2</definedName>
    <definedName name="DOCTIME" localSheetId="10">ModPubIndex!$A$3</definedName>
    <definedName name="DocType" localSheetId="9">IndexInformation!$B$5</definedName>
    <definedName name="DYNO">"TARGET"</definedName>
    <definedName name="EMAIL_ALERT" localSheetId="10">ModPubIndex!$A$10</definedName>
    <definedName name="EmailAlert" localSheetId="9">IndexInformation!$B$28</definedName>
    <definedName name="EquityAdjustments">0</definedName>
    <definedName name="EquityEmployeeStockOwnershipPlan">0</definedName>
    <definedName name="EquityPaidInCapital">0</definedName>
    <definedName name="EquityTreasuryStock">0</definedName>
    <definedName name="ev.Calculation" hidden="1">-4135</definedName>
    <definedName name="ev.Initialized" hidden="1">FALSE</definedName>
    <definedName name="Exhibit_4">"QSALES1"</definedName>
    <definedName name="FDD_0_0" hidden="1">"A30681"</definedName>
    <definedName name="FDD_0_1" hidden="1">"A31047"</definedName>
    <definedName name="FDD_0_10" hidden="1">"A34334"</definedName>
    <definedName name="FDD_0_11" hidden="1">"A34699"</definedName>
    <definedName name="FDD_0_12" hidden="1">"A35064"</definedName>
    <definedName name="FDD_0_13" hidden="1">"A35430"</definedName>
    <definedName name="FDD_0_14" hidden="1">"A35795"</definedName>
    <definedName name="FDD_0_2" hidden="1">"A31412"</definedName>
    <definedName name="FDD_0_3" hidden="1">"A31777"</definedName>
    <definedName name="FDD_0_4" hidden="1">"A32142"</definedName>
    <definedName name="FDD_0_5" hidden="1">"A32508"</definedName>
    <definedName name="FDD_0_6" hidden="1">"A32873"</definedName>
    <definedName name="FDD_0_7" hidden="1">"A33238"</definedName>
    <definedName name="FDD_0_8" hidden="1">"A33603"</definedName>
    <definedName name="FDD_0_9" hidden="1">"A33969"</definedName>
    <definedName name="FDD_1_0" hidden="1">"U25569"</definedName>
    <definedName name="FDD_10_0" hidden="1">"A25569"</definedName>
    <definedName name="FDD_100_0" hidden="1">"A25569"</definedName>
    <definedName name="FDD_101_0" hidden="1">"A25569"</definedName>
    <definedName name="FDD_102_0" hidden="1">"A25569"</definedName>
    <definedName name="FDD_103_0" hidden="1">"A25569"</definedName>
    <definedName name="FDD_104_0" hidden="1">"A25569"</definedName>
    <definedName name="FDD_105_0" hidden="1">"A25569"</definedName>
    <definedName name="FDD_106_0" hidden="1">"A25569"</definedName>
    <definedName name="FDD_107_0" hidden="1">"A25569"</definedName>
    <definedName name="FDD_108_0" hidden="1">"A25569"</definedName>
    <definedName name="FDD_109_0" hidden="1">"A25569"</definedName>
    <definedName name="FDD_11_0" hidden="1">"A25569"</definedName>
    <definedName name="FDD_110_0" hidden="1">"A25569"</definedName>
    <definedName name="FDD_111_0" hidden="1">"A25569"</definedName>
    <definedName name="FDD_112_0" hidden="1">"A25569"</definedName>
    <definedName name="FDD_113_0" hidden="1">"A25569"</definedName>
    <definedName name="FDD_114_0" hidden="1">"A25569"</definedName>
    <definedName name="FDD_115_0" hidden="1">"A25569"</definedName>
    <definedName name="FDD_116_0" hidden="1">"A25569"</definedName>
    <definedName name="FDD_117_0" hidden="1">"A30681"</definedName>
    <definedName name="FDD_117_1" hidden="1">"A31047"</definedName>
    <definedName name="FDD_117_10" hidden="1">"A34334"</definedName>
    <definedName name="FDD_117_11" hidden="1">"A34699"</definedName>
    <definedName name="FDD_117_12" hidden="1">"A35064"</definedName>
    <definedName name="FDD_117_13" hidden="1">"A35430"</definedName>
    <definedName name="FDD_117_14" hidden="1">"A35795"</definedName>
    <definedName name="FDD_117_2" hidden="1">"A31412"</definedName>
    <definedName name="FDD_117_3" hidden="1">"A31777"</definedName>
    <definedName name="FDD_117_4" hidden="1">"A32142"</definedName>
    <definedName name="FDD_117_5" hidden="1">"A32508"</definedName>
    <definedName name="FDD_117_6" hidden="1">"A32873"</definedName>
    <definedName name="FDD_117_7" hidden="1">"A33238"</definedName>
    <definedName name="FDD_117_8" hidden="1">"A33603"</definedName>
    <definedName name="FDD_117_9" hidden="1">"A33969"</definedName>
    <definedName name="FDD_118_0" hidden="1">"A30681"</definedName>
    <definedName name="FDD_118_1" hidden="1">"A31047"</definedName>
    <definedName name="FDD_118_10" hidden="1">"A34334"</definedName>
    <definedName name="FDD_118_11" hidden="1">"A34699"</definedName>
    <definedName name="FDD_118_12" hidden="1">"A35064"</definedName>
    <definedName name="FDD_118_13" hidden="1">"A35430"</definedName>
    <definedName name="FDD_118_14" hidden="1">"A35795"</definedName>
    <definedName name="FDD_118_2" hidden="1">"A31412"</definedName>
    <definedName name="FDD_118_3" hidden="1">"A31777"</definedName>
    <definedName name="FDD_118_4" hidden="1">"A32142"</definedName>
    <definedName name="FDD_118_5" hidden="1">"A32508"</definedName>
    <definedName name="FDD_118_6" hidden="1">"A32873"</definedName>
    <definedName name="FDD_118_7" hidden="1">"A33238"</definedName>
    <definedName name="FDD_118_8" hidden="1">"A33603"</definedName>
    <definedName name="FDD_118_9" hidden="1">"A33969"</definedName>
    <definedName name="FDD_119_0" hidden="1">"A30681"</definedName>
    <definedName name="FDD_119_1" hidden="1">"A31047"</definedName>
    <definedName name="FDD_119_10" hidden="1">"A34334"</definedName>
    <definedName name="FDD_119_11" hidden="1">"A34699"</definedName>
    <definedName name="FDD_119_12" hidden="1">"A35064"</definedName>
    <definedName name="FDD_119_13" hidden="1">"A35430"</definedName>
    <definedName name="FDD_119_14" hidden="1">"A35795"</definedName>
    <definedName name="FDD_119_2" hidden="1">"A31412"</definedName>
    <definedName name="FDD_119_3" hidden="1">"A31777"</definedName>
    <definedName name="FDD_119_4" hidden="1">"A32142"</definedName>
    <definedName name="FDD_119_5" hidden="1">"A32508"</definedName>
    <definedName name="FDD_119_6" hidden="1">"A32873"</definedName>
    <definedName name="FDD_119_7" hidden="1">"A33238"</definedName>
    <definedName name="FDD_119_8" hidden="1">"A33603"</definedName>
    <definedName name="FDD_119_9" hidden="1">"A33969"</definedName>
    <definedName name="FDD_12_0" hidden="1">"A25569"</definedName>
    <definedName name="FDD_120_0" hidden="1">"A30681"</definedName>
    <definedName name="FDD_120_1" hidden="1">"A31047"</definedName>
    <definedName name="FDD_120_10" hidden="1">"A34334"</definedName>
    <definedName name="FDD_120_11" hidden="1">"A34699"</definedName>
    <definedName name="FDD_120_12" hidden="1">"A35064"</definedName>
    <definedName name="FDD_120_13" hidden="1">"A35430"</definedName>
    <definedName name="FDD_120_14" hidden="1">"A35795"</definedName>
    <definedName name="FDD_120_2" hidden="1">"A31412"</definedName>
    <definedName name="FDD_120_3" hidden="1">"A31777"</definedName>
    <definedName name="FDD_120_4" hidden="1">"A32142"</definedName>
    <definedName name="FDD_120_5" hidden="1">"A32508"</definedName>
    <definedName name="FDD_120_6" hidden="1">"A32873"</definedName>
    <definedName name="FDD_120_7" hidden="1">"A33238"</definedName>
    <definedName name="FDD_120_8" hidden="1">"A33603"</definedName>
    <definedName name="FDD_120_9" hidden="1">"A33969"</definedName>
    <definedName name="FDD_121_0" hidden="1">"A30681"</definedName>
    <definedName name="FDD_121_1" hidden="1">"A31047"</definedName>
    <definedName name="FDD_121_10" hidden="1">"A34334"</definedName>
    <definedName name="FDD_121_11" hidden="1">"A34699"</definedName>
    <definedName name="FDD_121_12" hidden="1">"A35064"</definedName>
    <definedName name="FDD_121_13" hidden="1">"A35430"</definedName>
    <definedName name="FDD_121_14" hidden="1">"A35795"</definedName>
    <definedName name="FDD_121_2" hidden="1">"A31412"</definedName>
    <definedName name="FDD_121_3" hidden="1">"A31777"</definedName>
    <definedName name="FDD_121_4" hidden="1">"A32142"</definedName>
    <definedName name="FDD_121_5" hidden="1">"A32508"</definedName>
    <definedName name="FDD_121_6" hidden="1">"A32873"</definedName>
    <definedName name="FDD_121_7" hidden="1">"A33238"</definedName>
    <definedName name="FDD_121_8" hidden="1">"A33603"</definedName>
    <definedName name="FDD_121_9" hidden="1">"A33969"</definedName>
    <definedName name="FDD_122_0" hidden="1">"A30681"</definedName>
    <definedName name="FDD_122_1" hidden="1">"A31047"</definedName>
    <definedName name="FDD_122_10" hidden="1">"A34334"</definedName>
    <definedName name="FDD_122_11" hidden="1">"A34699"</definedName>
    <definedName name="FDD_122_12" hidden="1">"A35064"</definedName>
    <definedName name="FDD_122_13" hidden="1">"A35430"</definedName>
    <definedName name="FDD_122_14" hidden="1">"A35795"</definedName>
    <definedName name="FDD_122_2" hidden="1">"A31412"</definedName>
    <definedName name="FDD_122_3" hidden="1">"A31777"</definedName>
    <definedName name="FDD_122_4" hidden="1">"A32142"</definedName>
    <definedName name="FDD_122_5" hidden="1">"A32508"</definedName>
    <definedName name="FDD_122_6" hidden="1">"A32873"</definedName>
    <definedName name="FDD_122_7" hidden="1">"A33238"</definedName>
    <definedName name="FDD_122_8" hidden="1">"A33603"</definedName>
    <definedName name="FDD_122_9" hidden="1">"A33969"</definedName>
    <definedName name="FDD_123_0" hidden="1">"A30681"</definedName>
    <definedName name="FDD_123_1" hidden="1">"A31047"</definedName>
    <definedName name="FDD_123_10" hidden="1">"A34334"</definedName>
    <definedName name="FDD_123_11" hidden="1">"A34699"</definedName>
    <definedName name="FDD_123_12" hidden="1">"A35064"</definedName>
    <definedName name="FDD_123_13" hidden="1">"A35430"</definedName>
    <definedName name="FDD_123_14" hidden="1">"A35795"</definedName>
    <definedName name="FDD_123_2" hidden="1">"A31412"</definedName>
    <definedName name="FDD_123_3" hidden="1">"A31777"</definedName>
    <definedName name="FDD_123_4" hidden="1">"A32142"</definedName>
    <definedName name="FDD_123_5" hidden="1">"A32508"</definedName>
    <definedName name="FDD_123_6" hidden="1">"A32873"</definedName>
    <definedName name="FDD_123_7" hidden="1">"A33238"</definedName>
    <definedName name="FDD_123_8" hidden="1">"A33603"</definedName>
    <definedName name="FDD_123_9" hidden="1">"A33969"</definedName>
    <definedName name="FDD_124_0" hidden="1">"A30681"</definedName>
    <definedName name="FDD_124_1" hidden="1">"A31047"</definedName>
    <definedName name="FDD_124_10" hidden="1">"A34334"</definedName>
    <definedName name="FDD_124_11" hidden="1">"A34699"</definedName>
    <definedName name="FDD_124_12" hidden="1">"A35064"</definedName>
    <definedName name="FDD_124_13" hidden="1">"A35430"</definedName>
    <definedName name="FDD_124_14" hidden="1">"A35795"</definedName>
    <definedName name="FDD_124_2" hidden="1">"A31412"</definedName>
    <definedName name="FDD_124_3" hidden="1">"A31777"</definedName>
    <definedName name="FDD_124_4" hidden="1">"A32142"</definedName>
    <definedName name="FDD_124_5" hidden="1">"A32508"</definedName>
    <definedName name="FDD_124_6" hidden="1">"A32873"</definedName>
    <definedName name="FDD_124_7" hidden="1">"A33238"</definedName>
    <definedName name="FDD_124_8" hidden="1">"A33603"</definedName>
    <definedName name="FDD_124_9" hidden="1">"A33969"</definedName>
    <definedName name="FDD_125_0" hidden="1">"A30681"</definedName>
    <definedName name="FDD_125_1" hidden="1">"A31047"</definedName>
    <definedName name="FDD_125_10" hidden="1">"A34334"</definedName>
    <definedName name="FDD_125_11" hidden="1">"A34699"</definedName>
    <definedName name="FDD_125_12" hidden="1">"A35064"</definedName>
    <definedName name="FDD_125_13" hidden="1">"A35430"</definedName>
    <definedName name="FDD_125_14" hidden="1">"A35795"</definedName>
    <definedName name="FDD_125_2" hidden="1">"A31412"</definedName>
    <definedName name="FDD_125_3" hidden="1">"A31777"</definedName>
    <definedName name="FDD_125_4" hidden="1">"A32142"</definedName>
    <definedName name="FDD_125_5" hidden="1">"A32508"</definedName>
    <definedName name="FDD_125_6" hidden="1">"A32873"</definedName>
    <definedName name="FDD_125_7" hidden="1">"A33238"</definedName>
    <definedName name="FDD_125_8" hidden="1">"A33603"</definedName>
    <definedName name="FDD_125_9" hidden="1">"A33969"</definedName>
    <definedName name="FDD_126_0" hidden="1">"A30681"</definedName>
    <definedName name="FDD_126_1" hidden="1">"A31047"</definedName>
    <definedName name="FDD_126_10" hidden="1">"A34334"</definedName>
    <definedName name="FDD_126_11" hidden="1">"A34699"</definedName>
    <definedName name="FDD_126_12" hidden="1">"A35064"</definedName>
    <definedName name="FDD_126_13" hidden="1">"A35430"</definedName>
    <definedName name="FDD_126_14" hidden="1">"A35795"</definedName>
    <definedName name="FDD_126_2" hidden="1">"A31412"</definedName>
    <definedName name="FDD_126_3" hidden="1">"A31777"</definedName>
    <definedName name="FDD_126_4" hidden="1">"A32142"</definedName>
    <definedName name="FDD_126_5" hidden="1">"A32508"</definedName>
    <definedName name="FDD_126_6" hidden="1">"A32873"</definedName>
    <definedName name="FDD_126_7" hidden="1">"A33238"</definedName>
    <definedName name="FDD_126_8" hidden="1">"A33603"</definedName>
    <definedName name="FDD_126_9" hidden="1">"A33969"</definedName>
    <definedName name="FDD_127_0" hidden="1">"A30681"</definedName>
    <definedName name="FDD_127_1" hidden="1">"A31047"</definedName>
    <definedName name="FDD_127_10" hidden="1">"A34334"</definedName>
    <definedName name="FDD_127_11" hidden="1">"A34699"</definedName>
    <definedName name="FDD_127_12" hidden="1">"A35064"</definedName>
    <definedName name="FDD_127_13" hidden="1">"A35430"</definedName>
    <definedName name="FDD_127_14" hidden="1">"A35795"</definedName>
    <definedName name="FDD_127_2" hidden="1">"A31412"</definedName>
    <definedName name="FDD_127_3" hidden="1">"A31777"</definedName>
    <definedName name="FDD_127_4" hidden="1">"A32142"</definedName>
    <definedName name="FDD_127_5" hidden="1">"A32508"</definedName>
    <definedName name="FDD_127_6" hidden="1">"A32873"</definedName>
    <definedName name="FDD_127_7" hidden="1">"A33238"</definedName>
    <definedName name="FDD_127_8" hidden="1">"A33603"</definedName>
    <definedName name="FDD_127_9" hidden="1">"A33969"</definedName>
    <definedName name="FDD_128_0" hidden="1">"A30681"</definedName>
    <definedName name="FDD_128_1" hidden="1">"A31047"</definedName>
    <definedName name="FDD_128_10" hidden="1">"A34334"</definedName>
    <definedName name="FDD_128_11" hidden="1">"A34699"</definedName>
    <definedName name="FDD_128_12" hidden="1">"A35064"</definedName>
    <definedName name="FDD_128_13" hidden="1">"A35430"</definedName>
    <definedName name="FDD_128_14" hidden="1">"A35795"</definedName>
    <definedName name="FDD_128_2" hidden="1">"A31412"</definedName>
    <definedName name="FDD_128_3" hidden="1">"A31777"</definedName>
    <definedName name="FDD_128_4" hidden="1">"A32142"</definedName>
    <definedName name="FDD_128_5" hidden="1">"A32508"</definedName>
    <definedName name="FDD_128_6" hidden="1">"A32873"</definedName>
    <definedName name="FDD_128_7" hidden="1">"A33238"</definedName>
    <definedName name="FDD_128_8" hidden="1">"A33603"</definedName>
    <definedName name="FDD_128_9" hidden="1">"A33969"</definedName>
    <definedName name="FDD_129_0" hidden="1">"A30681"</definedName>
    <definedName name="FDD_129_1" hidden="1">"A31047"</definedName>
    <definedName name="FDD_129_10" hidden="1">"A34334"</definedName>
    <definedName name="FDD_129_11" hidden="1">"A34699"</definedName>
    <definedName name="FDD_129_12" hidden="1">"A35064"</definedName>
    <definedName name="FDD_129_13" hidden="1">"A35430"</definedName>
    <definedName name="FDD_129_14" hidden="1">"A35795"</definedName>
    <definedName name="FDD_129_2" hidden="1">"A31412"</definedName>
    <definedName name="FDD_129_3" hidden="1">"A31777"</definedName>
    <definedName name="FDD_129_4" hidden="1">"A32142"</definedName>
    <definedName name="FDD_129_5" hidden="1">"A32508"</definedName>
    <definedName name="FDD_129_6" hidden="1">"A32873"</definedName>
    <definedName name="FDD_129_7" hidden="1">"A33238"</definedName>
    <definedName name="FDD_129_8" hidden="1">"A33603"</definedName>
    <definedName name="FDD_129_9" hidden="1">"A33969"</definedName>
    <definedName name="FDD_13_0" hidden="1">"A25569"</definedName>
    <definedName name="FDD_130_0" hidden="1">"A30681"</definedName>
    <definedName name="FDD_130_1" hidden="1">"A31047"</definedName>
    <definedName name="FDD_130_10" hidden="1">"A34334"</definedName>
    <definedName name="FDD_130_11" hidden="1">"A34699"</definedName>
    <definedName name="FDD_130_12" hidden="1">"A35064"</definedName>
    <definedName name="FDD_130_13" hidden="1">"A35430"</definedName>
    <definedName name="FDD_130_14" hidden="1">"A35795"</definedName>
    <definedName name="FDD_130_2" hidden="1">"A31412"</definedName>
    <definedName name="FDD_130_3" hidden="1">"A31777"</definedName>
    <definedName name="FDD_130_4" hidden="1">"A32142"</definedName>
    <definedName name="FDD_130_5" hidden="1">"A32508"</definedName>
    <definedName name="FDD_130_6" hidden="1">"A32873"</definedName>
    <definedName name="FDD_130_7" hidden="1">"A33238"</definedName>
    <definedName name="FDD_130_8" hidden="1">"A33603"</definedName>
    <definedName name="FDD_130_9" hidden="1">"A33969"</definedName>
    <definedName name="FDD_131_0" hidden="1">"A30681"</definedName>
    <definedName name="FDD_131_1" hidden="1">"A31047"</definedName>
    <definedName name="FDD_131_10" hidden="1">"A34334"</definedName>
    <definedName name="FDD_131_11" hidden="1">"A34699"</definedName>
    <definedName name="FDD_131_12" hidden="1">"A35064"</definedName>
    <definedName name="FDD_131_13" hidden="1">"A35430"</definedName>
    <definedName name="FDD_131_14" hidden="1">"A35795"</definedName>
    <definedName name="FDD_131_2" hidden="1">"A31412"</definedName>
    <definedName name="FDD_131_3" hidden="1">"A31777"</definedName>
    <definedName name="FDD_131_4" hidden="1">"A32142"</definedName>
    <definedName name="FDD_131_5" hidden="1">"A32508"</definedName>
    <definedName name="FDD_131_6" hidden="1">"A32873"</definedName>
    <definedName name="FDD_131_7" hidden="1">"A33238"</definedName>
    <definedName name="FDD_131_8" hidden="1">"A33603"</definedName>
    <definedName name="FDD_131_9" hidden="1">"A33969"</definedName>
    <definedName name="FDD_132_0" hidden="1">"U30681"</definedName>
    <definedName name="FDD_132_1" hidden="1">"U31047"</definedName>
    <definedName name="FDD_132_10" hidden="1">"U34334"</definedName>
    <definedName name="FDD_132_11" hidden="1">"U34699"</definedName>
    <definedName name="FDD_132_12" hidden="1">"U35064"</definedName>
    <definedName name="FDD_132_13" hidden="1">"U35430"</definedName>
    <definedName name="FDD_132_14" hidden="1">"U35795"</definedName>
    <definedName name="FDD_132_2" hidden="1">"U31412"</definedName>
    <definedName name="FDD_132_3" hidden="1">"U31777"</definedName>
    <definedName name="FDD_132_4" hidden="1">"U32142"</definedName>
    <definedName name="FDD_132_5" hidden="1">"U32508"</definedName>
    <definedName name="FDD_132_6" hidden="1">"U32873"</definedName>
    <definedName name="FDD_132_7" hidden="1">"U33238"</definedName>
    <definedName name="FDD_132_8" hidden="1">"U33603"</definedName>
    <definedName name="FDD_132_9" hidden="1">"U33969"</definedName>
    <definedName name="FDD_133_0" hidden="1">"A30681"</definedName>
    <definedName name="FDD_133_1" hidden="1">"A31047"</definedName>
    <definedName name="FDD_133_10" hidden="1">"A34334"</definedName>
    <definedName name="FDD_133_11" hidden="1">"A34699"</definedName>
    <definedName name="FDD_133_12" hidden="1">"A35064"</definedName>
    <definedName name="FDD_133_13" hidden="1">"A35430"</definedName>
    <definedName name="FDD_133_14" hidden="1">"A35795"</definedName>
    <definedName name="FDD_133_2" hidden="1">"A31412"</definedName>
    <definedName name="FDD_133_3" hidden="1">"A31777"</definedName>
    <definedName name="FDD_133_4" hidden="1">"A32142"</definedName>
    <definedName name="FDD_133_5" hidden="1">"A32508"</definedName>
    <definedName name="FDD_133_6" hidden="1">"A32873"</definedName>
    <definedName name="FDD_133_7" hidden="1">"A33238"</definedName>
    <definedName name="FDD_133_8" hidden="1">"A33603"</definedName>
    <definedName name="FDD_133_9" hidden="1">"A33969"</definedName>
    <definedName name="FDD_134_0" hidden="1">"A30681"</definedName>
    <definedName name="FDD_134_1" hidden="1">"A31047"</definedName>
    <definedName name="FDD_134_10" hidden="1">"A34334"</definedName>
    <definedName name="FDD_134_11" hidden="1">"A34699"</definedName>
    <definedName name="FDD_134_12" hidden="1">"A35064"</definedName>
    <definedName name="FDD_134_13" hidden="1">"A35430"</definedName>
    <definedName name="FDD_134_14" hidden="1">"A35795"</definedName>
    <definedName name="FDD_134_2" hidden="1">"A31412"</definedName>
    <definedName name="FDD_134_3" hidden="1">"A31777"</definedName>
    <definedName name="FDD_134_4" hidden="1">"A32142"</definedName>
    <definedName name="FDD_134_5" hidden="1">"A32508"</definedName>
    <definedName name="FDD_134_6" hidden="1">"A32873"</definedName>
    <definedName name="FDD_134_7" hidden="1">"A33238"</definedName>
    <definedName name="FDD_134_8" hidden="1">"A33603"</definedName>
    <definedName name="FDD_134_9" hidden="1">"A33969"</definedName>
    <definedName name="FDD_135_0" hidden="1">"A30681"</definedName>
    <definedName name="FDD_135_1" hidden="1">"A31047"</definedName>
    <definedName name="FDD_135_10" hidden="1">"A34334"</definedName>
    <definedName name="FDD_135_11" hidden="1">"A34699"</definedName>
    <definedName name="FDD_135_12" hidden="1">"A35064"</definedName>
    <definedName name="FDD_135_13" hidden="1">"A35430"</definedName>
    <definedName name="FDD_135_14" hidden="1">"A35795"</definedName>
    <definedName name="FDD_135_2" hidden="1">"A31412"</definedName>
    <definedName name="FDD_135_3" hidden="1">"A31777"</definedName>
    <definedName name="FDD_135_4" hidden="1">"A32142"</definedName>
    <definedName name="FDD_135_5" hidden="1">"A32508"</definedName>
    <definedName name="FDD_135_6" hidden="1">"A32873"</definedName>
    <definedName name="FDD_135_7" hidden="1">"A33238"</definedName>
    <definedName name="FDD_135_8" hidden="1">"A33603"</definedName>
    <definedName name="FDD_135_9" hidden="1">"A33969"</definedName>
    <definedName name="FDD_136_0" hidden="1">"A30681"</definedName>
    <definedName name="FDD_136_1" hidden="1">"A31047"</definedName>
    <definedName name="FDD_136_10" hidden="1">"A34334"</definedName>
    <definedName name="FDD_136_11" hidden="1">"A34699"</definedName>
    <definedName name="FDD_136_12" hidden="1">"A35064"</definedName>
    <definedName name="FDD_136_13" hidden="1">"A35430"</definedName>
    <definedName name="FDD_136_14" hidden="1">"A35795"</definedName>
    <definedName name="FDD_136_2" hidden="1">"A31412"</definedName>
    <definedName name="FDD_136_3" hidden="1">"A31777"</definedName>
    <definedName name="FDD_136_4" hidden="1">"A32142"</definedName>
    <definedName name="FDD_136_5" hidden="1">"A32508"</definedName>
    <definedName name="FDD_136_6" hidden="1">"A32873"</definedName>
    <definedName name="FDD_136_7" hidden="1">"A33238"</definedName>
    <definedName name="FDD_136_8" hidden="1">"A33603"</definedName>
    <definedName name="FDD_136_9" hidden="1">"A33969"</definedName>
    <definedName name="FDD_137_0" hidden="1">"A30681"</definedName>
    <definedName name="FDD_137_1" hidden="1">"A31047"</definedName>
    <definedName name="FDD_137_10" hidden="1">"A34334"</definedName>
    <definedName name="FDD_137_11" hidden="1">"A34699"</definedName>
    <definedName name="FDD_137_12" hidden="1">"A35064"</definedName>
    <definedName name="FDD_137_13" hidden="1">"A35430"</definedName>
    <definedName name="FDD_137_14" hidden="1">"A35795"</definedName>
    <definedName name="FDD_137_2" hidden="1">"A31412"</definedName>
    <definedName name="FDD_137_3" hidden="1">"A31777"</definedName>
    <definedName name="FDD_137_4" hidden="1">"A32142"</definedName>
    <definedName name="FDD_137_5" hidden="1">"A32508"</definedName>
    <definedName name="FDD_137_6" hidden="1">"A32873"</definedName>
    <definedName name="FDD_137_7" hidden="1">"A33238"</definedName>
    <definedName name="FDD_137_8" hidden="1">"A33603"</definedName>
    <definedName name="FDD_137_9" hidden="1">"A33969"</definedName>
    <definedName name="FDD_138_0" hidden="1">"A30681"</definedName>
    <definedName name="FDD_138_1" hidden="1">"A31047"</definedName>
    <definedName name="FDD_138_10" hidden="1">"A34334"</definedName>
    <definedName name="FDD_138_11" hidden="1">"A34699"</definedName>
    <definedName name="FDD_138_12" hidden="1">"A35064"</definedName>
    <definedName name="FDD_138_13" hidden="1">"A35430"</definedName>
    <definedName name="FDD_138_14" hidden="1">"A35795"</definedName>
    <definedName name="FDD_138_2" hidden="1">"A31412"</definedName>
    <definedName name="FDD_138_3" hidden="1">"A31777"</definedName>
    <definedName name="FDD_138_4" hidden="1">"A32142"</definedName>
    <definedName name="FDD_138_5" hidden="1">"A32508"</definedName>
    <definedName name="FDD_138_6" hidden="1">"A32873"</definedName>
    <definedName name="FDD_138_7" hidden="1">"A33238"</definedName>
    <definedName name="FDD_138_8" hidden="1">"A33603"</definedName>
    <definedName name="FDD_138_9" hidden="1">"A33969"</definedName>
    <definedName name="FDD_139_0" hidden="1">"A30681"</definedName>
    <definedName name="FDD_139_1" hidden="1">"A31047"</definedName>
    <definedName name="FDD_139_10" hidden="1">"U34334"</definedName>
    <definedName name="FDD_139_11" hidden="1">"U34699"</definedName>
    <definedName name="FDD_139_12" hidden="1">"U35064"</definedName>
    <definedName name="FDD_139_13" hidden="1">"U35430"</definedName>
    <definedName name="FDD_139_14" hidden="1">"U35795"</definedName>
    <definedName name="FDD_139_2" hidden="1">"A31412"</definedName>
    <definedName name="FDD_139_3" hidden="1">"U31777"</definedName>
    <definedName name="FDD_139_4" hidden="1">"U32142"</definedName>
    <definedName name="FDD_139_5" hidden="1">"U32508"</definedName>
    <definedName name="FDD_139_6" hidden="1">"U32873"</definedName>
    <definedName name="FDD_139_7" hidden="1">"U33238"</definedName>
    <definedName name="FDD_139_8" hidden="1">"U33603"</definedName>
    <definedName name="FDD_139_9" hidden="1">"U33969"</definedName>
    <definedName name="FDD_14_0" hidden="1">"A25569"</definedName>
    <definedName name="FDD_140_0" hidden="1">"A25569"</definedName>
    <definedName name="FDD_141_0" hidden="1">"A30681"</definedName>
    <definedName name="FDD_141_1" hidden="1">"A31047"</definedName>
    <definedName name="FDD_141_10" hidden="1">"A34334"</definedName>
    <definedName name="FDD_141_11" hidden="1">"A34699"</definedName>
    <definedName name="FDD_141_12" hidden="1">"A35064"</definedName>
    <definedName name="FDD_141_13" hidden="1">"A35430"</definedName>
    <definedName name="FDD_141_14" hidden="1">"A35795"</definedName>
    <definedName name="FDD_141_2" hidden="1">"A31412"</definedName>
    <definedName name="FDD_141_3" hidden="1">"A31777"</definedName>
    <definedName name="FDD_141_4" hidden="1">"A32142"</definedName>
    <definedName name="FDD_141_5" hidden="1">"A32508"</definedName>
    <definedName name="FDD_141_6" hidden="1">"A32873"</definedName>
    <definedName name="FDD_141_7" hidden="1">"A33238"</definedName>
    <definedName name="FDD_141_8" hidden="1">"A33603"</definedName>
    <definedName name="FDD_141_9" hidden="1">"A33969"</definedName>
    <definedName name="FDD_142_0" hidden="1">"A30681"</definedName>
    <definedName name="FDD_142_1" hidden="1">"A31047"</definedName>
    <definedName name="FDD_142_10" hidden="1">"A34334"</definedName>
    <definedName name="FDD_142_11" hidden="1">"A34699"</definedName>
    <definedName name="FDD_142_12" hidden="1">"A35064"</definedName>
    <definedName name="FDD_142_13" hidden="1">"A35430"</definedName>
    <definedName name="FDD_142_14" hidden="1">"A35795"</definedName>
    <definedName name="FDD_142_2" hidden="1">"A31412"</definedName>
    <definedName name="FDD_142_3" hidden="1">"A31777"</definedName>
    <definedName name="FDD_142_4" hidden="1">"A32142"</definedName>
    <definedName name="FDD_142_5" hidden="1">"A32508"</definedName>
    <definedName name="FDD_142_6" hidden="1">"A32873"</definedName>
    <definedName name="FDD_142_7" hidden="1">"A33238"</definedName>
    <definedName name="FDD_142_8" hidden="1">"A33603"</definedName>
    <definedName name="FDD_142_9" hidden="1">"A33969"</definedName>
    <definedName name="FDD_143_0" hidden="1">"A30681"</definedName>
    <definedName name="FDD_143_1" hidden="1">"A31047"</definedName>
    <definedName name="FDD_143_10" hidden="1">"A34334"</definedName>
    <definedName name="FDD_143_11" hidden="1">"A34699"</definedName>
    <definedName name="FDD_143_12" hidden="1">"A35064"</definedName>
    <definedName name="FDD_143_13" hidden="1">"A35430"</definedName>
    <definedName name="FDD_143_14" hidden="1">"A35795"</definedName>
    <definedName name="FDD_143_2" hidden="1">"A31412"</definedName>
    <definedName name="FDD_143_3" hidden="1">"A31777"</definedName>
    <definedName name="FDD_143_4" hidden="1">"A32142"</definedName>
    <definedName name="FDD_143_5" hidden="1">"A32508"</definedName>
    <definedName name="FDD_143_6" hidden="1">"A32873"</definedName>
    <definedName name="FDD_143_7" hidden="1">"A33238"</definedName>
    <definedName name="FDD_143_8" hidden="1">"A33603"</definedName>
    <definedName name="FDD_143_9" hidden="1">"A33969"</definedName>
    <definedName name="FDD_144_0" hidden="1">"A30681"</definedName>
    <definedName name="FDD_144_1" hidden="1">"A31047"</definedName>
    <definedName name="FDD_144_10" hidden="1">"A34334"</definedName>
    <definedName name="FDD_144_11" hidden="1">"A34699"</definedName>
    <definedName name="FDD_144_12" hidden="1">"A35064"</definedName>
    <definedName name="FDD_144_13" hidden="1">"A35430"</definedName>
    <definedName name="FDD_144_14" hidden="1">"A35795"</definedName>
    <definedName name="FDD_144_2" hidden="1">"A31412"</definedName>
    <definedName name="FDD_144_3" hidden="1">"A31777"</definedName>
    <definedName name="FDD_144_4" hidden="1">"A32142"</definedName>
    <definedName name="FDD_144_5" hidden="1">"A32508"</definedName>
    <definedName name="FDD_144_6" hidden="1">"A32873"</definedName>
    <definedName name="FDD_144_7" hidden="1">"A33238"</definedName>
    <definedName name="FDD_144_8" hidden="1">"A33603"</definedName>
    <definedName name="FDD_144_9" hidden="1">"A33969"</definedName>
    <definedName name="FDD_145_0" hidden="1">"A30681"</definedName>
    <definedName name="FDD_145_1" hidden="1">"A31047"</definedName>
    <definedName name="FDD_145_10" hidden="1">"A34334"</definedName>
    <definedName name="FDD_145_11" hidden="1">"A34699"</definedName>
    <definedName name="FDD_145_12" hidden="1">"A35064"</definedName>
    <definedName name="FDD_145_13" hidden="1">"A35430"</definedName>
    <definedName name="FDD_145_14" hidden="1">"A35795"</definedName>
    <definedName name="FDD_145_2" hidden="1">"A31412"</definedName>
    <definedName name="FDD_145_3" hidden="1">"A31777"</definedName>
    <definedName name="FDD_145_4" hidden="1">"A32142"</definedName>
    <definedName name="FDD_145_5" hidden="1">"A32508"</definedName>
    <definedName name="FDD_145_6" hidden="1">"A32873"</definedName>
    <definedName name="FDD_145_7" hidden="1">"A33238"</definedName>
    <definedName name="FDD_145_8" hidden="1">"A33603"</definedName>
    <definedName name="FDD_145_9" hidden="1">"A33969"</definedName>
    <definedName name="FDD_146_0" hidden="1">"A30681"</definedName>
    <definedName name="FDD_146_1" hidden="1">"A31047"</definedName>
    <definedName name="FDD_146_10" hidden="1">"A34334"</definedName>
    <definedName name="FDD_146_11" hidden="1">"A34699"</definedName>
    <definedName name="FDD_146_12" hidden="1">"A35064"</definedName>
    <definedName name="FDD_146_13" hidden="1">"A35430"</definedName>
    <definedName name="FDD_146_14" hidden="1">"A35795"</definedName>
    <definedName name="FDD_146_2" hidden="1">"A31412"</definedName>
    <definedName name="FDD_146_3" hidden="1">"A31777"</definedName>
    <definedName name="FDD_146_4" hidden="1">"A32142"</definedName>
    <definedName name="FDD_146_5" hidden="1">"A32508"</definedName>
    <definedName name="FDD_146_6" hidden="1">"A32873"</definedName>
    <definedName name="FDD_146_7" hidden="1">"A33238"</definedName>
    <definedName name="FDD_146_8" hidden="1">"A33603"</definedName>
    <definedName name="FDD_146_9" hidden="1">"A33969"</definedName>
    <definedName name="FDD_147_0" hidden="1">"U30681"</definedName>
    <definedName name="FDD_147_1" hidden="1">"U31047"</definedName>
    <definedName name="FDD_147_10" hidden="1">"U34334"</definedName>
    <definedName name="FDD_147_11" hidden="1">"U34699"</definedName>
    <definedName name="FDD_147_12" hidden="1">"U35064"</definedName>
    <definedName name="FDD_147_13" hidden="1">"U35430"</definedName>
    <definedName name="FDD_147_14" hidden="1">"U35795"</definedName>
    <definedName name="FDD_147_2" hidden="1">"U31412"</definedName>
    <definedName name="FDD_147_3" hidden="1">"U31777"</definedName>
    <definedName name="FDD_147_4" hidden="1">"U32142"</definedName>
    <definedName name="FDD_147_5" hidden="1">"U32508"</definedName>
    <definedName name="FDD_147_6" hidden="1">"U32873"</definedName>
    <definedName name="FDD_147_7" hidden="1">"U33238"</definedName>
    <definedName name="FDD_147_8" hidden="1">"U33603"</definedName>
    <definedName name="FDD_147_9" hidden="1">"U33969"</definedName>
    <definedName name="FDD_148_0" hidden="1">"A30681"</definedName>
    <definedName name="FDD_148_1" hidden="1">"A31047"</definedName>
    <definedName name="FDD_148_10" hidden="1">"A34334"</definedName>
    <definedName name="FDD_148_11" hidden="1">"A34699"</definedName>
    <definedName name="FDD_148_12" hidden="1">"A35064"</definedName>
    <definedName name="FDD_148_13" hidden="1">"A35430"</definedName>
    <definedName name="FDD_148_14" hidden="1">"A35795"</definedName>
    <definedName name="FDD_148_2" hidden="1">"A31412"</definedName>
    <definedName name="FDD_148_3" hidden="1">"A31777"</definedName>
    <definedName name="FDD_148_4" hidden="1">"A32142"</definedName>
    <definedName name="FDD_148_5" hidden="1">"A32508"</definedName>
    <definedName name="FDD_148_6" hidden="1">"A32873"</definedName>
    <definedName name="FDD_148_7" hidden="1">"A33238"</definedName>
    <definedName name="FDD_148_8" hidden="1">"A33603"</definedName>
    <definedName name="FDD_148_9" hidden="1">"A33969"</definedName>
    <definedName name="FDD_149_0" hidden="1">"U30681"</definedName>
    <definedName name="FDD_149_1" hidden="1">"U31047"</definedName>
    <definedName name="FDD_149_10" hidden="1">"U34334"</definedName>
    <definedName name="FDD_149_11" hidden="1">"U34699"</definedName>
    <definedName name="FDD_149_12" hidden="1">"U35064"</definedName>
    <definedName name="FDD_149_13" hidden="1">"U35430"</definedName>
    <definedName name="FDD_149_14" hidden="1">"A35795"</definedName>
    <definedName name="FDD_149_2" hidden="1">"U31412"</definedName>
    <definedName name="FDD_149_3" hidden="1">"U31777"</definedName>
    <definedName name="FDD_149_4" hidden="1">"U32142"</definedName>
    <definedName name="FDD_149_5" hidden="1">"U32508"</definedName>
    <definedName name="FDD_149_6" hidden="1">"U32873"</definedName>
    <definedName name="FDD_149_7" hidden="1">"U33238"</definedName>
    <definedName name="FDD_149_8" hidden="1">"U33603"</definedName>
    <definedName name="FDD_149_9" hidden="1">"U33969"</definedName>
    <definedName name="FDD_15_0" hidden="1">"A25569"</definedName>
    <definedName name="FDD_151_0" hidden="1">"A30681"</definedName>
    <definedName name="FDD_151_1" hidden="1">"A31047"</definedName>
    <definedName name="FDD_151_10" hidden="1">"A34334"</definedName>
    <definedName name="FDD_151_11" hidden="1">"A34699"</definedName>
    <definedName name="FDD_151_12" hidden="1">"A35064"</definedName>
    <definedName name="FDD_151_13" hidden="1">"A35430"</definedName>
    <definedName name="FDD_151_14" hidden="1">"A35795"</definedName>
    <definedName name="FDD_151_2" hidden="1">"A31412"</definedName>
    <definedName name="FDD_151_3" hidden="1">"A31777"</definedName>
    <definedName name="FDD_151_4" hidden="1">"A32142"</definedName>
    <definedName name="FDD_151_5" hidden="1">"A32508"</definedName>
    <definedName name="FDD_151_6" hidden="1">"A32873"</definedName>
    <definedName name="FDD_151_7" hidden="1">"A33238"</definedName>
    <definedName name="FDD_151_8" hidden="1">"A33603"</definedName>
    <definedName name="FDD_151_9" hidden="1">"A33969"</definedName>
    <definedName name="FDD_152_0" hidden="1">"A30681"</definedName>
    <definedName name="FDD_152_1" hidden="1">"A31047"</definedName>
    <definedName name="FDD_152_10" hidden="1">"A34334"</definedName>
    <definedName name="FDD_152_11" hidden="1">"A34699"</definedName>
    <definedName name="FDD_152_12" hidden="1">"A35064"</definedName>
    <definedName name="FDD_152_13" hidden="1">"A35430"</definedName>
    <definedName name="FDD_152_14" hidden="1">"A35795"</definedName>
    <definedName name="FDD_152_15" hidden="1">"E36160"</definedName>
    <definedName name="FDD_152_2" hidden="1">"A31412"</definedName>
    <definedName name="FDD_152_3" hidden="1">"A31777"</definedName>
    <definedName name="FDD_152_4" hidden="1">"A32142"</definedName>
    <definedName name="FDD_152_5" hidden="1">"A32508"</definedName>
    <definedName name="FDD_152_6" hidden="1">"A32873"</definedName>
    <definedName name="FDD_152_7" hidden="1">"A33238"</definedName>
    <definedName name="FDD_152_8" hidden="1">"A33603"</definedName>
    <definedName name="FDD_152_9" hidden="1">"A33969"</definedName>
    <definedName name="FDD_153_0" hidden="1">"A30681"</definedName>
    <definedName name="FDD_153_1" hidden="1">"A31047"</definedName>
    <definedName name="FDD_153_10" hidden="1">"A34334"</definedName>
    <definedName name="FDD_153_11" hidden="1">"A34699"</definedName>
    <definedName name="FDD_153_12" hidden="1">"A35064"</definedName>
    <definedName name="FDD_153_13" hidden="1">"A35430"</definedName>
    <definedName name="FDD_153_14" hidden="1">"A35795"</definedName>
    <definedName name="FDD_153_2" hidden="1">"A31412"</definedName>
    <definedName name="FDD_153_3" hidden="1">"A31777"</definedName>
    <definedName name="FDD_153_4" hidden="1">"A32142"</definedName>
    <definedName name="FDD_153_5" hidden="1">"A32508"</definedName>
    <definedName name="FDD_153_6" hidden="1">"A32873"</definedName>
    <definedName name="FDD_153_7" hidden="1">"A33238"</definedName>
    <definedName name="FDD_153_8" hidden="1">"A33603"</definedName>
    <definedName name="FDD_153_9" hidden="1">"A33969"</definedName>
    <definedName name="FDD_154_0" hidden="1">"A30681"</definedName>
    <definedName name="FDD_154_1" hidden="1">"A31047"</definedName>
    <definedName name="FDD_154_10" hidden="1">"A34334"</definedName>
    <definedName name="FDD_154_11" hidden="1">"A34699"</definedName>
    <definedName name="FDD_154_12" hidden="1">"A35064"</definedName>
    <definedName name="FDD_154_13" hidden="1">"A35430"</definedName>
    <definedName name="FDD_154_14" hidden="1">"A35795"</definedName>
    <definedName name="FDD_154_2" hidden="1">"A31412"</definedName>
    <definedName name="FDD_154_3" hidden="1">"A31777"</definedName>
    <definedName name="FDD_154_4" hidden="1">"A32142"</definedName>
    <definedName name="FDD_154_5" hidden="1">"A32508"</definedName>
    <definedName name="FDD_154_6" hidden="1">"A32873"</definedName>
    <definedName name="FDD_154_7" hidden="1">"A33238"</definedName>
    <definedName name="FDD_154_8" hidden="1">"A33603"</definedName>
    <definedName name="FDD_154_9" hidden="1">"A33969"</definedName>
    <definedName name="FDD_155_0" hidden="1">"A25569"</definedName>
    <definedName name="FDD_156_0" hidden="1">"A30681"</definedName>
    <definedName name="FDD_156_1" hidden="1">"A31047"</definedName>
    <definedName name="FDD_156_10" hidden="1">"A34334"</definedName>
    <definedName name="FDD_156_11" hidden="1">"A34699"</definedName>
    <definedName name="FDD_156_12" hidden="1">"A35064"</definedName>
    <definedName name="FDD_156_13" hidden="1">"A35430"</definedName>
    <definedName name="FDD_156_14" hidden="1">"A35795"</definedName>
    <definedName name="FDD_156_15" hidden="1">"E36160"</definedName>
    <definedName name="FDD_156_2" hidden="1">"A31412"</definedName>
    <definedName name="FDD_156_3" hidden="1">"A31777"</definedName>
    <definedName name="FDD_156_4" hidden="1">"A32142"</definedName>
    <definedName name="FDD_156_5" hidden="1">"A32508"</definedName>
    <definedName name="FDD_156_6" hidden="1">"A32873"</definedName>
    <definedName name="FDD_156_7" hidden="1">"A33238"</definedName>
    <definedName name="FDD_156_8" hidden="1">"A33603"</definedName>
    <definedName name="FDD_156_9" hidden="1">"A33969"</definedName>
    <definedName name="FDD_157_0" hidden="1">"A30681"</definedName>
    <definedName name="FDD_157_1" hidden="1">"A31047"</definedName>
    <definedName name="FDD_157_10" hidden="1">"A34334"</definedName>
    <definedName name="FDD_157_11" hidden="1">"A34699"</definedName>
    <definedName name="FDD_157_12" hidden="1">"A35064"</definedName>
    <definedName name="FDD_157_13" hidden="1">"A35430"</definedName>
    <definedName name="FDD_157_14" hidden="1">"A35795"</definedName>
    <definedName name="FDD_157_2" hidden="1">"A31412"</definedName>
    <definedName name="FDD_157_3" hidden="1">"A31777"</definedName>
    <definedName name="FDD_157_4" hidden="1">"A32142"</definedName>
    <definedName name="FDD_157_5" hidden="1">"A32508"</definedName>
    <definedName name="FDD_157_6" hidden="1">"A32873"</definedName>
    <definedName name="FDD_157_7" hidden="1">"A33238"</definedName>
    <definedName name="FDD_157_8" hidden="1">"A33603"</definedName>
    <definedName name="FDD_157_9" hidden="1">"A33969"</definedName>
    <definedName name="FDD_158_0" hidden="1">"A30681"</definedName>
    <definedName name="FDD_158_1" hidden="1">"A31047"</definedName>
    <definedName name="FDD_158_10" hidden="1">"A34334"</definedName>
    <definedName name="FDD_158_11" hidden="1">"A34699"</definedName>
    <definedName name="FDD_158_12" hidden="1">"A35064"</definedName>
    <definedName name="FDD_158_13" hidden="1">"A35430"</definedName>
    <definedName name="FDD_158_14" hidden="1">"A35795"</definedName>
    <definedName name="FDD_158_15" hidden="1">"E36160"</definedName>
    <definedName name="FDD_158_2" hidden="1">"A31412"</definedName>
    <definedName name="FDD_158_3" hidden="1">"A31777"</definedName>
    <definedName name="FDD_158_4" hidden="1">"A32142"</definedName>
    <definedName name="FDD_158_5" hidden="1">"A32508"</definedName>
    <definedName name="FDD_158_6" hidden="1">"A32873"</definedName>
    <definedName name="FDD_158_7" hidden="1">"A33238"</definedName>
    <definedName name="FDD_158_8" hidden="1">"A33603"</definedName>
    <definedName name="FDD_158_9" hidden="1">"A33969"</definedName>
    <definedName name="FDD_159_0" hidden="1">"A30681"</definedName>
    <definedName name="FDD_159_1" hidden="1">"A31047"</definedName>
    <definedName name="FDD_159_10" hidden="1">"A34334"</definedName>
    <definedName name="FDD_159_11" hidden="1">"A34699"</definedName>
    <definedName name="FDD_159_12" hidden="1">"A35064"</definedName>
    <definedName name="FDD_159_13" hidden="1">"A35430"</definedName>
    <definedName name="FDD_159_14" hidden="1">"A35795"</definedName>
    <definedName name="FDD_159_2" hidden="1">"A31412"</definedName>
    <definedName name="FDD_159_3" hidden="1">"A31777"</definedName>
    <definedName name="FDD_159_4" hidden="1">"A32142"</definedName>
    <definedName name="FDD_159_5" hidden="1">"A32508"</definedName>
    <definedName name="FDD_159_6" hidden="1">"A32873"</definedName>
    <definedName name="FDD_159_7" hidden="1">"A33238"</definedName>
    <definedName name="FDD_159_8" hidden="1">"A33603"</definedName>
    <definedName name="FDD_159_9" hidden="1">"A33969"</definedName>
    <definedName name="FDD_16_0" hidden="1">"A25569"</definedName>
    <definedName name="FDD_160_0" hidden="1">"A30681"</definedName>
    <definedName name="FDD_160_1" hidden="1">"A31047"</definedName>
    <definedName name="FDD_160_10" hidden="1">"A34334"</definedName>
    <definedName name="FDD_160_11" hidden="1">"A34699"</definedName>
    <definedName name="FDD_160_12" hidden="1">"A35064"</definedName>
    <definedName name="FDD_160_13" hidden="1">"A35430"</definedName>
    <definedName name="FDD_160_14" hidden="1">"A35795"</definedName>
    <definedName name="FDD_160_15" hidden="1">"E36160"</definedName>
    <definedName name="FDD_160_2" hidden="1">"A31412"</definedName>
    <definedName name="FDD_160_3" hidden="1">"A31777"</definedName>
    <definedName name="FDD_160_4" hidden="1">"A32142"</definedName>
    <definedName name="FDD_160_5" hidden="1">"A32508"</definedName>
    <definedName name="FDD_160_6" hidden="1">"A32873"</definedName>
    <definedName name="FDD_160_7" hidden="1">"A33238"</definedName>
    <definedName name="FDD_160_8" hidden="1">"A33603"</definedName>
    <definedName name="FDD_160_9" hidden="1">"A33969"</definedName>
    <definedName name="FDD_161_0" hidden="1">"A30681"</definedName>
    <definedName name="FDD_161_1" hidden="1">"A31047"</definedName>
    <definedName name="FDD_161_10" hidden="1">"A34334"</definedName>
    <definedName name="FDD_161_11" hidden="1">"A34699"</definedName>
    <definedName name="FDD_161_12" hidden="1">"A35064"</definedName>
    <definedName name="FDD_161_13" hidden="1">"A35430"</definedName>
    <definedName name="FDD_161_14" hidden="1">"A35795"</definedName>
    <definedName name="FDD_161_2" hidden="1">"A31412"</definedName>
    <definedName name="FDD_161_3" hidden="1">"A31777"</definedName>
    <definedName name="FDD_161_4" hidden="1">"A32142"</definedName>
    <definedName name="FDD_161_5" hidden="1">"A32508"</definedName>
    <definedName name="FDD_161_6" hidden="1">"A32873"</definedName>
    <definedName name="FDD_161_7" hidden="1">"A33238"</definedName>
    <definedName name="FDD_161_8" hidden="1">"A33603"</definedName>
    <definedName name="FDD_161_9" hidden="1">"A33969"</definedName>
    <definedName name="FDD_162_0" hidden="1">"A30681"</definedName>
    <definedName name="FDD_162_1" hidden="1">"A31047"</definedName>
    <definedName name="FDD_162_10" hidden="1">"A34334"</definedName>
    <definedName name="FDD_162_11" hidden="1">"A34699"</definedName>
    <definedName name="FDD_162_12" hidden="1">"A35064"</definedName>
    <definedName name="FDD_162_13" hidden="1">"A35430"</definedName>
    <definedName name="FDD_162_14" hidden="1">"A35795"</definedName>
    <definedName name="FDD_162_2" hidden="1">"A31412"</definedName>
    <definedName name="FDD_162_3" hidden="1">"A31777"</definedName>
    <definedName name="FDD_162_4" hidden="1">"A32142"</definedName>
    <definedName name="FDD_162_5" hidden="1">"A32508"</definedName>
    <definedName name="FDD_162_6" hidden="1">"A32873"</definedName>
    <definedName name="FDD_162_7" hidden="1">"A33238"</definedName>
    <definedName name="FDD_162_8" hidden="1">"A33603"</definedName>
    <definedName name="FDD_162_9" hidden="1">"A33969"</definedName>
    <definedName name="FDD_163_0" hidden="1">"A30681"</definedName>
    <definedName name="FDD_163_1" hidden="1">"A31047"</definedName>
    <definedName name="FDD_163_10" hidden="1">"A34334"</definedName>
    <definedName name="FDD_163_11" hidden="1">"A34699"</definedName>
    <definedName name="FDD_163_12" hidden="1">"A35064"</definedName>
    <definedName name="FDD_163_13" hidden="1">"A35430"</definedName>
    <definedName name="FDD_163_14" hidden="1">"A35795"</definedName>
    <definedName name="FDD_163_2" hidden="1">"A31412"</definedName>
    <definedName name="FDD_163_3" hidden="1">"A31777"</definedName>
    <definedName name="FDD_163_4" hidden="1">"A32142"</definedName>
    <definedName name="FDD_163_5" hidden="1">"A32508"</definedName>
    <definedName name="FDD_163_6" hidden="1">"A32873"</definedName>
    <definedName name="FDD_163_7" hidden="1">"A33238"</definedName>
    <definedName name="FDD_163_8" hidden="1">"A33603"</definedName>
    <definedName name="FDD_163_9" hidden="1">"A33969"</definedName>
    <definedName name="FDD_164_0" hidden="1">"A25569"</definedName>
    <definedName name="FDD_165_0" hidden="1">"A30681"</definedName>
    <definedName name="FDD_165_1" hidden="1">"A31047"</definedName>
    <definedName name="FDD_165_10" hidden="1">"A34334"</definedName>
    <definedName name="FDD_165_11" hidden="1">"A34699"</definedName>
    <definedName name="FDD_165_12" hidden="1">"A35064"</definedName>
    <definedName name="FDD_165_13" hidden="1">"A35430"</definedName>
    <definedName name="FDD_165_14" hidden="1">"A35795"</definedName>
    <definedName name="FDD_165_2" hidden="1">"A31412"</definedName>
    <definedName name="FDD_165_3" hidden="1">"A31777"</definedName>
    <definedName name="FDD_165_4" hidden="1">"A32142"</definedName>
    <definedName name="FDD_165_5" hidden="1">"A32508"</definedName>
    <definedName name="FDD_165_6" hidden="1">"A32873"</definedName>
    <definedName name="FDD_165_7" hidden="1">"A33238"</definedName>
    <definedName name="FDD_165_8" hidden="1">"A33603"</definedName>
    <definedName name="FDD_165_9" hidden="1">"A33969"</definedName>
    <definedName name="FDD_166_0" hidden="1">"A30681"</definedName>
    <definedName name="FDD_166_1" hidden="1">"A31047"</definedName>
    <definedName name="FDD_166_10" hidden="1">"A34334"</definedName>
    <definedName name="FDD_166_11" hidden="1">"A34699"</definedName>
    <definedName name="FDD_166_12" hidden="1">"A35064"</definedName>
    <definedName name="FDD_166_13" hidden="1">"A35430"</definedName>
    <definedName name="FDD_166_14" hidden="1">"A35795"</definedName>
    <definedName name="FDD_166_2" hidden="1">"A31412"</definedName>
    <definedName name="FDD_166_3" hidden="1">"A31777"</definedName>
    <definedName name="FDD_166_4" hidden="1">"A32142"</definedName>
    <definedName name="FDD_166_5" hidden="1">"A32508"</definedName>
    <definedName name="FDD_166_6" hidden="1">"A32873"</definedName>
    <definedName name="FDD_166_7" hidden="1">"A33238"</definedName>
    <definedName name="FDD_166_8" hidden="1">"A33603"</definedName>
    <definedName name="FDD_166_9" hidden="1">"A33969"</definedName>
    <definedName name="FDD_167_0" hidden="1">"A30681"</definedName>
    <definedName name="FDD_167_1" hidden="1">"A31047"</definedName>
    <definedName name="FDD_167_10" hidden="1">"A34334"</definedName>
    <definedName name="FDD_167_11" hidden="1">"A34699"</definedName>
    <definedName name="FDD_167_12" hidden="1">"A35064"</definedName>
    <definedName name="FDD_167_13" hidden="1">"A35430"</definedName>
    <definedName name="FDD_167_14" hidden="1">"A35795"</definedName>
    <definedName name="FDD_167_2" hidden="1">"A31412"</definedName>
    <definedName name="FDD_167_3" hidden="1">"A31777"</definedName>
    <definedName name="FDD_167_4" hidden="1">"A32142"</definedName>
    <definedName name="FDD_167_5" hidden="1">"A32508"</definedName>
    <definedName name="FDD_167_6" hidden="1">"A32873"</definedName>
    <definedName name="FDD_167_7" hidden="1">"A33238"</definedName>
    <definedName name="FDD_167_8" hidden="1">"A33603"</definedName>
    <definedName name="FDD_167_9" hidden="1">"A33969"</definedName>
    <definedName name="FDD_168_0" hidden="1">"E36160"</definedName>
    <definedName name="FDD_168_1" hidden="1">"E36525"</definedName>
    <definedName name="FDD_168_2" hidden="1">"E36891"</definedName>
    <definedName name="FDD_169_0" hidden="1">"A30681"</definedName>
    <definedName name="FDD_169_1" hidden="1">"A31047"</definedName>
    <definedName name="FDD_169_10" hidden="1">"A34334"</definedName>
    <definedName name="FDD_169_11" hidden="1">"A34699"</definedName>
    <definedName name="FDD_169_12" hidden="1">"A35064"</definedName>
    <definedName name="FDD_169_13" hidden="1">"A35430"</definedName>
    <definedName name="FDD_169_14" hidden="1">"A35795"</definedName>
    <definedName name="FDD_169_2" hidden="1">"A31412"</definedName>
    <definedName name="FDD_169_3" hidden="1">"A31777"</definedName>
    <definedName name="FDD_169_4" hidden="1">"A32142"</definedName>
    <definedName name="FDD_169_5" hidden="1">"A32508"</definedName>
    <definedName name="FDD_169_6" hidden="1">"A32873"</definedName>
    <definedName name="FDD_169_7" hidden="1">"A33238"</definedName>
    <definedName name="FDD_169_8" hidden="1">"A33603"</definedName>
    <definedName name="FDD_169_9" hidden="1">"A33969"</definedName>
    <definedName name="FDD_17_0" hidden="1">"A25569"</definedName>
    <definedName name="FDD_170_0" hidden="1">"A30681"</definedName>
    <definedName name="FDD_170_1" hidden="1">"A31047"</definedName>
    <definedName name="FDD_170_10" hidden="1">"A34334"</definedName>
    <definedName name="FDD_170_11" hidden="1">"A34699"</definedName>
    <definedName name="FDD_170_12" hidden="1">"A35064"</definedName>
    <definedName name="FDD_170_13" hidden="1">"A35430"</definedName>
    <definedName name="FDD_170_14" hidden="1">"A35795"</definedName>
    <definedName name="FDD_170_2" hidden="1">"A31412"</definedName>
    <definedName name="FDD_170_3" hidden="1">"A31777"</definedName>
    <definedName name="FDD_170_4" hidden="1">"A32142"</definedName>
    <definedName name="FDD_170_5" hidden="1">"A32508"</definedName>
    <definedName name="FDD_170_6" hidden="1">"A32873"</definedName>
    <definedName name="FDD_170_7" hidden="1">"A33238"</definedName>
    <definedName name="FDD_170_8" hidden="1">"A33603"</definedName>
    <definedName name="FDD_170_9" hidden="1">"A33969"</definedName>
    <definedName name="FDD_171_0" hidden="1">"A30681"</definedName>
    <definedName name="FDD_171_1" hidden="1">"A31047"</definedName>
    <definedName name="FDD_171_10" hidden="1">"A34334"</definedName>
    <definedName name="FDD_171_11" hidden="1">"A34699"</definedName>
    <definedName name="FDD_171_12" hidden="1">"A35064"</definedName>
    <definedName name="FDD_171_13" hidden="1">"A35430"</definedName>
    <definedName name="FDD_171_14" hidden="1">"A35795"</definedName>
    <definedName name="FDD_171_2" hidden="1">"A31412"</definedName>
    <definedName name="FDD_171_3" hidden="1">"A31777"</definedName>
    <definedName name="FDD_171_4" hidden="1">"A32142"</definedName>
    <definedName name="FDD_171_5" hidden="1">"A32508"</definedName>
    <definedName name="FDD_171_6" hidden="1">"A32873"</definedName>
    <definedName name="FDD_171_7" hidden="1">"A33238"</definedName>
    <definedName name="FDD_171_8" hidden="1">"A33603"</definedName>
    <definedName name="FDD_171_9" hidden="1">"A33969"</definedName>
    <definedName name="FDD_172_0" hidden="1">"A30681"</definedName>
    <definedName name="FDD_172_1" hidden="1">"A31047"</definedName>
    <definedName name="FDD_172_10" hidden="1">"A34334"</definedName>
    <definedName name="FDD_172_11" hidden="1">"A34699"</definedName>
    <definedName name="FDD_172_12" hidden="1">"A35064"</definedName>
    <definedName name="FDD_172_13" hidden="1">"A35430"</definedName>
    <definedName name="FDD_172_14" hidden="1">"A35795"</definedName>
    <definedName name="FDD_172_2" hidden="1">"A31412"</definedName>
    <definedName name="FDD_172_3" hidden="1">"A31777"</definedName>
    <definedName name="FDD_172_4" hidden="1">"A32142"</definedName>
    <definedName name="FDD_172_5" hidden="1">"A32508"</definedName>
    <definedName name="FDD_172_6" hidden="1">"A32873"</definedName>
    <definedName name="FDD_172_7" hidden="1">"A33238"</definedName>
    <definedName name="FDD_172_8" hidden="1">"A33603"</definedName>
    <definedName name="FDD_172_9" hidden="1">"A33969"</definedName>
    <definedName name="FDD_173_0" hidden="1">"A30681"</definedName>
    <definedName name="FDD_173_1" hidden="1">"A31047"</definedName>
    <definedName name="FDD_173_10" hidden="1">"A34334"</definedName>
    <definedName name="FDD_173_11" hidden="1">"A34699"</definedName>
    <definedName name="FDD_173_12" hidden="1">"A35064"</definedName>
    <definedName name="FDD_173_13" hidden="1">"A35430"</definedName>
    <definedName name="FDD_173_14" hidden="1">"A35795"</definedName>
    <definedName name="FDD_173_2" hidden="1">"A31412"</definedName>
    <definedName name="FDD_173_3" hidden="1">"A31777"</definedName>
    <definedName name="FDD_173_4" hidden="1">"A32142"</definedName>
    <definedName name="FDD_173_5" hidden="1">"A32508"</definedName>
    <definedName name="FDD_173_6" hidden="1">"A32873"</definedName>
    <definedName name="FDD_173_7" hidden="1">"A33238"</definedName>
    <definedName name="FDD_173_8" hidden="1">"A33603"</definedName>
    <definedName name="FDD_173_9" hidden="1">"A33969"</definedName>
    <definedName name="FDD_174_0" hidden="1">"A30681"</definedName>
    <definedName name="FDD_174_1" hidden="1">"A31047"</definedName>
    <definedName name="FDD_174_10" hidden="1">"A34334"</definedName>
    <definedName name="FDD_174_11" hidden="1">"A34699"</definedName>
    <definedName name="FDD_174_12" hidden="1">"A35064"</definedName>
    <definedName name="FDD_174_13" hidden="1">"A35430"</definedName>
    <definedName name="FDD_174_14" hidden="1">"A35795"</definedName>
    <definedName name="FDD_174_2" hidden="1">"A31412"</definedName>
    <definedName name="FDD_174_3" hidden="1">"A31777"</definedName>
    <definedName name="FDD_174_4" hidden="1">"A32142"</definedName>
    <definedName name="FDD_174_5" hidden="1">"A32508"</definedName>
    <definedName name="FDD_174_6" hidden="1">"A32873"</definedName>
    <definedName name="FDD_174_7" hidden="1">"A33238"</definedName>
    <definedName name="FDD_174_8" hidden="1">"A33603"</definedName>
    <definedName name="FDD_174_9" hidden="1">"A33969"</definedName>
    <definedName name="FDD_175_0" hidden="1">"E36160"</definedName>
    <definedName name="FDD_175_1" hidden="1">"E36525"</definedName>
    <definedName name="FDD_175_2" hidden="1">"E36891"</definedName>
    <definedName name="FDD_176_0" hidden="1">"E36160"</definedName>
    <definedName name="FDD_176_1" hidden="1">"E36525"</definedName>
    <definedName name="FDD_176_2" hidden="1">"E36891"</definedName>
    <definedName name="FDD_177_0" hidden="1">"E36160"</definedName>
    <definedName name="FDD_177_1" hidden="1">"E36525"</definedName>
    <definedName name="FDD_177_2" hidden="1">"E36891"</definedName>
    <definedName name="FDD_178_0" hidden="1">"E36160"</definedName>
    <definedName name="FDD_178_1" hidden="1">"E36525"</definedName>
    <definedName name="FDD_178_2" hidden="1">"E36891"</definedName>
    <definedName name="FDD_179_0" hidden="1">"E36160"</definedName>
    <definedName name="FDD_179_1" hidden="1">"E36525"</definedName>
    <definedName name="FDD_179_2" hidden="1">"E36891"</definedName>
    <definedName name="FDD_18_0" hidden="1">"A25569"</definedName>
    <definedName name="FDD_180_0" hidden="1">"E36160"</definedName>
    <definedName name="FDD_180_1" hidden="1">"E36525"</definedName>
    <definedName name="FDD_180_2" hidden="1">"E36891"</definedName>
    <definedName name="FDD_181_0" hidden="1">"E36160"</definedName>
    <definedName name="FDD_181_1" hidden="1">"E36525"</definedName>
    <definedName name="FDD_181_2" hidden="1">"E36891"</definedName>
    <definedName name="FDD_182_0" hidden="1">"E36160"</definedName>
    <definedName name="FDD_182_1" hidden="1">"E36525"</definedName>
    <definedName name="FDD_182_2" hidden="1">"E36891"</definedName>
    <definedName name="FDD_183_0" hidden="1">"E36160"</definedName>
    <definedName name="FDD_183_1" hidden="1">"E36525"</definedName>
    <definedName name="FDD_183_2" hidden="1">"E36891"</definedName>
    <definedName name="FDD_184_0" hidden="1">"E36160"</definedName>
    <definedName name="FDD_184_1" hidden="1">"E36525"</definedName>
    <definedName name="FDD_184_2" hidden="1">"E36891"</definedName>
    <definedName name="FDD_185_0" hidden="1">"E36160"</definedName>
    <definedName name="FDD_185_1" hidden="1">"E36525"</definedName>
    <definedName name="FDD_185_2" hidden="1">"E36891"</definedName>
    <definedName name="FDD_186_0" hidden="1">"E36160"</definedName>
    <definedName name="FDD_186_1" hidden="1">"E36525"</definedName>
    <definedName name="FDD_186_2" hidden="1">"E36891"</definedName>
    <definedName name="FDD_187_0" hidden="1">"E36160"</definedName>
    <definedName name="FDD_187_1" hidden="1">"E36525"</definedName>
    <definedName name="FDD_187_2" hidden="1">"E36891"</definedName>
    <definedName name="FDD_188_0" hidden="1">"A30681"</definedName>
    <definedName name="FDD_188_1" hidden="1">"A31047"</definedName>
    <definedName name="FDD_188_10" hidden="1">"A34334"</definedName>
    <definedName name="FDD_188_11" hidden="1">"A34699"</definedName>
    <definedName name="FDD_188_12" hidden="1">"A35064"</definedName>
    <definedName name="FDD_188_13" hidden="1">"A35430"</definedName>
    <definedName name="FDD_188_14" hidden="1">"A35795"</definedName>
    <definedName name="FDD_188_2" hidden="1">"A31412"</definedName>
    <definedName name="FDD_188_3" hidden="1">"A31777"</definedName>
    <definedName name="FDD_188_4" hidden="1">"A32142"</definedName>
    <definedName name="FDD_188_5" hidden="1">"A32508"</definedName>
    <definedName name="FDD_188_6" hidden="1">"A32873"</definedName>
    <definedName name="FDD_188_7" hidden="1">"A33238"</definedName>
    <definedName name="FDD_188_8" hidden="1">"A33603"</definedName>
    <definedName name="FDD_188_9" hidden="1">"A33969"</definedName>
    <definedName name="FDD_189_0" hidden="1">"A30681"</definedName>
    <definedName name="FDD_189_1" hidden="1">"A31047"</definedName>
    <definedName name="FDD_189_10" hidden="1">"A34334"</definedName>
    <definedName name="FDD_189_11" hidden="1">"A34699"</definedName>
    <definedName name="FDD_189_12" hidden="1">"A35064"</definedName>
    <definedName name="FDD_189_13" hidden="1">"A35430"</definedName>
    <definedName name="FDD_189_14" hidden="1">"A35795"</definedName>
    <definedName name="FDD_189_2" hidden="1">"A31412"</definedName>
    <definedName name="FDD_189_3" hidden="1">"A31777"</definedName>
    <definedName name="FDD_189_4" hidden="1">"A32142"</definedName>
    <definedName name="FDD_189_5" hidden="1">"A32508"</definedName>
    <definedName name="FDD_189_6" hidden="1">"A32873"</definedName>
    <definedName name="FDD_189_7" hidden="1">"A33238"</definedName>
    <definedName name="FDD_189_8" hidden="1">"A33603"</definedName>
    <definedName name="FDD_189_9" hidden="1">"A33969"</definedName>
    <definedName name="FDD_19_0" hidden="1">"A25569"</definedName>
    <definedName name="FDD_190_0" hidden="1">"A30681"</definedName>
    <definedName name="FDD_190_1" hidden="1">"A31047"</definedName>
    <definedName name="FDD_190_10" hidden="1">"A34334"</definedName>
    <definedName name="FDD_190_11" hidden="1">"A34699"</definedName>
    <definedName name="FDD_190_12" hidden="1">"A35064"</definedName>
    <definedName name="FDD_190_13" hidden="1">"A35430"</definedName>
    <definedName name="FDD_190_14" hidden="1">"A35795"</definedName>
    <definedName name="FDD_190_2" hidden="1">"A31412"</definedName>
    <definedName name="FDD_190_3" hidden="1">"A31777"</definedName>
    <definedName name="FDD_190_4" hidden="1">"A32142"</definedName>
    <definedName name="FDD_190_5" hidden="1">"A32508"</definedName>
    <definedName name="FDD_190_6" hidden="1">"A32873"</definedName>
    <definedName name="FDD_190_7" hidden="1">"A33238"</definedName>
    <definedName name="FDD_190_8" hidden="1">"A33603"</definedName>
    <definedName name="FDD_190_9" hidden="1">"A33969"</definedName>
    <definedName name="FDD_191_0" hidden="1">"A30681"</definedName>
    <definedName name="FDD_191_1" hidden="1">"A31047"</definedName>
    <definedName name="FDD_191_10" hidden="1">"A34334"</definedName>
    <definedName name="FDD_191_11" hidden="1">"A34699"</definedName>
    <definedName name="FDD_191_12" hidden="1">"A35064"</definedName>
    <definedName name="FDD_191_13" hidden="1">"A35430"</definedName>
    <definedName name="FDD_191_14" hidden="1">"A35795"</definedName>
    <definedName name="FDD_191_2" hidden="1">"A31412"</definedName>
    <definedName name="FDD_191_3" hidden="1">"A31777"</definedName>
    <definedName name="FDD_191_4" hidden="1">"A32142"</definedName>
    <definedName name="FDD_191_5" hidden="1">"A32508"</definedName>
    <definedName name="FDD_191_6" hidden="1">"A32873"</definedName>
    <definedName name="FDD_191_7" hidden="1">"A33238"</definedName>
    <definedName name="FDD_191_8" hidden="1">"A33603"</definedName>
    <definedName name="FDD_191_9" hidden="1">"A33969"</definedName>
    <definedName name="FDD_192_0" hidden="1">"E36160"</definedName>
    <definedName name="FDD_192_1" hidden="1">"E36525"</definedName>
    <definedName name="FDD_192_2" hidden="1">"E36891"</definedName>
    <definedName name="FDD_193_0" hidden="1">"A30681"</definedName>
    <definedName name="FDD_193_1" hidden="1">"A31047"</definedName>
    <definedName name="FDD_193_10" hidden="1">"A34334"</definedName>
    <definedName name="FDD_193_11" hidden="1">"A34699"</definedName>
    <definedName name="FDD_193_12" hidden="1">"A35064"</definedName>
    <definedName name="FDD_193_13" hidden="1">"A35430"</definedName>
    <definedName name="FDD_193_14" hidden="1">"A35795"</definedName>
    <definedName name="FDD_193_2" hidden="1">"A31412"</definedName>
    <definedName name="FDD_193_3" hidden="1">"A31777"</definedName>
    <definedName name="FDD_193_4" hidden="1">"A32142"</definedName>
    <definedName name="FDD_193_5" hidden="1">"A32508"</definedName>
    <definedName name="FDD_193_6" hidden="1">"A32873"</definedName>
    <definedName name="FDD_193_7" hidden="1">"A33238"</definedName>
    <definedName name="FDD_193_8" hidden="1">"A33603"</definedName>
    <definedName name="FDD_193_9" hidden="1">"A33969"</definedName>
    <definedName name="FDD_194_0" hidden="1">"A30681"</definedName>
    <definedName name="FDD_194_1" hidden="1">"A31047"</definedName>
    <definedName name="FDD_194_10" hidden="1">"A34334"</definedName>
    <definedName name="FDD_194_11" hidden="1">"A34699"</definedName>
    <definedName name="FDD_194_12" hidden="1">"A35064"</definedName>
    <definedName name="FDD_194_13" hidden="1">"A35430"</definedName>
    <definedName name="FDD_194_14" hidden="1">"A35795"</definedName>
    <definedName name="FDD_194_2" hidden="1">"A31412"</definedName>
    <definedName name="FDD_194_3" hidden="1">"A31777"</definedName>
    <definedName name="FDD_194_4" hidden="1">"A32142"</definedName>
    <definedName name="FDD_194_5" hidden="1">"A32508"</definedName>
    <definedName name="FDD_194_6" hidden="1">"A32873"</definedName>
    <definedName name="FDD_194_7" hidden="1">"A33238"</definedName>
    <definedName name="FDD_194_8" hidden="1">"A33603"</definedName>
    <definedName name="FDD_194_9" hidden="1">"A33969"</definedName>
    <definedName name="FDD_195_0" hidden="1">"A30681"</definedName>
    <definedName name="FDD_195_1" hidden="1">"A31047"</definedName>
    <definedName name="FDD_195_10" hidden="1">"A34334"</definedName>
    <definedName name="FDD_195_11" hidden="1">"A34699"</definedName>
    <definedName name="FDD_195_12" hidden="1">"A35064"</definedName>
    <definedName name="FDD_195_13" hidden="1">"A35430"</definedName>
    <definedName name="FDD_195_14" hidden="1">"A35795"</definedName>
    <definedName name="FDD_195_2" hidden="1">"A31412"</definedName>
    <definedName name="FDD_195_3" hidden="1">"A31777"</definedName>
    <definedName name="FDD_195_4" hidden="1">"A32142"</definedName>
    <definedName name="FDD_195_5" hidden="1">"A32508"</definedName>
    <definedName name="FDD_195_6" hidden="1">"A32873"</definedName>
    <definedName name="FDD_195_7" hidden="1">"A33238"</definedName>
    <definedName name="FDD_195_8" hidden="1">"A33603"</definedName>
    <definedName name="FDD_195_9" hidden="1">"A33969"</definedName>
    <definedName name="FDD_196_0" hidden="1">"E36160"</definedName>
    <definedName name="FDD_196_1" hidden="1">"E36525"</definedName>
    <definedName name="FDD_196_2" hidden="1">"E36891"</definedName>
    <definedName name="FDD_197_0" hidden="1">"A30681"</definedName>
    <definedName name="FDD_197_1" hidden="1">"A31047"</definedName>
    <definedName name="FDD_197_10" hidden="1">"A34334"</definedName>
    <definedName name="FDD_197_11" hidden="1">"A34699"</definedName>
    <definedName name="FDD_197_12" hidden="1">"A35064"</definedName>
    <definedName name="FDD_197_13" hidden="1">"A35430"</definedName>
    <definedName name="FDD_197_14" hidden="1">"A35795"</definedName>
    <definedName name="FDD_197_2" hidden="1">"A31412"</definedName>
    <definedName name="FDD_197_3" hidden="1">"A31777"</definedName>
    <definedName name="FDD_197_4" hidden="1">"A32142"</definedName>
    <definedName name="FDD_197_5" hidden="1">"A32508"</definedName>
    <definedName name="FDD_197_6" hidden="1">"A32873"</definedName>
    <definedName name="FDD_197_7" hidden="1">"A33238"</definedName>
    <definedName name="FDD_197_8" hidden="1">"A33603"</definedName>
    <definedName name="FDD_197_9" hidden="1">"A33969"</definedName>
    <definedName name="FDD_198_0" hidden="1">"A30681"</definedName>
    <definedName name="FDD_198_1" hidden="1">"A31047"</definedName>
    <definedName name="FDD_198_10" hidden="1">"U34334"</definedName>
    <definedName name="FDD_198_11" hidden="1">"U34699"</definedName>
    <definedName name="FDD_198_12" hidden="1">"U35064"</definedName>
    <definedName name="FDD_198_13" hidden="1">"U35430"</definedName>
    <definedName name="FDD_198_14" hidden="1">"U35795"</definedName>
    <definedName name="FDD_198_2" hidden="1">"A31412"</definedName>
    <definedName name="FDD_198_3" hidden="1">"U31777"</definedName>
    <definedName name="FDD_198_4" hidden="1">"U32142"</definedName>
    <definedName name="FDD_198_5" hidden="1">"U32508"</definedName>
    <definedName name="FDD_198_6" hidden="1">"U32873"</definedName>
    <definedName name="FDD_198_7" hidden="1">"U33238"</definedName>
    <definedName name="FDD_198_8" hidden="1">"U33603"</definedName>
    <definedName name="FDD_198_9" hidden="1">"U33969"</definedName>
    <definedName name="FDD_199_0" hidden="1">"E36160"</definedName>
    <definedName name="FDD_199_1" hidden="1">"E36525"</definedName>
    <definedName name="FDD_199_2" hidden="1">"E36891"</definedName>
    <definedName name="FDD_2_0" hidden="1">"A25569"</definedName>
    <definedName name="FDD_20_0" hidden="1">"A25569"</definedName>
    <definedName name="FDD_200_0" hidden="1">"E36160"</definedName>
    <definedName name="FDD_200_1" hidden="1">"E36525"</definedName>
    <definedName name="FDD_200_2" hidden="1">"E36891"</definedName>
    <definedName name="FDD_201_0" hidden="1">"A30681"</definedName>
    <definedName name="FDD_201_1" hidden="1">"A31047"</definedName>
    <definedName name="FDD_201_10" hidden="1">"A34334"</definedName>
    <definedName name="FDD_201_11" hidden="1">"A34699"</definedName>
    <definedName name="FDD_201_12" hidden="1">"A35064"</definedName>
    <definedName name="FDD_201_13" hidden="1">"A35430"</definedName>
    <definedName name="FDD_201_14" hidden="1">"A35795"</definedName>
    <definedName name="FDD_201_2" hidden="1">"A31412"</definedName>
    <definedName name="FDD_201_3" hidden="1">"A31777"</definedName>
    <definedName name="FDD_201_4" hidden="1">"A32142"</definedName>
    <definedName name="FDD_201_5" hidden="1">"A32508"</definedName>
    <definedName name="FDD_201_6" hidden="1">"A32873"</definedName>
    <definedName name="FDD_201_7" hidden="1">"A33238"</definedName>
    <definedName name="FDD_201_8" hidden="1">"A33603"</definedName>
    <definedName name="FDD_201_9" hidden="1">"A33969"</definedName>
    <definedName name="FDD_202_0" hidden="1">"A30681"</definedName>
    <definedName name="FDD_202_1" hidden="1">"A31047"</definedName>
    <definedName name="FDD_202_10" hidden="1">"A34334"</definedName>
    <definedName name="FDD_202_11" hidden="1">"A34699"</definedName>
    <definedName name="FDD_202_12" hidden="1">"A35064"</definedName>
    <definedName name="FDD_202_13" hidden="1">"A35430"</definedName>
    <definedName name="FDD_202_14" hidden="1">"A35795"</definedName>
    <definedName name="FDD_202_2" hidden="1">"A31412"</definedName>
    <definedName name="FDD_202_3" hidden="1">"A31777"</definedName>
    <definedName name="FDD_202_4" hidden="1">"A32142"</definedName>
    <definedName name="FDD_202_5" hidden="1">"A32508"</definedName>
    <definedName name="FDD_202_6" hidden="1">"A32873"</definedName>
    <definedName name="FDD_202_7" hidden="1">"A33238"</definedName>
    <definedName name="FDD_202_8" hidden="1">"A33603"</definedName>
    <definedName name="FDD_202_9" hidden="1">"A33969"</definedName>
    <definedName name="FDD_203_0" hidden="1">"E36160"</definedName>
    <definedName name="FDD_203_1" hidden="1">"E36525"</definedName>
    <definedName name="FDD_203_2" hidden="1">"E36891"</definedName>
    <definedName name="FDD_204_0" hidden="1">"A25569"</definedName>
    <definedName name="FDD_205_0" hidden="1">"A25569"</definedName>
    <definedName name="FDD_206_0" hidden="1">"A25569"</definedName>
    <definedName name="FDD_207_0" hidden="1">"A25569"</definedName>
    <definedName name="FDD_208_0" hidden="1">"E36160"</definedName>
    <definedName name="FDD_208_1" hidden="1">"E36525"</definedName>
    <definedName name="FDD_208_2" hidden="1">"E36891"</definedName>
    <definedName name="FDD_209_0" hidden="1">"A25569"</definedName>
    <definedName name="FDD_21_0" hidden="1">"A25569"</definedName>
    <definedName name="FDD_210_0" hidden="1">"A25569"</definedName>
    <definedName name="FDD_211_0" hidden="1">"A25569"</definedName>
    <definedName name="FDD_212_0" hidden="1">"A25569"</definedName>
    <definedName name="FDD_213_0" hidden="1">"E36160"</definedName>
    <definedName name="FDD_213_1" hidden="1">"E36525"</definedName>
    <definedName name="FDD_213_2" hidden="1">"E36891"</definedName>
    <definedName name="FDD_214_0" hidden="1">"A25569"</definedName>
    <definedName name="FDD_215_0" hidden="1">"A25569"</definedName>
    <definedName name="FDD_216_0" hidden="1">"A25569"</definedName>
    <definedName name="FDD_217_0" hidden="1">"A25569"</definedName>
    <definedName name="FDD_218_0" hidden="1">"E36160"</definedName>
    <definedName name="FDD_218_1" hidden="1">"E36525"</definedName>
    <definedName name="FDD_218_2" hidden="1">"E36891"</definedName>
    <definedName name="FDD_219_0" hidden="1">"U25569"</definedName>
    <definedName name="FDD_22_0" hidden="1">"A25569"</definedName>
    <definedName name="FDD_220_0" hidden="1">"U25569"</definedName>
    <definedName name="FDD_221_0" hidden="1">"U25569"</definedName>
    <definedName name="FDD_222_0" hidden="1">"U25569"</definedName>
    <definedName name="FDD_223_0" hidden="1">"E36160"</definedName>
    <definedName name="FDD_223_1" hidden="1">"E36525"</definedName>
    <definedName name="FDD_223_2" hidden="1">"E36891"</definedName>
    <definedName name="FDD_224_0" hidden="1">"A25569"</definedName>
    <definedName name="FDD_225_0" hidden="1">"A25569"</definedName>
    <definedName name="FDD_226_0" hidden="1">"A25569"</definedName>
    <definedName name="FDD_227_0" hidden="1">"A25569"</definedName>
    <definedName name="FDD_228_0" hidden="1">"E36160"</definedName>
    <definedName name="FDD_228_1" hidden="1">"E36525"</definedName>
    <definedName name="FDD_228_2" hidden="1">"E36891"</definedName>
    <definedName name="FDD_229_0" hidden="1">"A25569"</definedName>
    <definedName name="FDD_23_0" hidden="1">"A25569"</definedName>
    <definedName name="FDD_230_0" hidden="1">"A25569"</definedName>
    <definedName name="FDD_231_0" hidden="1">"A25569"</definedName>
    <definedName name="FDD_232_0" hidden="1">"A25569"</definedName>
    <definedName name="FDD_233_0" hidden="1">"A25569"</definedName>
    <definedName name="FDD_234_0" hidden="1">"A25569"</definedName>
    <definedName name="FDD_235_0" hidden="1">"A25569"</definedName>
    <definedName name="FDD_236_0" hidden="1">"A25569"</definedName>
    <definedName name="FDD_237_0" hidden="1">"A25569"</definedName>
    <definedName name="FDD_238_0" hidden="1">"A30681"</definedName>
    <definedName name="FDD_238_1" hidden="1">"A31047"</definedName>
    <definedName name="FDD_238_10" hidden="1">"A34334"</definedName>
    <definedName name="FDD_238_11" hidden="1">"A34699"</definedName>
    <definedName name="FDD_238_12" hidden="1">"A35064"</definedName>
    <definedName name="FDD_238_13" hidden="1">"A35430"</definedName>
    <definedName name="FDD_238_14" hidden="1">"A35795"</definedName>
    <definedName name="FDD_238_2" hidden="1">"A31412"</definedName>
    <definedName name="FDD_238_3" hidden="1">"A31777"</definedName>
    <definedName name="FDD_238_4" hidden="1">"A32142"</definedName>
    <definedName name="FDD_238_5" hidden="1">"A32508"</definedName>
    <definedName name="FDD_238_6" hidden="1">"A32873"</definedName>
    <definedName name="FDD_238_7" hidden="1">"A33238"</definedName>
    <definedName name="FDD_238_8" hidden="1">"A33603"</definedName>
    <definedName name="FDD_238_9" hidden="1">"A33969"</definedName>
    <definedName name="FDD_24_0" hidden="1">"A25569"</definedName>
    <definedName name="FDD_243_0" hidden="1">"E36160"</definedName>
    <definedName name="FDD_243_1" hidden="1">"E36525"</definedName>
    <definedName name="FDD_243_2" hidden="1">"E36891"</definedName>
    <definedName name="FDD_244_0" hidden="1">"A25569"</definedName>
    <definedName name="FDD_245_0" hidden="1">"A25569"</definedName>
    <definedName name="FDD_246_0" hidden="1">"A25569"</definedName>
    <definedName name="FDD_247_0" hidden="1">"A25569"</definedName>
    <definedName name="FDD_248_0" hidden="1">"E36160"</definedName>
    <definedName name="FDD_248_1" hidden="1">"E36525"</definedName>
    <definedName name="FDD_248_2" hidden="1">"E36891"</definedName>
    <definedName name="FDD_249_0" hidden="1">"A25569"</definedName>
    <definedName name="FDD_25_0" hidden="1">"A25569"</definedName>
    <definedName name="FDD_250_0" hidden="1">"A25569"</definedName>
    <definedName name="FDD_251_0" hidden="1">"A25569"</definedName>
    <definedName name="FDD_252_0" hidden="1">"A25569"</definedName>
    <definedName name="FDD_253_0" hidden="1">"E36160"</definedName>
    <definedName name="FDD_253_1" hidden="1">"E36525"</definedName>
    <definedName name="FDD_253_2" hidden="1">"E36891"</definedName>
    <definedName name="FDD_254_0" hidden="1">"E36160"</definedName>
    <definedName name="FDD_254_1" hidden="1">"E36525"</definedName>
    <definedName name="FDD_254_2" hidden="1">"E36891"</definedName>
    <definedName name="FDD_255_0" hidden="1">"E36160"</definedName>
    <definedName name="FDD_255_1" hidden="1">"E36525"</definedName>
    <definedName name="FDD_255_2" hidden="1">"E36891"</definedName>
    <definedName name="FDD_256_0" hidden="1">"U36160"</definedName>
    <definedName name="FDD_256_1" hidden="1">"U36525"</definedName>
    <definedName name="FDD_256_2" hidden="1">"U36891"</definedName>
    <definedName name="FDD_257_0" hidden="1">"E36160"</definedName>
    <definedName name="FDD_257_1" hidden="1">"E36525"</definedName>
    <definedName name="FDD_257_2" hidden="1">"E36891"</definedName>
    <definedName name="FDD_258_0" hidden="1">"E36160"</definedName>
    <definedName name="FDD_258_1" hidden="1">"E36525"</definedName>
    <definedName name="FDD_258_2" hidden="1">"E36891"</definedName>
    <definedName name="FDD_259_0" hidden="1">"E36160"</definedName>
    <definedName name="FDD_259_1" hidden="1">"E36525"</definedName>
    <definedName name="FDD_259_2" hidden="1">"E36891"</definedName>
    <definedName name="FDD_26_0" hidden="1">"A25569"</definedName>
    <definedName name="FDD_260_0" hidden="1">"E36160"</definedName>
    <definedName name="FDD_260_1" hidden="1">"E36525"</definedName>
    <definedName name="FDD_260_2" hidden="1">"E36891"</definedName>
    <definedName name="FDD_261_0" hidden="1">"E36160"</definedName>
    <definedName name="FDD_261_1" hidden="1">"E36525"</definedName>
    <definedName name="FDD_261_2" hidden="1">"E36891"</definedName>
    <definedName name="FDD_264_0" hidden="1">"E36160"</definedName>
    <definedName name="FDD_264_1" hidden="1">"E36525"</definedName>
    <definedName name="FDD_264_2" hidden="1">"E36891"</definedName>
    <definedName name="FDD_265_0" hidden="1">"A25569"</definedName>
    <definedName name="FDD_266_0" hidden="1">"A25569"</definedName>
    <definedName name="FDD_267_0" hidden="1">"A25569"</definedName>
    <definedName name="FDD_268_0" hidden="1">"A25569"</definedName>
    <definedName name="FDD_269_0" hidden="1">"E36160"</definedName>
    <definedName name="FDD_269_1" hidden="1">"E36525"</definedName>
    <definedName name="FDD_269_2" hidden="1">"E36891"</definedName>
    <definedName name="FDD_27_0" hidden="1">"A25569"</definedName>
    <definedName name="FDD_270_0" hidden="1">"A25569"</definedName>
    <definedName name="FDD_271_0" hidden="1">"A25569"</definedName>
    <definedName name="FDD_272_0" hidden="1">"A25569"</definedName>
    <definedName name="FDD_273_0" hidden="1">"A25569"</definedName>
    <definedName name="FDD_274_0" hidden="1">"E36160"</definedName>
    <definedName name="FDD_274_1" hidden="1">"E36525"</definedName>
    <definedName name="FDD_274_2" hidden="1">"E36891"</definedName>
    <definedName name="FDD_275_0" hidden="1">"A25569"</definedName>
    <definedName name="FDD_276_0" hidden="1">"A25569"</definedName>
    <definedName name="FDD_277_0" hidden="1">"A25569"</definedName>
    <definedName name="FDD_278_0" hidden="1">"A25569"</definedName>
    <definedName name="FDD_279_0" hidden="1">"E36160"</definedName>
    <definedName name="FDD_279_1" hidden="1">"E36525"</definedName>
    <definedName name="FDD_279_2" hidden="1">"E36891"</definedName>
    <definedName name="FDD_28_0" hidden="1">"A25569"</definedName>
    <definedName name="FDD_280_0" hidden="1">"E36160"</definedName>
    <definedName name="FDD_280_1" hidden="1">"E36525"</definedName>
    <definedName name="FDD_280_2" hidden="1">"E36891"</definedName>
    <definedName name="FDD_281_0" hidden="1">"E36160"</definedName>
    <definedName name="FDD_281_1" hidden="1">"E36525"</definedName>
    <definedName name="FDD_281_2" hidden="1">"E36891"</definedName>
    <definedName name="FDD_282_0" hidden="1">"E36160"</definedName>
    <definedName name="FDD_282_1" hidden="1">"E36525"</definedName>
    <definedName name="FDD_282_2" hidden="1">"E36891"</definedName>
    <definedName name="FDD_283_0" hidden="1">"E36160"</definedName>
    <definedName name="FDD_283_1" hidden="1">"E36525"</definedName>
    <definedName name="FDD_283_2" hidden="1">"E36891"</definedName>
    <definedName name="FDD_284_0" hidden="1">"A30681"</definedName>
    <definedName name="FDD_284_1" hidden="1">"A31047"</definedName>
    <definedName name="FDD_284_10" hidden="1">"A34334"</definedName>
    <definedName name="FDD_284_11" hidden="1">"A34699"</definedName>
    <definedName name="FDD_284_12" hidden="1">"A35064"</definedName>
    <definedName name="FDD_284_13" hidden="1">"A35430"</definedName>
    <definedName name="FDD_284_14" hidden="1">"A35795"</definedName>
    <definedName name="FDD_284_2" hidden="1">"A31412"</definedName>
    <definedName name="FDD_284_3" hidden="1">"A31777"</definedName>
    <definedName name="FDD_284_4" hidden="1">"A32142"</definedName>
    <definedName name="FDD_284_5" hidden="1">"A32508"</definedName>
    <definedName name="FDD_284_6" hidden="1">"A32873"</definedName>
    <definedName name="FDD_284_7" hidden="1">"A33238"</definedName>
    <definedName name="FDD_284_8" hidden="1">"A33603"</definedName>
    <definedName name="FDD_284_9" hidden="1">"A33969"</definedName>
    <definedName name="FDD_285_0" hidden="1">"A35795"</definedName>
    <definedName name="FDD_285_1" hidden="1">"E36160"</definedName>
    <definedName name="FDD_285_10" hidden="1">"E39447"</definedName>
    <definedName name="FDD_285_11" hidden="1">"E39813"</definedName>
    <definedName name="FDD_285_12" hidden="1">"E40178"</definedName>
    <definedName name="FDD_285_13" hidden="1">"E40543"</definedName>
    <definedName name="FDD_285_14" hidden="1">"E40908"</definedName>
    <definedName name="FDD_285_15" hidden="1">"E41274"</definedName>
    <definedName name="FDD_285_16" hidden="1">"E41639"</definedName>
    <definedName name="FDD_285_17" hidden="1">"E42004"</definedName>
    <definedName name="FDD_285_18" hidden="1">"E42369"</definedName>
    <definedName name="FDD_285_19" hidden="1">"E42735"</definedName>
    <definedName name="FDD_285_2" hidden="1">"E36525"</definedName>
    <definedName name="FDD_285_20" hidden="1">"E43100"</definedName>
    <definedName name="FDD_285_21" hidden="1">"E43465"</definedName>
    <definedName name="FDD_285_22" hidden="1">"E43830"</definedName>
    <definedName name="FDD_285_23" hidden="1">"E44196"</definedName>
    <definedName name="FDD_285_24" hidden="1">"E44561"</definedName>
    <definedName name="FDD_285_25" hidden="1">"E44926"</definedName>
    <definedName name="FDD_285_3" hidden="1">"E36891"</definedName>
    <definedName name="FDD_285_4" hidden="1">"E37256"</definedName>
    <definedName name="FDD_285_5" hidden="1">"E37621"</definedName>
    <definedName name="FDD_285_6" hidden="1">"E37986"</definedName>
    <definedName name="FDD_285_7" hidden="1">"E38352"</definedName>
    <definedName name="FDD_285_8" hidden="1">"E38717"</definedName>
    <definedName name="FDD_285_9" hidden="1">"E39082"</definedName>
    <definedName name="FDD_286_0" hidden="1">"E36160"</definedName>
    <definedName name="FDD_286_1" hidden="1">"E36525"</definedName>
    <definedName name="FDD_286_10" hidden="1">"E39813"</definedName>
    <definedName name="FDD_286_11" hidden="1">"E40178"</definedName>
    <definedName name="FDD_286_12" hidden="1">"E40543"</definedName>
    <definedName name="FDD_286_13" hidden="1">"E40908"</definedName>
    <definedName name="FDD_286_14" hidden="1">"E41274"</definedName>
    <definedName name="FDD_286_15" hidden="1">"E41639"</definedName>
    <definedName name="FDD_286_16" hidden="1">"E42004"</definedName>
    <definedName name="FDD_286_17" hidden="1">"E42369"</definedName>
    <definedName name="FDD_286_18" hidden="1">"E42735"</definedName>
    <definedName name="FDD_286_19" hidden="1">"E43100"</definedName>
    <definedName name="FDD_286_2" hidden="1">"E36891"</definedName>
    <definedName name="FDD_286_20" hidden="1">"E43465"</definedName>
    <definedName name="FDD_286_21" hidden="1">"E43830"</definedName>
    <definedName name="FDD_286_22" hidden="1">"E44196"</definedName>
    <definedName name="FDD_286_23" hidden="1">"E44561"</definedName>
    <definedName name="FDD_286_24" hidden="1">"E44926"</definedName>
    <definedName name="FDD_286_3" hidden="1">"E37256"</definedName>
    <definedName name="FDD_286_4" hidden="1">"E37621"</definedName>
    <definedName name="FDD_286_5" hidden="1">"E37986"</definedName>
    <definedName name="FDD_286_6" hidden="1">"E38352"</definedName>
    <definedName name="FDD_286_7" hidden="1">"E38717"</definedName>
    <definedName name="FDD_286_8" hidden="1">"E39082"</definedName>
    <definedName name="FDD_286_9" hidden="1">"E39447"</definedName>
    <definedName name="FDD_287_0" hidden="1">"A25569"</definedName>
    <definedName name="FDD_288_0" hidden="1">"A25569"</definedName>
    <definedName name="FDD_289_0" hidden="1">"A36890"</definedName>
    <definedName name="FDD_29_0" hidden="1">"A25569"</definedName>
    <definedName name="FDD_290_0" hidden="1">"A36890"</definedName>
    <definedName name="FDD_291_0" hidden="1">"A25569"</definedName>
    <definedName name="FDD_295_0" hidden="1">"U25569"</definedName>
    <definedName name="FDD_296_0" hidden="1">"A25569"</definedName>
    <definedName name="FDD_297_0" hidden="1">"A25569"</definedName>
    <definedName name="FDD_298_0" hidden="1">"A25569"</definedName>
    <definedName name="FDD_299_0" hidden="1">"A25569"</definedName>
    <definedName name="FDD_3_0" hidden="1">"A25569"</definedName>
    <definedName name="FDD_30_0" hidden="1">"A25569"</definedName>
    <definedName name="FDD_300_0" hidden="1">"U25569"</definedName>
    <definedName name="FDD_301_0" hidden="1">"U35795"</definedName>
    <definedName name="FDD_301_1" hidden="1">"U36160"</definedName>
    <definedName name="FDD_301_2" hidden="1">"U36525"</definedName>
    <definedName name="FDD_302_0" hidden="1">"U35795"</definedName>
    <definedName name="FDD_302_1" hidden="1">"U36160"</definedName>
    <definedName name="FDD_302_2" hidden="1">"U36525"</definedName>
    <definedName name="FDD_303_0" hidden="1">"U35795"</definedName>
    <definedName name="FDD_303_1" hidden="1">"U36160"</definedName>
    <definedName name="FDD_303_2" hidden="1">"U36525"</definedName>
    <definedName name="FDD_304_0" hidden="1">"U35795"</definedName>
    <definedName name="FDD_304_1" hidden="1">"U36160"</definedName>
    <definedName name="FDD_304_2" hidden="1">"U36525"</definedName>
    <definedName name="FDD_305_0" hidden="1">"A30681"</definedName>
    <definedName name="FDD_305_1" hidden="1">"A31047"</definedName>
    <definedName name="FDD_305_10" hidden="1">"U34334"</definedName>
    <definedName name="FDD_305_11" hidden="1">"U34699"</definedName>
    <definedName name="FDD_305_12" hidden="1">"U35064"</definedName>
    <definedName name="FDD_305_13" hidden="1">"U35430"</definedName>
    <definedName name="FDD_305_14" hidden="1">"U35795"</definedName>
    <definedName name="FDD_305_2" hidden="1">"A31412"</definedName>
    <definedName name="FDD_305_3" hidden="1">"U31777"</definedName>
    <definedName name="FDD_305_4" hidden="1">"U32142"</definedName>
    <definedName name="FDD_305_5" hidden="1">"U32508"</definedName>
    <definedName name="FDD_305_6" hidden="1">"U32873"</definedName>
    <definedName name="FDD_305_7" hidden="1">"U33238"</definedName>
    <definedName name="FDD_305_8" hidden="1">"U33603"</definedName>
    <definedName name="FDD_305_9" hidden="1">"U33969"</definedName>
    <definedName name="FDD_306_0" hidden="1">"U35795"</definedName>
    <definedName name="FDD_306_1" hidden="1">"E36160"</definedName>
    <definedName name="FDD_306_2" hidden="1">"U36525"</definedName>
    <definedName name="FDD_307_0" hidden="1">"A35795"</definedName>
    <definedName name="FDD_307_1" hidden="1">"U36160"</definedName>
    <definedName name="FDD_307_2" hidden="1">"U36525"</definedName>
    <definedName name="FDD_31_0" hidden="1">"A25569"</definedName>
    <definedName name="FDD_32_0" hidden="1">"A25569"</definedName>
    <definedName name="FDD_33_0" hidden="1">"A25569"</definedName>
    <definedName name="FDD_34_0" hidden="1">"A25569"</definedName>
    <definedName name="FDD_35_0" hidden="1">"A25569"</definedName>
    <definedName name="FDD_36_0" hidden="1">"A25569"</definedName>
    <definedName name="FDD_37_0" hidden="1">"A25569"</definedName>
    <definedName name="FDD_38_0" hidden="1">"A25569"</definedName>
    <definedName name="FDD_39_0" hidden="1">"A25569"</definedName>
    <definedName name="FDD_4_0" hidden="1">"A25569"</definedName>
    <definedName name="FDD_40_0" hidden="1">"A25569"</definedName>
    <definedName name="FDD_41_0" hidden="1">"U25569"</definedName>
    <definedName name="FDD_42_0" hidden="1">"U25569"</definedName>
    <definedName name="FDD_43_0" hidden="1">"A25569"</definedName>
    <definedName name="FDD_44_0" hidden="1">"A30681"</definedName>
    <definedName name="FDD_44_1" hidden="1">"A31047"</definedName>
    <definedName name="FDD_44_10" hidden="1">"A34334"</definedName>
    <definedName name="FDD_44_11" hidden="1">"A34699"</definedName>
    <definedName name="FDD_44_12" hidden="1">"A35064"</definedName>
    <definedName name="FDD_44_13" hidden="1">"A35430"</definedName>
    <definedName name="FDD_44_14" hidden="1">"A35795"</definedName>
    <definedName name="FDD_44_2" hidden="1">"A31412"</definedName>
    <definedName name="FDD_44_3" hidden="1">"A31777"</definedName>
    <definedName name="FDD_44_4" hidden="1">"A32142"</definedName>
    <definedName name="FDD_44_5" hidden="1">"A32508"</definedName>
    <definedName name="FDD_44_6" hidden="1">"A32873"</definedName>
    <definedName name="FDD_44_7" hidden="1">"A33238"</definedName>
    <definedName name="FDD_44_8" hidden="1">"A33603"</definedName>
    <definedName name="FDD_44_9" hidden="1">"A33969"</definedName>
    <definedName name="FDD_45_0" hidden="1">"A30681"</definedName>
    <definedName name="FDD_45_1" hidden="1">"A31047"</definedName>
    <definedName name="FDD_45_10" hidden="1">"A34334"</definedName>
    <definedName name="FDD_45_11" hidden="1">"A34699"</definedName>
    <definedName name="FDD_45_12" hidden="1">"A35064"</definedName>
    <definedName name="FDD_45_13" hidden="1">"A35430"</definedName>
    <definedName name="FDD_45_14" hidden="1">"A35795"</definedName>
    <definedName name="FDD_45_2" hidden="1">"A31412"</definedName>
    <definedName name="FDD_45_3" hidden="1">"A31777"</definedName>
    <definedName name="FDD_45_4" hidden="1">"A32142"</definedName>
    <definedName name="FDD_45_5" hidden="1">"A32508"</definedName>
    <definedName name="FDD_45_6" hidden="1">"A32873"</definedName>
    <definedName name="FDD_45_7" hidden="1">"A33238"</definedName>
    <definedName name="FDD_45_8" hidden="1">"A33603"</definedName>
    <definedName name="FDD_45_9" hidden="1">"A33969"</definedName>
    <definedName name="FDD_46_0" hidden="1">"A30681"</definedName>
    <definedName name="FDD_46_1" hidden="1">"A31047"</definedName>
    <definedName name="FDD_46_10" hidden="1">"A34334"</definedName>
    <definedName name="FDD_46_11" hidden="1">"A34699"</definedName>
    <definedName name="FDD_46_12" hidden="1">"A35064"</definedName>
    <definedName name="FDD_46_13" hidden="1">"A35430"</definedName>
    <definedName name="FDD_46_14" hidden="1">"A35795"</definedName>
    <definedName name="FDD_46_2" hidden="1">"A31412"</definedName>
    <definedName name="FDD_46_3" hidden="1">"A31777"</definedName>
    <definedName name="FDD_46_4" hidden="1">"A32142"</definedName>
    <definedName name="FDD_46_5" hidden="1">"A32508"</definedName>
    <definedName name="FDD_46_6" hidden="1">"A32873"</definedName>
    <definedName name="FDD_46_7" hidden="1">"A33238"</definedName>
    <definedName name="FDD_46_8" hidden="1">"A33603"</definedName>
    <definedName name="FDD_46_9" hidden="1">"A33969"</definedName>
    <definedName name="FDD_47_0" hidden="1">"A30681"</definedName>
    <definedName name="FDD_47_1" hidden="1">"A31047"</definedName>
    <definedName name="FDD_47_10" hidden="1">"A34334"</definedName>
    <definedName name="FDD_47_11" hidden="1">"A34699"</definedName>
    <definedName name="FDD_47_12" hidden="1">"A35064"</definedName>
    <definedName name="FDD_47_13" hidden="1">"A35430"</definedName>
    <definedName name="FDD_47_14" hidden="1">"A35795"</definedName>
    <definedName name="FDD_47_2" hidden="1">"A31412"</definedName>
    <definedName name="FDD_47_3" hidden="1">"A31777"</definedName>
    <definedName name="FDD_47_4" hidden="1">"A32142"</definedName>
    <definedName name="FDD_47_5" hidden="1">"A32508"</definedName>
    <definedName name="FDD_47_6" hidden="1">"A32873"</definedName>
    <definedName name="FDD_47_7" hidden="1">"A33238"</definedName>
    <definedName name="FDD_47_8" hidden="1">"A33603"</definedName>
    <definedName name="FDD_47_9" hidden="1">"A33969"</definedName>
    <definedName name="FDD_48_0" hidden="1">"A30681"</definedName>
    <definedName name="FDD_48_1" hidden="1">"A31047"</definedName>
    <definedName name="FDD_48_10" hidden="1">"A34334"</definedName>
    <definedName name="FDD_48_11" hidden="1">"A34699"</definedName>
    <definedName name="FDD_48_12" hidden="1">"A35064"</definedName>
    <definedName name="FDD_48_13" hidden="1">"A35430"</definedName>
    <definedName name="FDD_48_14" hidden="1">"A35795"</definedName>
    <definedName name="FDD_48_2" hidden="1">"A31412"</definedName>
    <definedName name="FDD_48_3" hidden="1">"A31777"</definedName>
    <definedName name="FDD_48_4" hidden="1">"A32142"</definedName>
    <definedName name="FDD_48_5" hidden="1">"A32508"</definedName>
    <definedName name="FDD_48_6" hidden="1">"A32873"</definedName>
    <definedName name="FDD_48_7" hidden="1">"A33238"</definedName>
    <definedName name="FDD_48_8" hidden="1">"A33603"</definedName>
    <definedName name="FDD_48_9" hidden="1">"A33969"</definedName>
    <definedName name="FDD_49_0" hidden="1">"A30681"</definedName>
    <definedName name="FDD_49_1" hidden="1">"A31047"</definedName>
    <definedName name="FDD_49_10" hidden="1">"A34334"</definedName>
    <definedName name="FDD_49_11" hidden="1">"A34699"</definedName>
    <definedName name="FDD_49_12" hidden="1">"A35064"</definedName>
    <definedName name="FDD_49_13" hidden="1">"A35430"</definedName>
    <definedName name="FDD_49_14" hidden="1">"A35795"</definedName>
    <definedName name="FDD_49_2" hidden="1">"A31412"</definedName>
    <definedName name="FDD_49_3" hidden="1">"A31777"</definedName>
    <definedName name="FDD_49_4" hidden="1">"A32142"</definedName>
    <definedName name="FDD_49_5" hidden="1">"A32508"</definedName>
    <definedName name="FDD_49_6" hidden="1">"A32873"</definedName>
    <definedName name="FDD_49_7" hidden="1">"A33238"</definedName>
    <definedName name="FDD_49_8" hidden="1">"A33603"</definedName>
    <definedName name="FDD_49_9" hidden="1">"A33969"</definedName>
    <definedName name="FDD_5_0" hidden="1">"A25569"</definedName>
    <definedName name="FDD_50_0" hidden="1">"A30681"</definedName>
    <definedName name="FDD_50_1" hidden="1">"A31047"</definedName>
    <definedName name="FDD_50_10" hidden="1">"A34334"</definedName>
    <definedName name="FDD_50_11" hidden="1">"A34699"</definedName>
    <definedName name="FDD_50_12" hidden="1">"A35064"</definedName>
    <definedName name="FDD_50_13" hidden="1">"A35430"</definedName>
    <definedName name="FDD_50_14" hidden="1">"A35795"</definedName>
    <definedName name="FDD_50_2" hidden="1">"A31412"</definedName>
    <definedName name="FDD_50_3" hidden="1">"A31777"</definedName>
    <definedName name="FDD_50_4" hidden="1">"A32142"</definedName>
    <definedName name="FDD_50_5" hidden="1">"A32508"</definedName>
    <definedName name="FDD_50_6" hidden="1">"A32873"</definedName>
    <definedName name="FDD_50_7" hidden="1">"A33238"</definedName>
    <definedName name="FDD_50_8" hidden="1">"A33603"</definedName>
    <definedName name="FDD_50_9" hidden="1">"A33969"</definedName>
    <definedName name="FDD_51_0" hidden="1">"A30681"</definedName>
    <definedName name="FDD_51_1" hidden="1">"A31047"</definedName>
    <definedName name="FDD_51_10" hidden="1">"A34334"</definedName>
    <definedName name="FDD_51_11" hidden="1">"A34699"</definedName>
    <definedName name="FDD_51_12" hidden="1">"A35064"</definedName>
    <definedName name="FDD_51_13" hidden="1">"A35430"</definedName>
    <definedName name="FDD_51_14" hidden="1">"A35795"</definedName>
    <definedName name="FDD_51_2" hidden="1">"A31412"</definedName>
    <definedName name="FDD_51_3" hidden="1">"A31777"</definedName>
    <definedName name="FDD_51_4" hidden="1">"A32142"</definedName>
    <definedName name="FDD_51_5" hidden="1">"A32508"</definedName>
    <definedName name="FDD_51_6" hidden="1">"A32873"</definedName>
    <definedName name="FDD_51_7" hidden="1">"A33238"</definedName>
    <definedName name="FDD_51_8" hidden="1">"A33603"</definedName>
    <definedName name="FDD_51_9" hidden="1">"A33969"</definedName>
    <definedName name="FDD_52_0" hidden="1">"A30681"</definedName>
    <definedName name="FDD_52_1" hidden="1">"A31047"</definedName>
    <definedName name="FDD_52_10" hidden="1">"A34334"</definedName>
    <definedName name="FDD_52_11" hidden="1">"A34699"</definedName>
    <definedName name="FDD_52_12" hidden="1">"A35064"</definedName>
    <definedName name="FDD_52_13" hidden="1">"A35430"</definedName>
    <definedName name="FDD_52_14" hidden="1">"A35795"</definedName>
    <definedName name="FDD_52_2" hidden="1">"A31412"</definedName>
    <definedName name="FDD_52_3" hidden="1">"A31777"</definedName>
    <definedName name="FDD_52_4" hidden="1">"A32142"</definedName>
    <definedName name="FDD_52_5" hidden="1">"A32508"</definedName>
    <definedName name="FDD_52_6" hidden="1">"A32873"</definedName>
    <definedName name="FDD_52_7" hidden="1">"A33238"</definedName>
    <definedName name="FDD_52_8" hidden="1">"A33603"</definedName>
    <definedName name="FDD_52_9" hidden="1">"A33969"</definedName>
    <definedName name="FDD_53_0" hidden="1">"U30681"</definedName>
    <definedName name="FDD_53_1" hidden="1">"A31047"</definedName>
    <definedName name="FDD_53_10" hidden="1">"A34334"</definedName>
    <definedName name="FDD_53_11" hidden="1">"A34699"</definedName>
    <definedName name="FDD_53_12" hidden="1">"A35064"</definedName>
    <definedName name="FDD_53_13" hidden="1">"A35430"</definedName>
    <definedName name="FDD_53_14" hidden="1">"A35795"</definedName>
    <definedName name="FDD_53_2" hidden="1">"A31412"</definedName>
    <definedName name="FDD_53_3" hidden="1">"A31777"</definedName>
    <definedName name="FDD_53_4" hidden="1">"A32142"</definedName>
    <definedName name="FDD_53_5" hidden="1">"A32508"</definedName>
    <definedName name="FDD_53_6" hidden="1">"A32873"</definedName>
    <definedName name="FDD_53_7" hidden="1">"A33238"</definedName>
    <definedName name="FDD_53_8" hidden="1">"A33603"</definedName>
    <definedName name="FDD_53_9" hidden="1">"A33969"</definedName>
    <definedName name="FDD_54_0" hidden="1">"A30681"</definedName>
    <definedName name="FDD_54_1" hidden="1">"A31047"</definedName>
    <definedName name="FDD_54_10" hidden="1">"A34334"</definedName>
    <definedName name="FDD_54_11" hidden="1">"A34699"</definedName>
    <definedName name="FDD_54_12" hidden="1">"A35064"</definedName>
    <definedName name="FDD_54_13" hidden="1">"A35430"</definedName>
    <definedName name="FDD_54_14" hidden="1">"A35795"</definedName>
    <definedName name="FDD_54_2" hidden="1">"A31412"</definedName>
    <definedName name="FDD_54_3" hidden="1">"A31777"</definedName>
    <definedName name="FDD_54_4" hidden="1">"A32142"</definedName>
    <definedName name="FDD_54_5" hidden="1">"A32508"</definedName>
    <definedName name="FDD_54_6" hidden="1">"A32873"</definedName>
    <definedName name="FDD_54_7" hidden="1">"A33238"</definedName>
    <definedName name="FDD_54_8" hidden="1">"A33603"</definedName>
    <definedName name="FDD_54_9" hidden="1">"A33969"</definedName>
    <definedName name="FDD_55_0" hidden="1">"A30681"</definedName>
    <definedName name="FDD_55_1" hidden="1">"A31047"</definedName>
    <definedName name="FDD_55_10" hidden="1">"A34334"</definedName>
    <definedName name="FDD_55_11" hidden="1">"A34699"</definedName>
    <definedName name="FDD_55_12" hidden="1">"A35064"</definedName>
    <definedName name="FDD_55_13" hidden="1">"A35430"</definedName>
    <definedName name="FDD_55_14" hidden="1">"A35795"</definedName>
    <definedName name="FDD_55_2" hidden="1">"A31412"</definedName>
    <definedName name="FDD_55_3" hidden="1">"A31777"</definedName>
    <definedName name="FDD_55_4" hidden="1">"A32142"</definedName>
    <definedName name="FDD_55_5" hidden="1">"A32508"</definedName>
    <definedName name="FDD_55_6" hidden="1">"A32873"</definedName>
    <definedName name="FDD_55_7" hidden="1">"A33238"</definedName>
    <definedName name="FDD_55_8" hidden="1">"A33603"</definedName>
    <definedName name="FDD_55_9" hidden="1">"A33969"</definedName>
    <definedName name="FDD_56_0" hidden="1">"A30681"</definedName>
    <definedName name="FDD_56_1" hidden="1">"A31047"</definedName>
    <definedName name="FDD_56_10" hidden="1">"A34334"</definedName>
    <definedName name="FDD_56_11" hidden="1">"A34699"</definedName>
    <definedName name="FDD_56_12" hidden="1">"A35064"</definedName>
    <definedName name="FDD_56_13" hidden="1">"A35430"</definedName>
    <definedName name="FDD_56_14" hidden="1">"A35795"</definedName>
    <definedName name="FDD_56_2" hidden="1">"A31412"</definedName>
    <definedName name="FDD_56_3" hidden="1">"A31777"</definedName>
    <definedName name="FDD_56_4" hidden="1">"A32142"</definedName>
    <definedName name="FDD_56_5" hidden="1">"A32508"</definedName>
    <definedName name="FDD_56_6" hidden="1">"A32873"</definedName>
    <definedName name="FDD_56_7" hidden="1">"A33238"</definedName>
    <definedName name="FDD_56_8" hidden="1">"A33603"</definedName>
    <definedName name="FDD_56_9" hidden="1">"A33969"</definedName>
    <definedName name="FDD_57_0" hidden="1">"A30681"</definedName>
    <definedName name="FDD_57_1" hidden="1">"A31047"</definedName>
    <definedName name="FDD_57_10" hidden="1">"A34334"</definedName>
    <definedName name="FDD_57_11" hidden="1">"A34699"</definedName>
    <definedName name="FDD_57_12" hidden="1">"A35064"</definedName>
    <definedName name="FDD_57_13" hidden="1">"A35430"</definedName>
    <definedName name="FDD_57_14" hidden="1">"A35795"</definedName>
    <definedName name="FDD_57_2" hidden="1">"A31412"</definedName>
    <definedName name="FDD_57_3" hidden="1">"A31777"</definedName>
    <definedName name="FDD_57_4" hidden="1">"A32142"</definedName>
    <definedName name="FDD_57_5" hidden="1">"A32508"</definedName>
    <definedName name="FDD_57_6" hidden="1">"A32873"</definedName>
    <definedName name="FDD_57_7" hidden="1">"A33238"</definedName>
    <definedName name="FDD_57_8" hidden="1">"A33603"</definedName>
    <definedName name="FDD_57_9" hidden="1">"A33969"</definedName>
    <definedName name="FDD_58_0" hidden="1">"A30681"</definedName>
    <definedName name="FDD_58_1" hidden="1">"A31047"</definedName>
    <definedName name="FDD_58_10" hidden="1">"A34334"</definedName>
    <definedName name="FDD_58_11" hidden="1">"A34699"</definedName>
    <definedName name="FDD_58_12" hidden="1">"A35064"</definedName>
    <definedName name="FDD_58_13" hidden="1">"A35430"</definedName>
    <definedName name="FDD_58_14" hidden="1">"A35795"</definedName>
    <definedName name="FDD_58_2" hidden="1">"A31412"</definedName>
    <definedName name="FDD_58_3" hidden="1">"A31777"</definedName>
    <definedName name="FDD_58_4" hidden="1">"A32142"</definedName>
    <definedName name="FDD_58_5" hidden="1">"A32508"</definedName>
    <definedName name="FDD_58_6" hidden="1">"A32873"</definedName>
    <definedName name="FDD_58_7" hidden="1">"A33238"</definedName>
    <definedName name="FDD_58_8" hidden="1">"A33603"</definedName>
    <definedName name="FDD_58_9" hidden="1">"A33969"</definedName>
    <definedName name="FDD_59_0" hidden="1">"A30681"</definedName>
    <definedName name="FDD_59_1" hidden="1">"A31047"</definedName>
    <definedName name="FDD_59_10" hidden="1">"A34334"</definedName>
    <definedName name="FDD_59_11" hidden="1">"A34699"</definedName>
    <definedName name="FDD_59_12" hidden="1">"A35064"</definedName>
    <definedName name="FDD_59_13" hidden="1">"A35430"</definedName>
    <definedName name="FDD_59_14" hidden="1">"A35795"</definedName>
    <definedName name="FDD_59_2" hidden="1">"A31412"</definedName>
    <definedName name="FDD_59_3" hidden="1">"A31777"</definedName>
    <definedName name="FDD_59_4" hidden="1">"A32142"</definedName>
    <definedName name="FDD_59_5" hidden="1">"A32508"</definedName>
    <definedName name="FDD_59_6" hidden="1">"A32873"</definedName>
    <definedName name="FDD_59_7" hidden="1">"A33238"</definedName>
    <definedName name="FDD_59_8" hidden="1">"A33603"</definedName>
    <definedName name="FDD_59_9" hidden="1">"A33969"</definedName>
    <definedName name="FDD_6_0" hidden="1">"A25569"</definedName>
    <definedName name="FDD_60_0" hidden="1">"A30681"</definedName>
    <definedName name="FDD_60_1" hidden="1">"A31047"</definedName>
    <definedName name="FDD_60_10" hidden="1">"A34334"</definedName>
    <definedName name="FDD_60_11" hidden="1">"A34699"</definedName>
    <definedName name="FDD_60_12" hidden="1">"A35064"</definedName>
    <definedName name="FDD_60_13" hidden="1">"A35430"</definedName>
    <definedName name="FDD_60_14" hidden="1">"A35795"</definedName>
    <definedName name="FDD_60_2" hidden="1">"A31412"</definedName>
    <definedName name="FDD_60_3" hidden="1">"A31777"</definedName>
    <definedName name="FDD_60_4" hidden="1">"A32142"</definedName>
    <definedName name="FDD_60_5" hidden="1">"A32508"</definedName>
    <definedName name="FDD_60_6" hidden="1">"A32873"</definedName>
    <definedName name="FDD_60_7" hidden="1">"A33238"</definedName>
    <definedName name="FDD_60_8" hidden="1">"A33603"</definedName>
    <definedName name="FDD_60_9" hidden="1">"A33969"</definedName>
    <definedName name="FDD_61_0" hidden="1">"A30681"</definedName>
    <definedName name="FDD_61_1" hidden="1">"A31047"</definedName>
    <definedName name="FDD_61_10" hidden="1">"A34334"</definedName>
    <definedName name="FDD_61_11" hidden="1">"A34699"</definedName>
    <definedName name="FDD_61_12" hidden="1">"A35064"</definedName>
    <definedName name="FDD_61_13" hidden="1">"A35430"</definedName>
    <definedName name="FDD_61_14" hidden="1">"A35795"</definedName>
    <definedName name="FDD_61_2" hidden="1">"A31412"</definedName>
    <definedName name="FDD_61_3" hidden="1">"A31777"</definedName>
    <definedName name="FDD_61_4" hidden="1">"A32142"</definedName>
    <definedName name="FDD_61_5" hidden="1">"A32508"</definedName>
    <definedName name="FDD_61_6" hidden="1">"A32873"</definedName>
    <definedName name="FDD_61_7" hidden="1">"A33238"</definedName>
    <definedName name="FDD_61_8" hidden="1">"A33603"</definedName>
    <definedName name="FDD_61_9" hidden="1">"A33969"</definedName>
    <definedName name="FDD_62_0" hidden="1">"A30681"</definedName>
    <definedName name="FDD_62_1" hidden="1">"A31047"</definedName>
    <definedName name="FDD_62_10" hidden="1">"A34334"</definedName>
    <definedName name="FDD_62_11" hidden="1">"A34699"</definedName>
    <definedName name="FDD_62_12" hidden="1">"A35064"</definedName>
    <definedName name="FDD_62_13" hidden="1">"A35430"</definedName>
    <definedName name="FDD_62_14" hidden="1">"A35795"</definedName>
    <definedName name="FDD_62_2" hidden="1">"A31412"</definedName>
    <definedName name="FDD_62_3" hidden="1">"A31777"</definedName>
    <definedName name="FDD_62_4" hidden="1">"A32142"</definedName>
    <definedName name="FDD_62_5" hidden="1">"A32508"</definedName>
    <definedName name="FDD_62_6" hidden="1">"A32873"</definedName>
    <definedName name="FDD_62_7" hidden="1">"A33238"</definedName>
    <definedName name="FDD_62_8" hidden="1">"A33603"</definedName>
    <definedName name="FDD_62_9" hidden="1">"A33969"</definedName>
    <definedName name="FDD_63_0" hidden="1">"A30681"</definedName>
    <definedName name="FDD_63_1" hidden="1">"A31047"</definedName>
    <definedName name="FDD_63_10" hidden="1">"A34334"</definedName>
    <definedName name="FDD_63_11" hidden="1">"A34699"</definedName>
    <definedName name="FDD_63_12" hidden="1">"A35064"</definedName>
    <definedName name="FDD_63_13" hidden="1">"A35430"</definedName>
    <definedName name="FDD_63_14" hidden="1">"A35795"</definedName>
    <definedName name="FDD_63_2" hidden="1">"A31412"</definedName>
    <definedName name="FDD_63_3" hidden="1">"A31777"</definedName>
    <definedName name="FDD_63_4" hidden="1">"A32142"</definedName>
    <definedName name="FDD_63_5" hidden="1">"A32508"</definedName>
    <definedName name="FDD_63_6" hidden="1">"A32873"</definedName>
    <definedName name="FDD_63_7" hidden="1">"A33238"</definedName>
    <definedName name="FDD_63_8" hidden="1">"A33603"</definedName>
    <definedName name="FDD_63_9" hidden="1">"A33969"</definedName>
    <definedName name="FDD_64_0" hidden="1">"A30681"</definedName>
    <definedName name="FDD_64_1" hidden="1">"A31047"</definedName>
    <definedName name="FDD_64_10" hidden="1">"A34334"</definedName>
    <definedName name="FDD_64_11" hidden="1">"A34699"</definedName>
    <definedName name="FDD_64_12" hidden="1">"A35064"</definedName>
    <definedName name="FDD_64_13" hidden="1">"A35430"</definedName>
    <definedName name="FDD_64_14" hidden="1">"A35795"</definedName>
    <definedName name="FDD_64_2" hidden="1">"A31412"</definedName>
    <definedName name="FDD_64_3" hidden="1">"A31777"</definedName>
    <definedName name="FDD_64_4" hidden="1">"A32142"</definedName>
    <definedName name="FDD_64_5" hidden="1">"A32508"</definedName>
    <definedName name="FDD_64_6" hidden="1">"A32873"</definedName>
    <definedName name="FDD_64_7" hidden="1">"A33238"</definedName>
    <definedName name="FDD_64_8" hidden="1">"A33603"</definedName>
    <definedName name="FDD_64_9" hidden="1">"A33969"</definedName>
    <definedName name="FDD_65_0" hidden="1">"A30681"</definedName>
    <definedName name="FDD_65_1" hidden="1">"A31047"</definedName>
    <definedName name="FDD_65_10" hidden="1">"A34334"</definedName>
    <definedName name="FDD_65_11" hidden="1">"A34699"</definedName>
    <definedName name="FDD_65_12" hidden="1">"A35064"</definedName>
    <definedName name="FDD_65_13" hidden="1">"A35430"</definedName>
    <definedName name="FDD_65_14" hidden="1">"A35795"</definedName>
    <definedName name="FDD_65_2" hidden="1">"A31412"</definedName>
    <definedName name="FDD_65_3" hidden="1">"A31777"</definedName>
    <definedName name="FDD_65_4" hidden="1">"A32142"</definedName>
    <definedName name="FDD_65_5" hidden="1">"A32508"</definedName>
    <definedName name="FDD_65_6" hidden="1">"A32873"</definedName>
    <definedName name="FDD_65_7" hidden="1">"A33238"</definedName>
    <definedName name="FDD_65_8" hidden="1">"A33603"</definedName>
    <definedName name="FDD_65_9" hidden="1">"A33969"</definedName>
    <definedName name="FDD_66_0" hidden="1">"A30681"</definedName>
    <definedName name="FDD_66_1" hidden="1">"A31047"</definedName>
    <definedName name="FDD_66_10" hidden="1">"A34334"</definedName>
    <definedName name="FDD_66_11" hidden="1">"A34699"</definedName>
    <definedName name="FDD_66_12" hidden="1">"A35064"</definedName>
    <definedName name="FDD_66_13" hidden="1">"A35430"</definedName>
    <definedName name="FDD_66_14" hidden="1">"A35795"</definedName>
    <definedName name="FDD_66_2" hidden="1">"A31412"</definedName>
    <definedName name="FDD_66_3" hidden="1">"A31777"</definedName>
    <definedName name="FDD_66_4" hidden="1">"A32142"</definedName>
    <definedName name="FDD_66_5" hidden="1">"A32508"</definedName>
    <definedName name="FDD_66_6" hidden="1">"A32873"</definedName>
    <definedName name="FDD_66_7" hidden="1">"A33238"</definedName>
    <definedName name="FDD_66_8" hidden="1">"A33603"</definedName>
    <definedName name="FDD_66_9" hidden="1">"A33969"</definedName>
    <definedName name="FDD_67_0" hidden="1">"A30681"</definedName>
    <definedName name="FDD_67_1" hidden="1">"A31047"</definedName>
    <definedName name="FDD_67_10" hidden="1">"A34334"</definedName>
    <definedName name="FDD_67_11" hidden="1">"A34699"</definedName>
    <definedName name="FDD_67_12" hidden="1">"A35064"</definedName>
    <definedName name="FDD_67_13" hidden="1">"A35430"</definedName>
    <definedName name="FDD_67_14" hidden="1">"A35795"</definedName>
    <definedName name="FDD_67_2" hidden="1">"A31412"</definedName>
    <definedName name="FDD_67_3" hidden="1">"A31777"</definedName>
    <definedName name="FDD_67_4" hidden="1">"A32142"</definedName>
    <definedName name="FDD_67_5" hidden="1">"A32508"</definedName>
    <definedName name="FDD_67_6" hidden="1">"A32873"</definedName>
    <definedName name="FDD_67_7" hidden="1">"A33238"</definedName>
    <definedName name="FDD_67_8" hidden="1">"A33603"</definedName>
    <definedName name="FDD_67_9" hidden="1">"A33969"</definedName>
    <definedName name="FDD_68_0" hidden="1">"A30681"</definedName>
    <definedName name="FDD_68_1" hidden="1">"A31047"</definedName>
    <definedName name="FDD_68_10" hidden="1">"A34334"</definedName>
    <definedName name="FDD_68_11" hidden="1">"A34699"</definedName>
    <definedName name="FDD_68_12" hidden="1">"A35064"</definedName>
    <definedName name="FDD_68_13" hidden="1">"A35430"</definedName>
    <definedName name="FDD_68_14" hidden="1">"A35795"</definedName>
    <definedName name="FDD_68_2" hidden="1">"A31412"</definedName>
    <definedName name="FDD_68_3" hidden="1">"A31777"</definedName>
    <definedName name="FDD_68_4" hidden="1">"A32142"</definedName>
    <definedName name="FDD_68_5" hidden="1">"A32508"</definedName>
    <definedName name="FDD_68_6" hidden="1">"A32873"</definedName>
    <definedName name="FDD_68_7" hidden="1">"A33238"</definedName>
    <definedName name="FDD_68_8" hidden="1">"A33603"</definedName>
    <definedName name="FDD_68_9" hidden="1">"A33969"</definedName>
    <definedName name="FDD_69_0" hidden="1">"U30681"</definedName>
    <definedName name="FDD_69_1" hidden="1">"A31047"</definedName>
    <definedName name="FDD_69_10" hidden="1">"A34334"</definedName>
    <definedName name="FDD_69_11" hidden="1">"A34699"</definedName>
    <definedName name="FDD_69_12" hidden="1">"A35064"</definedName>
    <definedName name="FDD_69_13" hidden="1">"A35430"</definedName>
    <definedName name="FDD_69_14" hidden="1">"A35795"</definedName>
    <definedName name="FDD_69_2" hidden="1">"A31412"</definedName>
    <definedName name="FDD_69_3" hidden="1">"A31777"</definedName>
    <definedName name="FDD_69_4" hidden="1">"A32142"</definedName>
    <definedName name="FDD_69_5" hidden="1">"A32508"</definedName>
    <definedName name="FDD_69_6" hidden="1">"A32873"</definedName>
    <definedName name="FDD_69_7" hidden="1">"A33238"</definedName>
    <definedName name="FDD_69_8" hidden="1">"A33603"</definedName>
    <definedName name="FDD_69_9" hidden="1">"A33969"</definedName>
    <definedName name="FDD_7_0" hidden="1">"A25569"</definedName>
    <definedName name="FDD_70_0" hidden="1">"A30681"</definedName>
    <definedName name="FDD_70_1" hidden="1">"A31047"</definedName>
    <definedName name="FDD_70_10" hidden="1">"A34334"</definedName>
    <definedName name="FDD_70_11" hidden="1">"A34699"</definedName>
    <definedName name="FDD_70_12" hidden="1">"A35064"</definedName>
    <definedName name="FDD_70_13" hidden="1">"A35430"</definedName>
    <definedName name="FDD_70_14" hidden="1">"A35795"</definedName>
    <definedName name="FDD_70_2" hidden="1">"A31412"</definedName>
    <definedName name="FDD_70_3" hidden="1">"A31777"</definedName>
    <definedName name="FDD_70_4" hidden="1">"A32142"</definedName>
    <definedName name="FDD_70_5" hidden="1">"A32508"</definedName>
    <definedName name="FDD_70_6" hidden="1">"A32873"</definedName>
    <definedName name="FDD_70_7" hidden="1">"A33238"</definedName>
    <definedName name="FDD_70_8" hidden="1">"A33603"</definedName>
    <definedName name="FDD_70_9" hidden="1">"A33969"</definedName>
    <definedName name="FDD_71_0" hidden="1">"A30681"</definedName>
    <definedName name="FDD_71_1" hidden="1">"A31047"</definedName>
    <definedName name="FDD_71_10" hidden="1">"A34334"</definedName>
    <definedName name="FDD_71_11" hidden="1">"A34699"</definedName>
    <definedName name="FDD_71_12" hidden="1">"A35064"</definedName>
    <definedName name="FDD_71_13" hidden="1">"A35430"</definedName>
    <definedName name="FDD_71_14" hidden="1">"A35795"</definedName>
    <definedName name="FDD_71_2" hidden="1">"A31412"</definedName>
    <definedName name="FDD_71_3" hidden="1">"A31777"</definedName>
    <definedName name="FDD_71_4" hidden="1">"A32142"</definedName>
    <definedName name="FDD_71_5" hidden="1">"A32508"</definedName>
    <definedName name="FDD_71_6" hidden="1">"A32873"</definedName>
    <definedName name="FDD_71_7" hidden="1">"A33238"</definedName>
    <definedName name="FDD_71_8" hidden="1">"A33603"</definedName>
    <definedName name="FDD_71_9" hidden="1">"A33969"</definedName>
    <definedName name="FDD_72_0" hidden="1">"A30681"</definedName>
    <definedName name="FDD_72_1" hidden="1">"A31047"</definedName>
    <definedName name="FDD_72_10" hidden="1">"A34334"</definedName>
    <definedName name="FDD_72_11" hidden="1">"A34699"</definedName>
    <definedName name="FDD_72_12" hidden="1">"A35064"</definedName>
    <definedName name="FDD_72_13" hidden="1">"A35430"</definedName>
    <definedName name="FDD_72_14" hidden="1">"A35795"</definedName>
    <definedName name="FDD_72_2" hidden="1">"A31412"</definedName>
    <definedName name="FDD_72_3" hidden="1">"A31777"</definedName>
    <definedName name="FDD_72_4" hidden="1">"A32142"</definedName>
    <definedName name="FDD_72_5" hidden="1">"A32508"</definedName>
    <definedName name="FDD_72_6" hidden="1">"A32873"</definedName>
    <definedName name="FDD_72_7" hidden="1">"A33238"</definedName>
    <definedName name="FDD_72_8" hidden="1">"A33603"</definedName>
    <definedName name="FDD_72_9" hidden="1">"A33969"</definedName>
    <definedName name="FDD_73_0" hidden="1">"A30681"</definedName>
    <definedName name="FDD_73_1" hidden="1">"A31047"</definedName>
    <definedName name="FDD_73_10" hidden="1">"A34334"</definedName>
    <definedName name="FDD_73_11" hidden="1">"A34699"</definedName>
    <definedName name="FDD_73_12" hidden="1">"A35064"</definedName>
    <definedName name="FDD_73_13" hidden="1">"A35430"</definedName>
    <definedName name="FDD_73_14" hidden="1">"A35795"</definedName>
    <definedName name="FDD_73_2" hidden="1">"A31412"</definedName>
    <definedName name="FDD_73_3" hidden="1">"A31777"</definedName>
    <definedName name="FDD_73_4" hidden="1">"A32142"</definedName>
    <definedName name="FDD_73_5" hidden="1">"A32508"</definedName>
    <definedName name="FDD_73_6" hidden="1">"A32873"</definedName>
    <definedName name="FDD_73_7" hidden="1">"A33238"</definedName>
    <definedName name="FDD_73_8" hidden="1">"A33603"</definedName>
    <definedName name="FDD_73_9" hidden="1">"A33969"</definedName>
    <definedName name="FDD_74_0" hidden="1">"A30681"</definedName>
    <definedName name="FDD_74_1" hidden="1">"A31047"</definedName>
    <definedName name="FDD_74_10" hidden="1">"A34334"</definedName>
    <definedName name="FDD_74_11" hidden="1">"A34699"</definedName>
    <definedName name="FDD_74_12" hidden="1">"A35064"</definedName>
    <definedName name="FDD_74_13" hidden="1">"A35430"</definedName>
    <definedName name="FDD_74_14" hidden="1">"A35795"</definedName>
    <definedName name="FDD_74_2" hidden="1">"A31412"</definedName>
    <definedName name="FDD_74_3" hidden="1">"A31777"</definedName>
    <definedName name="FDD_74_4" hidden="1">"A32142"</definedName>
    <definedName name="FDD_74_5" hidden="1">"A32508"</definedName>
    <definedName name="FDD_74_6" hidden="1">"A32873"</definedName>
    <definedName name="FDD_74_7" hidden="1">"A33238"</definedName>
    <definedName name="FDD_74_8" hidden="1">"A33603"</definedName>
    <definedName name="FDD_74_9" hidden="1">"A33969"</definedName>
    <definedName name="FDD_75_0" hidden="1">"A30681"</definedName>
    <definedName name="FDD_75_1" hidden="1">"A31047"</definedName>
    <definedName name="FDD_75_10" hidden="1">"A34334"</definedName>
    <definedName name="FDD_75_11" hidden="1">"A34699"</definedName>
    <definedName name="FDD_75_12" hidden="1">"A35064"</definedName>
    <definedName name="FDD_75_13" hidden="1">"A35430"</definedName>
    <definedName name="FDD_75_14" hidden="1">"A35795"</definedName>
    <definedName name="FDD_75_2" hidden="1">"A31412"</definedName>
    <definedName name="FDD_75_3" hidden="1">"A31777"</definedName>
    <definedName name="FDD_75_4" hidden="1">"A32142"</definedName>
    <definedName name="FDD_75_5" hidden="1">"A32508"</definedName>
    <definedName name="FDD_75_6" hidden="1">"A32873"</definedName>
    <definedName name="FDD_75_7" hidden="1">"A33238"</definedName>
    <definedName name="FDD_75_8" hidden="1">"A33603"</definedName>
    <definedName name="FDD_75_9" hidden="1">"A33969"</definedName>
    <definedName name="FDD_76_0" hidden="1">"A30681"</definedName>
    <definedName name="FDD_76_1" hidden="1">"A31047"</definedName>
    <definedName name="FDD_76_10" hidden="1">"A34334"</definedName>
    <definedName name="FDD_76_11" hidden="1">"A34699"</definedName>
    <definedName name="FDD_76_12" hidden="1">"A35064"</definedName>
    <definedName name="FDD_76_13" hidden="1">"A35430"</definedName>
    <definedName name="FDD_76_14" hidden="1">"A35795"</definedName>
    <definedName name="FDD_76_2" hidden="1">"A31412"</definedName>
    <definedName name="FDD_76_3" hidden="1">"A31777"</definedName>
    <definedName name="FDD_76_4" hidden="1">"A32142"</definedName>
    <definedName name="FDD_76_5" hidden="1">"A32508"</definedName>
    <definedName name="FDD_76_6" hidden="1">"A32873"</definedName>
    <definedName name="FDD_76_7" hidden="1">"A33238"</definedName>
    <definedName name="FDD_76_8" hidden="1">"A33603"</definedName>
    <definedName name="FDD_76_9" hidden="1">"A33969"</definedName>
    <definedName name="FDD_77_0" hidden="1">"A30681"</definedName>
    <definedName name="FDD_77_1" hidden="1">"A31047"</definedName>
    <definedName name="FDD_77_10" hidden="1">"A34334"</definedName>
    <definedName name="FDD_77_11" hidden="1">"A34699"</definedName>
    <definedName name="FDD_77_12" hidden="1">"A35064"</definedName>
    <definedName name="FDD_77_13" hidden="1">"A35430"</definedName>
    <definedName name="FDD_77_14" hidden="1">"A35795"</definedName>
    <definedName name="FDD_77_2" hidden="1">"A31412"</definedName>
    <definedName name="FDD_77_3" hidden="1">"A31777"</definedName>
    <definedName name="FDD_77_4" hidden="1">"A32142"</definedName>
    <definedName name="FDD_77_5" hidden="1">"A32508"</definedName>
    <definedName name="FDD_77_6" hidden="1">"A32873"</definedName>
    <definedName name="FDD_77_7" hidden="1">"A33238"</definedName>
    <definedName name="FDD_77_8" hidden="1">"A33603"</definedName>
    <definedName name="FDD_77_9" hidden="1">"A33969"</definedName>
    <definedName name="FDD_78_0" hidden="1">"A30681"</definedName>
    <definedName name="FDD_78_1" hidden="1">"A31047"</definedName>
    <definedName name="FDD_78_10" hidden="1">"A34334"</definedName>
    <definedName name="FDD_78_11" hidden="1">"A34699"</definedName>
    <definedName name="FDD_78_12" hidden="1">"A35064"</definedName>
    <definedName name="FDD_78_13" hidden="1">"A35430"</definedName>
    <definedName name="FDD_78_14" hidden="1">"A35795"</definedName>
    <definedName name="FDD_78_2" hidden="1">"A31412"</definedName>
    <definedName name="FDD_78_3" hidden="1">"A31777"</definedName>
    <definedName name="FDD_78_4" hidden="1">"A32142"</definedName>
    <definedName name="FDD_78_5" hidden="1">"A32508"</definedName>
    <definedName name="FDD_78_6" hidden="1">"A32873"</definedName>
    <definedName name="FDD_78_7" hidden="1">"A33238"</definedName>
    <definedName name="FDD_78_8" hidden="1">"A33603"</definedName>
    <definedName name="FDD_78_9" hidden="1">"A33969"</definedName>
    <definedName name="FDD_79_0" hidden="1">"A30681"</definedName>
    <definedName name="FDD_79_1" hidden="1">"A31047"</definedName>
    <definedName name="FDD_79_10" hidden="1">"A34334"</definedName>
    <definedName name="FDD_79_11" hidden="1">"A34699"</definedName>
    <definedName name="FDD_79_12" hidden="1">"A35064"</definedName>
    <definedName name="FDD_79_13" hidden="1">"A35430"</definedName>
    <definedName name="FDD_79_14" hidden="1">"A35795"</definedName>
    <definedName name="FDD_79_2" hidden="1">"A31412"</definedName>
    <definedName name="FDD_79_3" hidden="1">"A31777"</definedName>
    <definedName name="FDD_79_4" hidden="1">"A32142"</definedName>
    <definedName name="FDD_79_5" hidden="1">"A32508"</definedName>
    <definedName name="FDD_79_6" hidden="1">"A32873"</definedName>
    <definedName name="FDD_79_7" hidden="1">"A33238"</definedName>
    <definedName name="FDD_79_8" hidden="1">"A33603"</definedName>
    <definedName name="FDD_79_9" hidden="1">"A33969"</definedName>
    <definedName name="FDD_8_0" hidden="1">"A25569"</definedName>
    <definedName name="FDD_80_0" hidden="1">"A30681"</definedName>
    <definedName name="FDD_80_1" hidden="1">"A31047"</definedName>
    <definedName name="FDD_80_10" hidden="1">"A34334"</definedName>
    <definedName name="FDD_80_11" hidden="1">"A34699"</definedName>
    <definedName name="FDD_80_12" hidden="1">"A35064"</definedName>
    <definedName name="FDD_80_13" hidden="1">"A35430"</definedName>
    <definedName name="FDD_80_14" hidden="1">"A35795"</definedName>
    <definedName name="FDD_80_2" hidden="1">"A31412"</definedName>
    <definedName name="FDD_80_3" hidden="1">"A31777"</definedName>
    <definedName name="FDD_80_4" hidden="1">"A32142"</definedName>
    <definedName name="FDD_80_5" hidden="1">"A32508"</definedName>
    <definedName name="FDD_80_6" hidden="1">"A32873"</definedName>
    <definedName name="FDD_80_7" hidden="1">"A33238"</definedName>
    <definedName name="FDD_80_8" hidden="1">"A33603"</definedName>
    <definedName name="FDD_80_9" hidden="1">"A33969"</definedName>
    <definedName name="FDD_81_0" hidden="1">"A30681"</definedName>
    <definedName name="FDD_81_1" hidden="1">"A31047"</definedName>
    <definedName name="FDD_81_10" hidden="1">"A34334"</definedName>
    <definedName name="FDD_81_11" hidden="1">"A34699"</definedName>
    <definedName name="FDD_81_12" hidden="1">"A35064"</definedName>
    <definedName name="FDD_81_13" hidden="1">"A35430"</definedName>
    <definedName name="FDD_81_14" hidden="1">"A35795"</definedName>
    <definedName name="FDD_81_2" hidden="1">"A31412"</definedName>
    <definedName name="FDD_81_3" hidden="1">"A31777"</definedName>
    <definedName name="FDD_81_4" hidden="1">"A32142"</definedName>
    <definedName name="FDD_81_5" hidden="1">"A32508"</definedName>
    <definedName name="FDD_81_6" hidden="1">"A32873"</definedName>
    <definedName name="FDD_81_7" hidden="1">"A33238"</definedName>
    <definedName name="FDD_81_8" hidden="1">"A33603"</definedName>
    <definedName name="FDD_81_9" hidden="1">"A33969"</definedName>
    <definedName name="FDD_82_0" hidden="1">"A30681"</definedName>
    <definedName name="FDD_82_1" hidden="1">"A31047"</definedName>
    <definedName name="FDD_82_10" hidden="1">"A34334"</definedName>
    <definedName name="FDD_82_11" hidden="1">"A34699"</definedName>
    <definedName name="FDD_82_12" hidden="1">"A35064"</definedName>
    <definedName name="FDD_82_13" hidden="1">"A35430"</definedName>
    <definedName name="FDD_82_14" hidden="1">"A35795"</definedName>
    <definedName name="FDD_82_2" hidden="1">"A31412"</definedName>
    <definedName name="FDD_82_3" hidden="1">"A31777"</definedName>
    <definedName name="FDD_82_4" hidden="1">"A32142"</definedName>
    <definedName name="FDD_82_5" hidden="1">"A32508"</definedName>
    <definedName name="FDD_82_6" hidden="1">"A32873"</definedName>
    <definedName name="FDD_82_7" hidden="1">"A33238"</definedName>
    <definedName name="FDD_82_8" hidden="1">"A33603"</definedName>
    <definedName name="FDD_82_9" hidden="1">"A33969"</definedName>
    <definedName name="FDD_83_0" hidden="1">"A30681"</definedName>
    <definedName name="FDD_83_1" hidden="1">"A31047"</definedName>
    <definedName name="FDD_83_10" hidden="1">"A34334"</definedName>
    <definedName name="FDD_83_11" hidden="1">"A34699"</definedName>
    <definedName name="FDD_83_12" hidden="1">"A35064"</definedName>
    <definedName name="FDD_83_13" hidden="1">"A35430"</definedName>
    <definedName name="FDD_83_14" hidden="1">"A35795"</definedName>
    <definedName name="FDD_83_2" hidden="1">"A31412"</definedName>
    <definedName name="FDD_83_3" hidden="1">"A31777"</definedName>
    <definedName name="FDD_83_4" hidden="1">"A32142"</definedName>
    <definedName name="FDD_83_5" hidden="1">"A32508"</definedName>
    <definedName name="FDD_83_6" hidden="1">"A32873"</definedName>
    <definedName name="FDD_83_7" hidden="1">"A33238"</definedName>
    <definedName name="FDD_83_8" hidden="1">"A33603"</definedName>
    <definedName name="FDD_83_9" hidden="1">"A33969"</definedName>
    <definedName name="FDD_84_0" hidden="1">"A30681"</definedName>
    <definedName name="FDD_84_1" hidden="1">"A31047"</definedName>
    <definedName name="FDD_84_10" hidden="1">"A34334"</definedName>
    <definedName name="FDD_84_11" hidden="1">"A34699"</definedName>
    <definedName name="FDD_84_12" hidden="1">"A35064"</definedName>
    <definedName name="FDD_84_13" hidden="1">"A35430"</definedName>
    <definedName name="FDD_84_14" hidden="1">"A35795"</definedName>
    <definedName name="FDD_84_2" hidden="1">"A31412"</definedName>
    <definedName name="FDD_84_3" hidden="1">"A31777"</definedName>
    <definedName name="FDD_84_4" hidden="1">"A32142"</definedName>
    <definedName name="FDD_84_5" hidden="1">"A32508"</definedName>
    <definedName name="FDD_84_6" hidden="1">"A32873"</definedName>
    <definedName name="FDD_84_7" hidden="1">"A33238"</definedName>
    <definedName name="FDD_84_8" hidden="1">"A33603"</definedName>
    <definedName name="FDD_84_9" hidden="1">"A33969"</definedName>
    <definedName name="FDD_85_0" hidden="1">"A30681"</definedName>
    <definedName name="FDD_85_1" hidden="1">"A31047"</definedName>
    <definedName name="FDD_85_10" hidden="1">"A34334"</definedName>
    <definedName name="FDD_85_11" hidden="1">"A34699"</definedName>
    <definedName name="FDD_85_12" hidden="1">"A35064"</definedName>
    <definedName name="FDD_85_13" hidden="1">"A35430"</definedName>
    <definedName name="FDD_85_14" hidden="1">"A35795"</definedName>
    <definedName name="FDD_85_2" hidden="1">"A31412"</definedName>
    <definedName name="FDD_85_3" hidden="1">"A31777"</definedName>
    <definedName name="FDD_85_4" hidden="1">"A32142"</definedName>
    <definedName name="FDD_85_5" hidden="1">"A32508"</definedName>
    <definedName name="FDD_85_6" hidden="1">"A32873"</definedName>
    <definedName name="FDD_85_7" hidden="1">"A33238"</definedName>
    <definedName name="FDD_85_8" hidden="1">"A33603"</definedName>
    <definedName name="FDD_85_9" hidden="1">"A33969"</definedName>
    <definedName name="FDD_86_0" hidden="1">"A30681"</definedName>
    <definedName name="FDD_86_1" hidden="1">"A31047"</definedName>
    <definedName name="FDD_86_10" hidden="1">"A34334"</definedName>
    <definedName name="FDD_86_11" hidden="1">"A34699"</definedName>
    <definedName name="FDD_86_12" hidden="1">"A35064"</definedName>
    <definedName name="FDD_86_13" hidden="1">"A35430"</definedName>
    <definedName name="FDD_86_14" hidden="1">"A35795"</definedName>
    <definedName name="FDD_86_2" hidden="1">"A31412"</definedName>
    <definedName name="FDD_86_3" hidden="1">"A31777"</definedName>
    <definedName name="FDD_86_4" hidden="1">"A32142"</definedName>
    <definedName name="FDD_86_5" hidden="1">"A32508"</definedName>
    <definedName name="FDD_86_6" hidden="1">"A32873"</definedName>
    <definedName name="FDD_86_7" hidden="1">"A33238"</definedName>
    <definedName name="FDD_86_8" hidden="1">"A33603"</definedName>
    <definedName name="FDD_86_9" hidden="1">"A33969"</definedName>
    <definedName name="FDD_87_0" hidden="1">"A30681"</definedName>
    <definedName name="FDD_87_1" hidden="1">"A31047"</definedName>
    <definedName name="FDD_87_10" hidden="1">"A34334"</definedName>
    <definedName name="FDD_87_11" hidden="1">"A34699"</definedName>
    <definedName name="FDD_87_12" hidden="1">"A35064"</definedName>
    <definedName name="FDD_87_13" hidden="1">"A35430"</definedName>
    <definedName name="FDD_87_14" hidden="1">"A35795"</definedName>
    <definedName name="FDD_87_2" hidden="1">"A31412"</definedName>
    <definedName name="FDD_87_3" hidden="1">"A31777"</definedName>
    <definedName name="FDD_87_4" hidden="1">"A32142"</definedName>
    <definedName name="FDD_87_5" hidden="1">"A32508"</definedName>
    <definedName name="FDD_87_6" hidden="1">"A32873"</definedName>
    <definedName name="FDD_87_7" hidden="1">"A33238"</definedName>
    <definedName name="FDD_87_8" hidden="1">"A33603"</definedName>
    <definedName name="FDD_87_9" hidden="1">"A33969"</definedName>
    <definedName name="FDD_88_0" hidden="1">"A30681"</definedName>
    <definedName name="FDD_88_1" hidden="1">"A31047"</definedName>
    <definedName name="FDD_88_10" hidden="1">"A34334"</definedName>
    <definedName name="FDD_88_11" hidden="1">"A34699"</definedName>
    <definedName name="FDD_88_12" hidden="1">"A35064"</definedName>
    <definedName name="FDD_88_13" hidden="1">"A35430"</definedName>
    <definedName name="FDD_88_14" hidden="1">"A35795"</definedName>
    <definedName name="FDD_88_2" hidden="1">"A31412"</definedName>
    <definedName name="FDD_88_3" hidden="1">"A31777"</definedName>
    <definedName name="FDD_88_4" hidden="1">"A32142"</definedName>
    <definedName name="FDD_88_5" hidden="1">"A32508"</definedName>
    <definedName name="FDD_88_6" hidden="1">"A32873"</definedName>
    <definedName name="FDD_88_7" hidden="1">"A33238"</definedName>
    <definedName name="FDD_88_8" hidden="1">"A33603"</definedName>
    <definedName name="FDD_88_9" hidden="1">"A33969"</definedName>
    <definedName name="FDD_89_0" hidden="1">"A30681"</definedName>
    <definedName name="FDD_89_1" hidden="1">"A31047"</definedName>
    <definedName name="FDD_89_10" hidden="1">"A34334"</definedName>
    <definedName name="FDD_89_11" hidden="1">"A34699"</definedName>
    <definedName name="FDD_89_12" hidden="1">"A35064"</definedName>
    <definedName name="FDD_89_13" hidden="1">"A35430"</definedName>
    <definedName name="FDD_89_14" hidden="1">"A35795"</definedName>
    <definedName name="FDD_89_2" hidden="1">"A31412"</definedName>
    <definedName name="FDD_89_3" hidden="1">"A31777"</definedName>
    <definedName name="FDD_89_4" hidden="1">"A32142"</definedName>
    <definedName name="FDD_89_5" hidden="1">"A32508"</definedName>
    <definedName name="FDD_89_6" hidden="1">"A32873"</definedName>
    <definedName name="FDD_89_7" hidden="1">"A33238"</definedName>
    <definedName name="FDD_89_8" hidden="1">"A33603"</definedName>
    <definedName name="FDD_89_9" hidden="1">"A33969"</definedName>
    <definedName name="FDD_9_0" hidden="1">"A25569"</definedName>
    <definedName name="FDD_90_0" hidden="1">"A30681"</definedName>
    <definedName name="FDD_90_1" hidden="1">"A31047"</definedName>
    <definedName name="FDD_90_10" hidden="1">"A34334"</definedName>
    <definedName name="FDD_90_11" hidden="1">"A34699"</definedName>
    <definedName name="FDD_90_12" hidden="1">"A35064"</definedName>
    <definedName name="FDD_90_13" hidden="1">"A35430"</definedName>
    <definedName name="FDD_90_14" hidden="1">"A35795"</definedName>
    <definedName name="FDD_90_2" hidden="1">"A31412"</definedName>
    <definedName name="FDD_90_3" hidden="1">"A31777"</definedName>
    <definedName name="FDD_90_4" hidden="1">"A32142"</definedName>
    <definedName name="FDD_90_5" hidden="1">"A32508"</definedName>
    <definedName name="FDD_90_6" hidden="1">"A32873"</definedName>
    <definedName name="FDD_90_7" hidden="1">"A33238"</definedName>
    <definedName name="FDD_90_8" hidden="1">"A33603"</definedName>
    <definedName name="FDD_90_9" hidden="1">"A33969"</definedName>
    <definedName name="FDD_91_0" hidden="1">"A30681"</definedName>
    <definedName name="FDD_91_1" hidden="1">"A31047"</definedName>
    <definedName name="FDD_91_10" hidden="1">"A34334"</definedName>
    <definedName name="FDD_91_11" hidden="1">"A34699"</definedName>
    <definedName name="FDD_91_12" hidden="1">"A35064"</definedName>
    <definedName name="FDD_91_13" hidden="1">"A35430"</definedName>
    <definedName name="FDD_91_14" hidden="1">"A35795"</definedName>
    <definedName name="FDD_91_2" hidden="1">"A31412"</definedName>
    <definedName name="FDD_91_3" hidden="1">"A31777"</definedName>
    <definedName name="FDD_91_4" hidden="1">"A32142"</definedName>
    <definedName name="FDD_91_5" hidden="1">"A32508"</definedName>
    <definedName name="FDD_91_6" hidden="1">"A32873"</definedName>
    <definedName name="FDD_91_7" hidden="1">"A33238"</definedName>
    <definedName name="FDD_91_8" hidden="1">"A33603"</definedName>
    <definedName name="FDD_91_9" hidden="1">"A33969"</definedName>
    <definedName name="FDD_92_0" hidden="1">"A30681"</definedName>
    <definedName name="FDD_92_1" hidden="1">"A31047"</definedName>
    <definedName name="FDD_92_10" hidden="1">"A34334"</definedName>
    <definedName name="FDD_92_11" hidden="1">"A34699"</definedName>
    <definedName name="FDD_92_12" hidden="1">"A35064"</definedName>
    <definedName name="FDD_92_13" hidden="1">"A35430"</definedName>
    <definedName name="FDD_92_14" hidden="1">"A35795"</definedName>
    <definedName name="FDD_92_2" hidden="1">"A31412"</definedName>
    <definedName name="FDD_92_3" hidden="1">"A31777"</definedName>
    <definedName name="FDD_92_4" hidden="1">"A32142"</definedName>
    <definedName name="FDD_92_5" hidden="1">"A32508"</definedName>
    <definedName name="FDD_92_6" hidden="1">"A32873"</definedName>
    <definedName name="FDD_92_7" hidden="1">"A33238"</definedName>
    <definedName name="FDD_92_8" hidden="1">"A33603"</definedName>
    <definedName name="FDD_92_9" hidden="1">"A33969"</definedName>
    <definedName name="FDD_93_0" hidden="1">"A30681"</definedName>
    <definedName name="FDD_93_1" hidden="1">"A31047"</definedName>
    <definedName name="FDD_93_10" hidden="1">"A34334"</definedName>
    <definedName name="FDD_93_11" hidden="1">"A34699"</definedName>
    <definedName name="FDD_93_12" hidden="1">"A35064"</definedName>
    <definedName name="FDD_93_13" hidden="1">"A35430"</definedName>
    <definedName name="FDD_93_14" hidden="1">"A35795"</definedName>
    <definedName name="FDD_93_2" hidden="1">"A31412"</definedName>
    <definedName name="FDD_93_3" hidden="1">"A31777"</definedName>
    <definedName name="FDD_93_4" hidden="1">"A32142"</definedName>
    <definedName name="FDD_93_5" hidden="1">"A32508"</definedName>
    <definedName name="FDD_93_6" hidden="1">"A32873"</definedName>
    <definedName name="FDD_93_7" hidden="1">"A33238"</definedName>
    <definedName name="FDD_93_8" hidden="1">"A33603"</definedName>
    <definedName name="FDD_93_9" hidden="1">"A33969"</definedName>
    <definedName name="FDD_94_0" hidden="1">"A30681"</definedName>
    <definedName name="FDD_94_1" hidden="1">"A31047"</definedName>
    <definedName name="FDD_94_10" hidden="1">"A34334"</definedName>
    <definedName name="FDD_94_11" hidden="1">"A34699"</definedName>
    <definedName name="FDD_94_12" hidden="1">"A35064"</definedName>
    <definedName name="FDD_94_13" hidden="1">"A35430"</definedName>
    <definedName name="FDD_94_14" hidden="1">"A35795"</definedName>
    <definedName name="FDD_94_2" hidden="1">"A31412"</definedName>
    <definedName name="FDD_94_3" hidden="1">"A31777"</definedName>
    <definedName name="FDD_94_4" hidden="1">"A32142"</definedName>
    <definedName name="FDD_94_5" hidden="1">"A32508"</definedName>
    <definedName name="FDD_94_6" hidden="1">"A32873"</definedName>
    <definedName name="FDD_94_7" hidden="1">"A33238"</definedName>
    <definedName name="FDD_94_8" hidden="1">"A33603"</definedName>
    <definedName name="FDD_94_9" hidden="1">"A33969"</definedName>
    <definedName name="FDD_95_0" hidden="1">"A30681"</definedName>
    <definedName name="FDD_95_1" hidden="1">"A31047"</definedName>
    <definedName name="FDD_95_10" hidden="1">"A34334"</definedName>
    <definedName name="FDD_95_11" hidden="1">"A34699"</definedName>
    <definedName name="FDD_95_12" hidden="1">"A35064"</definedName>
    <definedName name="FDD_95_13" hidden="1">"A35430"</definedName>
    <definedName name="FDD_95_14" hidden="1">"A35795"</definedName>
    <definedName name="FDD_95_2" hidden="1">"A31412"</definedName>
    <definedName name="FDD_95_3" hidden="1">"A31777"</definedName>
    <definedName name="FDD_95_4" hidden="1">"A32142"</definedName>
    <definedName name="FDD_95_5" hidden="1">"A32508"</definedName>
    <definedName name="FDD_95_6" hidden="1">"A32873"</definedName>
    <definedName name="FDD_95_7" hidden="1">"A33238"</definedName>
    <definedName name="FDD_95_8" hidden="1">"A33603"</definedName>
    <definedName name="FDD_95_9" hidden="1">"A33969"</definedName>
    <definedName name="FDD_96_0" hidden="1">"U30681"</definedName>
    <definedName name="FDD_96_1" hidden="1">"A31047"</definedName>
    <definedName name="FDD_96_10" hidden="1">"A34334"</definedName>
    <definedName name="FDD_96_11" hidden="1">"A34699"</definedName>
    <definedName name="FDD_96_12" hidden="1">"A35064"</definedName>
    <definedName name="FDD_96_13" hidden="1">"A35430"</definedName>
    <definedName name="FDD_96_14" hidden="1">"A35795"</definedName>
    <definedName name="FDD_96_2" hidden="1">"A31412"</definedName>
    <definedName name="FDD_96_3" hidden="1">"A31777"</definedName>
    <definedName name="FDD_96_4" hidden="1">"A32142"</definedName>
    <definedName name="FDD_96_5" hidden="1">"A32508"</definedName>
    <definedName name="FDD_96_6" hidden="1">"A32873"</definedName>
    <definedName name="FDD_96_7" hidden="1">"A33238"</definedName>
    <definedName name="FDD_96_8" hidden="1">"A33603"</definedName>
    <definedName name="FDD_96_9" hidden="1">"A33969"</definedName>
    <definedName name="FDD_97_0" hidden="1">"U30681"</definedName>
    <definedName name="FDD_97_1" hidden="1">"A31047"</definedName>
    <definedName name="FDD_97_10" hidden="1">"A34334"</definedName>
    <definedName name="FDD_97_11" hidden="1">"A34699"</definedName>
    <definedName name="FDD_97_12" hidden="1">"A35064"</definedName>
    <definedName name="FDD_97_13" hidden="1">"A35430"</definedName>
    <definedName name="FDD_97_14" hidden="1">"A35795"</definedName>
    <definedName name="FDD_97_2" hidden="1">"A31412"</definedName>
    <definedName name="FDD_97_3" hidden="1">"A31777"</definedName>
    <definedName name="FDD_97_4" hidden="1">"A32142"</definedName>
    <definedName name="FDD_97_5" hidden="1">"A32508"</definedName>
    <definedName name="FDD_97_6" hidden="1">"A32873"</definedName>
    <definedName name="FDD_97_7" hidden="1">"A33238"</definedName>
    <definedName name="FDD_97_8" hidden="1">"A33603"</definedName>
    <definedName name="FDD_97_9" hidden="1">"A33969"</definedName>
    <definedName name="FDD_98_0" hidden="1">"U30681"</definedName>
    <definedName name="FDD_98_1" hidden="1">"A31047"</definedName>
    <definedName name="FDD_98_10" hidden="1">"A34334"</definedName>
    <definedName name="FDD_98_11" hidden="1">"A34699"</definedName>
    <definedName name="FDD_98_12" hidden="1">"A35064"</definedName>
    <definedName name="FDD_98_13" hidden="1">"A35430"</definedName>
    <definedName name="FDD_98_14" hidden="1">"A35795"</definedName>
    <definedName name="FDD_98_2" hidden="1">"A31412"</definedName>
    <definedName name="FDD_98_3" hidden="1">"A31777"</definedName>
    <definedName name="FDD_98_4" hidden="1">"A32142"</definedName>
    <definedName name="FDD_98_5" hidden="1">"A32508"</definedName>
    <definedName name="FDD_98_6" hidden="1">"A32873"</definedName>
    <definedName name="FDD_98_7" hidden="1">"A33238"</definedName>
    <definedName name="FDD_98_8" hidden="1">"A33603"</definedName>
    <definedName name="FDD_98_9" hidden="1">"A33969"</definedName>
    <definedName name="FDD_99_0" hidden="1">"U30681"</definedName>
    <definedName name="FDD_99_1" hidden="1">"A31047"</definedName>
    <definedName name="FDD_99_10" hidden="1">"A34334"</definedName>
    <definedName name="FDD_99_11" hidden="1">"A34699"</definedName>
    <definedName name="FDD_99_12" hidden="1">"A35064"</definedName>
    <definedName name="FDD_99_13" hidden="1">"A35430"</definedName>
    <definedName name="FDD_99_14" hidden="1">"A35795"</definedName>
    <definedName name="FDD_99_2" hidden="1">"A31412"</definedName>
    <definedName name="FDD_99_3" hidden="1">"A31777"</definedName>
    <definedName name="FDD_99_4" hidden="1">"A32142"</definedName>
    <definedName name="FDD_99_5" hidden="1">"A32508"</definedName>
    <definedName name="FDD_99_6" hidden="1">"A32873"</definedName>
    <definedName name="FDD_99_7" hidden="1">"A33238"</definedName>
    <definedName name="FDD_99_8" hidden="1">"A33603"</definedName>
    <definedName name="FDD_99_9" hidden="1">"A33969"</definedName>
    <definedName name="FINCriteriaType">1</definedName>
    <definedName name="FiveYearGrowthRate" localSheetId="9">IndexInformation!$B$16</definedName>
    <definedName name="fmv_04">{"Client Name or Project Name"}</definedName>
    <definedName name="FollowingYearEPS" localSheetId="9">IndexInformation!$B$15</definedName>
    <definedName name="FollowingYearTotalRevenue" localSheetId="9">IndexInformation!$B$14</definedName>
    <definedName name="FollowingYearTotalRevenueActual" localSheetId="9">IndexInformation!$B$34</definedName>
    <definedName name="guidance1">{9}</definedName>
    <definedName name="HL" localSheetId="10">ModPubIndex!$A$8</definedName>
    <definedName name="hn.ModelVersion" hidden="1">1</definedName>
    <definedName name="hn.NoUpload" hidden="1">0</definedName>
    <definedName name="HTML_CodePage" hidden="1">1252</definedName>
    <definedName name="HTML_Control" hidden="1">{"'Breakup 01 Euro'!$A$3:$I$30"}</definedName>
    <definedName name="HTML_Description" hidden="1">""</definedName>
    <definedName name="HTML_Email" hidden="1">""</definedName>
    <definedName name="HTML_Header" hidden="1">"Breakup 01 Euro"</definedName>
    <definedName name="HTML_LastUpdate" hidden="1">"27/02/2001"</definedName>
    <definedName name="HTML_LineAfter" hidden="1">FALSE</definedName>
    <definedName name="HTML_LineBefore" hidden="1">FALSE</definedName>
    <definedName name="HTML_Name" hidden="1">"jonasa"</definedName>
    <definedName name="HTML_OBDlg2" hidden="1">TRUE</definedName>
    <definedName name="HTML_OBDlg4" hidden="1">TRUE</definedName>
    <definedName name="HTML_OS" hidden="1">0</definedName>
    <definedName name="HTML_PathFile" hidden="1">"L:\AUTOS\XLDATA\Jonas\other\DCX_Sop.htm"</definedName>
    <definedName name="HTML_Title" hidden="1">"DAIC-INC"</definedName>
    <definedName name="IncomeEPSFullyDiluted">0</definedName>
    <definedName name="IncomeEPSPrimary">0</definedName>
    <definedName name="IncomeEPSRegular">0</definedName>
    <definedName name="IND" localSheetId="10">ModPubIndex!$A$9</definedName>
    <definedName name="Industry" localSheetId="0">ImportantDisclosures!$A$12</definedName>
    <definedName name="IndustryId">IndexInformation!$B$40</definedName>
    <definedName name="IndustryRating" localSheetId="0">ImportantDisclosures!$A$13</definedName>
    <definedName name="IQ" hidden="1">"c413"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L_Q" hidden="1">"c101"</definedName>
    <definedName name="IQ_CAL_Y" hidden="1">"c102"</definedName>
    <definedName name="IQ_CALL_FEATURE" hidden="1">"c2197"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IZED_INTEREST" hidden="1">"c2076"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UTSTANDING_BS_DATE" hidden="1">"c1971"</definedName>
    <definedName name="IQ_CLASSA_OUTSTANDING_FILING_DATE" hidden="1">"c1973"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PREMIUM" hidden="1">"c2195"</definedName>
    <definedName name="IQ_CONV_PRICE" hidden="1">"c2193"</definedName>
    <definedName name="IQ_CONV_RATE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XITY" hidden="1">"c2182"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INT" hidden="1">"c360"</definedName>
    <definedName name="IQ_EBIT_MARGIN" hidden="1">"c359"</definedName>
    <definedName name="IQ_EBIT_OVER_IE" hidden="1">"c1369"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INT" hidden="1">"c373"</definedName>
    <definedName name="IQ_EBITDA_MARGIN" hidden="1">"c372"</definedName>
    <definedName name="IQ_EBITDA_OVER_TOTAL_IE" hidden="1">"c1371"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UM_EST" hidden="1">"c402"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EPS" hidden="1">"c1648"</definedName>
    <definedName name="IQ_EST_CURRENCY" hidden="1">"c2140"</definedName>
    <definedName name="IQ_EST_DATE" hidden="1">"c1634"</definedName>
    <definedName name="IQ_EST_EPS_DIFF" hidden="1">"c1864"</definedName>
    <definedName name="IQ_EST_EPS_GROWTH_1YR" hidden="1">"c1636"</definedName>
    <definedName name="IQ_EST_EPS_GROWTH_5YR" hidden="1">"c1655"</definedName>
    <definedName name="IQ_EST_EPS_GROWTH_Q_1YR" hidden="1">"c1641"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"c1446"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"c1378"</definedName>
    <definedName name="IQ_GROSS_SPRD" hidden="1">"c2155"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ICENSED_POPS" hidden="1">"c2123"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REPAIR" hidden="1">"c2087"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FAS" hidden="1">"c795"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CLOSE_BALANCE_GAS" hidden="1">"c2049"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OIL" hidden="1">"c2035"</definedName>
    <definedName name="IQ_OG_PURCHASES_GAS" hidden="1">"c2045"</definedName>
    <definedName name="IQ_OG_PURCHASES_OIL" hidden="1">"c2033"</definedName>
    <definedName name="IQ_OG_REVISIONS_GAS" hidden="1">"c2042"</definedName>
    <definedName name="IQ_OG_REVISIONS_OIL" hidden="1">"c2030"</definedName>
    <definedName name="IQ_OG_SALES_IN_PLACE_GAS" hidden="1">"c2046"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ISSUED" hidden="1">"c857"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"c2128"</definedName>
    <definedName name="IQ_OUTSTANDING_FILING_DATE" hidden="1">"c2127"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NSION" hidden="1">"c1031"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VG_STORE_SIZE_GROSS" hidden="1">"c2066"</definedName>
    <definedName name="IQ_RETAIL_AVG_STORE_SIZE_NET" hidden="1">"c2067"</definedName>
    <definedName name="IQ_RETAIL_CLOSED_STORES" hidden="1">"c2063"</definedName>
    <definedName name="IQ_RETAIL_OPENED_STORES" hidden="1">"c2062"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Q_FOOTAGE" hidden="1">"c2064"</definedName>
    <definedName name="IQ_RETAIL_STORE_SELLING_AREA" hidden="1">"c2065"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UTI" hidden="1">"c1125"</definedName>
    <definedName name="IQ_REVENUE" hidden="1">"c1422"</definedName>
    <definedName name="IQ_REVISION_DATE_" hidden="1">38859.8503356481</definedName>
    <definedName name="IQ_REVISION_DATE__1" hidden="1">38859.8503356481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TW" hidden="1">"c2166"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MPLOYEE_AVG" hidden="1">"c1225"</definedName>
    <definedName name="IQ_TEV_TOTAL_REV" hidden="1">"c1226"</definedName>
    <definedName name="IQ_TEV_TOTAL_REV_AVG" hidden="1">"c1227"</definedName>
    <definedName name="IQ_TEV_UFCF" hidden="1">"c2208"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EXP" hidden="1">"c1291"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S" hidden="1">"c2119"</definedName>
    <definedName name="IQ_TOTAL_UNUSUAL" hidden="1">"c1508"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USUAL_EXP" hidden="1">"c1456"</definedName>
    <definedName name="IQ_US_GAAP" hidden="1">"c1331"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KeepVersions" localSheetId="9">IndexInformation!$B$8</definedName>
    <definedName name="LanguageCode">IndexInformation!$B$38</definedName>
    <definedName name="LastCell" localSheetId="0">ImportantDisclosures!$A$22</definedName>
    <definedName name="LiabilitiesCurrentAccruedLiabilities">0</definedName>
    <definedName name="LiabilitiesCurrentNotesPayable">0</definedName>
    <definedName name="LiabilitiesDeferredIncomeTaxes">0</definedName>
    <definedName name="LiabilitiesOther">0</definedName>
    <definedName name="LiabilitiesUnamortizedInvestmentTaxCredits">0</definedName>
    <definedName name="limcount" hidden="1">1</definedName>
    <definedName name="Linking_1" localSheetId="4">ccGro!$A$2:$AO$23</definedName>
    <definedName name="Linking_10">IS!$A$7:$CQ$71</definedName>
    <definedName name="Linking_11">RevBuild!$A$6:$CQ$80</definedName>
    <definedName name="Linking_14">OrgRev!$DL$6:$EJ$24</definedName>
    <definedName name="Linking_16">IS!$A$7:$CW$71</definedName>
    <definedName name="Linking_17">RevBuild!$A$6:$CW$80</definedName>
    <definedName name="Linking_2">IS!$A$7:$CK$59</definedName>
    <definedName name="Linking_25">OrgRev!$DL$6:$EN$24</definedName>
    <definedName name="Linking_28">IS!$A$7:$DC$71</definedName>
    <definedName name="Linking_29">RevBuild!$A$6:$DC$80</definedName>
    <definedName name="Linking_3">RevBuild!$A$6:$CK$81</definedName>
    <definedName name="Linking_31">ccGro!$A$27:$AW$34</definedName>
    <definedName name="Linking_4">CF!$A$7:$CK$65</definedName>
    <definedName name="Linking_5" localSheetId="4">ccGro!$A$4:$AP$23</definedName>
    <definedName name="Linking_7">OrgRev!$DL$6:$EB$24</definedName>
    <definedName name="Linking_8">OrgRev!$DL$6:$EF$24</definedName>
    <definedName name="Linking_Range_1">[3]DCF!$G$56:$Q$66</definedName>
    <definedName name="Linking_Range_10">'[3]P&amp;L'!$C$7:$CA$46</definedName>
    <definedName name="Linking_Range_11">BS!$A$7:$BY$62</definedName>
    <definedName name="Linking_Range_12">'[3]Q Variance'!$D$7:$P$37</definedName>
    <definedName name="Linking_Range_13">'[3]Q Variance'!$D$7:$Q$37</definedName>
    <definedName name="Linking_Range_14" localSheetId="4">ccGro!$A$4:$X$12</definedName>
    <definedName name="Linking_Range_14">'[3]Earnings Charts'!$A$1:$E$15</definedName>
    <definedName name="Linking_Range_15" localSheetId="4">ccGro!$A$2:$Y$12</definedName>
    <definedName name="Linking_Range_15">'[3]Earnings Charts'!$Q$50:$Y$90</definedName>
    <definedName name="Linking_Range_16" localSheetId="4">ccGro!$A$4:$AC$12</definedName>
    <definedName name="Linking_Range_16">'[3]Earnings Charts'!$H$17:$I$38</definedName>
    <definedName name="Linking_Range_17">BS!$A$7:$BY$46</definedName>
    <definedName name="Linking_Range_18">CF!$A$7:$BY$56</definedName>
    <definedName name="Linking_Range_19">OrgRev!$A$5:$BY$23</definedName>
    <definedName name="Linking_Range_20">'[3]Earnings Charts'!$Q$50:$X$90</definedName>
    <definedName name="Linking_Range_21">BS!$A$7:$BY$56</definedName>
    <definedName name="Linking_Range_22">CF!$A$7:$BY$59</definedName>
    <definedName name="Linking_Range_23">'[3]P&amp;L'!$C$7:$CA$60</definedName>
    <definedName name="Linking_Range_24" localSheetId="4">ccGro!$A$4:$Z$12</definedName>
    <definedName name="Linking_Range_24">OrgRev!$A$5:$BY$31</definedName>
    <definedName name="Linking_Range_25">'[3]P&amp;L'!$C$7:$BO$60</definedName>
    <definedName name="Linking_Range_26" localSheetId="4">ccGro!$A$2:$AA$12</definedName>
    <definedName name="Linking_Range_26">BS!$A$7:$BM$44</definedName>
    <definedName name="Linking_Range_27">CF!$A$7:$BM$65</definedName>
    <definedName name="Linking_Range_29" localSheetId="4">ccGro!$A$4:$AA$12</definedName>
    <definedName name="Linking_Range_29">OrgRev!$A$5:$BM$31</definedName>
    <definedName name="Linking_Range_3" localSheetId="4">ccGro!$A$2:$W$12</definedName>
    <definedName name="Linking_Range_3">[3]BBB!$B$1:$E$32</definedName>
    <definedName name="Linking_Range_30">BS!$A$7:$BY$44</definedName>
    <definedName name="Linking_Range_31" localSheetId="4">ccGro!$A$2:$AC$12</definedName>
    <definedName name="Linking_Range_31">CF!$A$7:$BY$54</definedName>
    <definedName name="Linking_Range_32">OrgRev!$A$5:$BM$23</definedName>
    <definedName name="Linking_Range_33">'[3]Earnings Charts'!$A$1:$F$15</definedName>
    <definedName name="Linking_Range_34" localSheetId="4">ccGro!$A$4:$AG$12</definedName>
    <definedName name="Linking_Range_34">IS!$A$7:$CK$71</definedName>
    <definedName name="Linking_Range_35">RevBuild!$A$6:$CK$78</definedName>
    <definedName name="Linking_Range_36">OrgRev!$A$5:$CE$36</definedName>
    <definedName name="Linking_Range_37">BS!$A$7:$CK$44</definedName>
    <definedName name="Linking_Range_38" localSheetId="4">ccGro!$A$2:$AF$12</definedName>
    <definedName name="Linking_Range_38">CF!$A$7:$CK$60</definedName>
    <definedName name="Linking_Range_39" localSheetId="4">ccGro!$A$2:$AG$23</definedName>
    <definedName name="Linking_Range_44" localSheetId="4">ccGro!$A$2:$AK$23</definedName>
    <definedName name="Linking_Range_49">RevBuild!$A$6:$CK$80</definedName>
    <definedName name="Linking_Range_5" localSheetId="4">ccGro!$A$4:$W$12</definedName>
    <definedName name="Linking_Range_5">'[3]P&amp;L'!$C$7:$CA$70</definedName>
    <definedName name="Linking_Range_50">OrgRev!$A$5:$CK$43</definedName>
    <definedName name="Linking_Range_51">CF!$A$7:$CK$54</definedName>
    <definedName name="Linking_Range_52">BS!$A$7:$CK$51</definedName>
    <definedName name="Linking_Range_53">OrgRev!$A$5:$CK$23</definedName>
    <definedName name="Linking_Range_54" localSheetId="4">ccGro!$A$4:$AK$23</definedName>
    <definedName name="Linking_Range_55">BS!$A$7:$CK$80</definedName>
    <definedName name="Linking_Range_6" localSheetId="4">ccGro!$A$2:$X$12</definedName>
    <definedName name="Linking_Range_6">BS!$A$7:$BY$68</definedName>
    <definedName name="Linking_Range_61">ccGro!$A$4:$AK$12</definedName>
    <definedName name="Linking_Range_62">ccGro!$A$4:$AK$23</definedName>
    <definedName name="Linking_Range_66">ccGro!$A$4:$AO$23</definedName>
    <definedName name="Linking_Range_7">CF!$A$7:$BY$65</definedName>
    <definedName name="Linking_Text_1">'[3]Q Variance'!$D$8</definedName>
    <definedName name="MacroVersion" localSheetId="9">IndexInformation!$B$1</definedName>
    <definedName name="ModelPrice" localSheetId="0">ImportantDisclosures!$A$14</definedName>
    <definedName name="MonitorRow">1</definedName>
    <definedName name="Multiplier" localSheetId="9">IndexInformation!$B$35</definedName>
    <definedName name="NetIncome">{"Client Name or Project Name"}</definedName>
    <definedName name="newDCF">{"Client Name or Project Name"}</definedName>
    <definedName name="newname14">{9}</definedName>
    <definedName name="newname18">{9}</definedName>
    <definedName name="newname19">{9}</definedName>
    <definedName name="newname20">{"Client Name or Project Name"}</definedName>
    <definedName name="newname22">{9}</definedName>
    <definedName name="newname23" hidden="1">{"'Breakup 01 Euro'!$A$3:$I$30"}</definedName>
    <definedName name="newname25" hidden="1">39244.4711574074</definedName>
    <definedName name="newname26">{"Client Name or Project Name"}</definedName>
    <definedName name="newname28">{"Client Name or Project Name"}</definedName>
    <definedName name="newname29">{"Client Name or Project Name"}</definedName>
    <definedName name="newname30">{"Client Name or Project Name"}</definedName>
    <definedName name="newname31">{126}</definedName>
    <definedName name="newname32">{1}</definedName>
    <definedName name="newname33">{0}</definedName>
    <definedName name="newname34">{126}</definedName>
    <definedName name="newname35">{"Client Name or Project Name"}</definedName>
    <definedName name="newname36">{"Client Name or Project Name"}</definedName>
    <definedName name="newname37">{"Client Name or Project Name"}</definedName>
    <definedName name="newname38">{"Client Name or Project Name"}</definedName>
    <definedName name="newname39">{"Client Name or Project Name"}</definedName>
    <definedName name="newname40">{"Client Name or Project Name"}</definedName>
    <definedName name="newname41">{"Client Name or Project Name"}</definedName>
    <definedName name="newname42">{"Client Name or Project Name"}</definedName>
    <definedName name="newname43">{"Client Name or Project Name"}</definedName>
    <definedName name="newProjectName">{"Client Name or Project Name"}</definedName>
    <definedName name="NewProjName">{"Client Name or Project Name"}</definedName>
    <definedName name="newstone" localSheetId="4">{"Client Name or Project Name"}</definedName>
    <definedName name="newstone">{"Client Name or Project Name"}</definedName>
    <definedName name="NextYearEPS" localSheetId="9">IndexInformation!$B$13</definedName>
    <definedName name="NextYearTotalRevenue" localSheetId="9">IndexInformation!$B$12</definedName>
    <definedName name="NextYearTotalRevenueActual" localSheetId="9">IndexInformation!$B$33</definedName>
    <definedName name="NoIdeaWhatToDo">{"Client Name or Project Name"}</definedName>
    <definedName name="Normalized_Income_Statement">"IS_Annual"</definedName>
    <definedName name="num">{126}</definedName>
    <definedName name="NumCUSIP">{1}</definedName>
    <definedName name="NumCUSIPMissing">{0}</definedName>
    <definedName name="NumInst">{126}</definedName>
    <definedName name="NVCURR">[4]I!$B$1:$U$51</definedName>
    <definedName name="ObjectType">IndexInformation!$B$37</definedName>
    <definedName name="OpExAmortization">0</definedName>
    <definedName name="OpExBeforeDepreciationAmortizationExtraordinariesOther">0</definedName>
    <definedName name="OpExBeforeDepreciationAmortizationExtraordinariesTotal">0</definedName>
    <definedName name="OpExCostOfEquipment">0</definedName>
    <definedName name="OpExDepreciation">0</definedName>
    <definedName name="OpExGeneralAdministrative">0</definedName>
    <definedName name="OpExSellingMarketing">0</definedName>
    <definedName name="OpExTotal">0</definedName>
    <definedName name="OtherExEquityIncome">0</definedName>
    <definedName name="OtherExGainOnSale">0</definedName>
    <definedName name="OtherExInterestIncome">0</definedName>
    <definedName name="OtherExMinorityInterest">0</definedName>
    <definedName name="OtherExTotal">0</definedName>
    <definedName name="over_15_years">0.1</definedName>
    <definedName name="PANA" localSheetId="10">ModPubIndex!$A$11</definedName>
    <definedName name="PathName" localSheetId="9">IndexInformation!$B$25</definedName>
    <definedName name="PPP">{"Client Name or Project Name"}</definedName>
    <definedName name="_xlnm.Print_Area" localSheetId="6">BS!$A$2:$CQ$52</definedName>
    <definedName name="_xlnm.Print_Area" localSheetId="4">ccGro!$A$1:$AK$135</definedName>
    <definedName name="_xlnm.Print_Area" localSheetId="7">CF!$A$2:$CQ$65</definedName>
    <definedName name="_xlnm.Print_Area" localSheetId="1">IS!$A$2:$CQ$130</definedName>
    <definedName name="_xlnm.Print_Area" localSheetId="5">OrgRev!$A$2:$CQ$52</definedName>
    <definedName name="_xlnm.Print_Area" localSheetId="2">RevBuild!$A$5:$CQ$80</definedName>
    <definedName name="_xlnm.Print_Area">"Formula removed, name can be deleted."</definedName>
    <definedName name="_xlnm.Print_Titles">"Formula removed, name can be deleted."</definedName>
    <definedName name="PRODUCT" localSheetId="10">ModPubIndex!$A$6</definedName>
    <definedName name="ProjectName" localSheetId="4">{"Client Name or Project Name"}</definedName>
    <definedName name="ProjectName" localSheetId="7">{"Client Name or Project Name"}</definedName>
    <definedName name="ProjectName" localSheetId="5">{"Client Name or Project Name"}</definedName>
    <definedName name="ProjectName">{"Client Name or Project Name"}</definedName>
    <definedName name="ProjectName_1">{"Client Name or Project Name"}</definedName>
    <definedName name="ProjectName_2">{"Client Name or Project Name"}</definedName>
    <definedName name="ProjectName_Options">{"Client Name or Project Name"}</definedName>
    <definedName name="ProjectName2">{"Client Name or Project Name"}</definedName>
    <definedName name="projectnamez">{"Client Name or Project Name"}</definedName>
    <definedName name="pronames">{"Client Name or Project Name"}</definedName>
    <definedName name="PSYM" localSheetId="10">ModPubIndex!$A$4</definedName>
    <definedName name="PUB_UserID" hidden="1">"MAYERX"</definedName>
    <definedName name="PublishDate" localSheetId="9">IndexInformation!$B$2</definedName>
    <definedName name="qqq">{9}</definedName>
    <definedName name="Rating" localSheetId="9">IndexInformation!$B$9</definedName>
    <definedName name="RatingsDefined" localSheetId="0">ImportantDisclosures!$A$21</definedName>
    <definedName name="RatingsDefs" localSheetId="0">ImportantDisclosures!#REF!</definedName>
    <definedName name="RegACDisclosure" localSheetId="0">ImportantDisclosures!#REF!</definedName>
    <definedName name="ResearchTopic" localSheetId="9">IndexInformation!$B$4</definedName>
    <definedName name="RevenuesCellularEquipment">0</definedName>
    <definedName name="RevenuesCellularOther">0</definedName>
    <definedName name="RevenuesCellularService">0</definedName>
    <definedName name="RevenuesCellularTotal">0</definedName>
    <definedName name="RevenuesPagingEquipment">0</definedName>
    <definedName name="RevenuesPagingOther">0</definedName>
    <definedName name="RevenuesPagingService">0</definedName>
    <definedName name="RevenuesPagingTotal">0</definedName>
    <definedName name="RevenuesWirelessEquipment">0</definedName>
    <definedName name="RevenuesWirelessOther">0</definedName>
    <definedName name="RevenuesWirelessService">0</definedName>
    <definedName name="RIC" localSheetId="9">IndexInformation!$B$21</definedName>
    <definedName name="RiskAutoStopPercChange">1.5</definedName>
    <definedName name="RiskCollectDistributionSamples">2</definedName>
    <definedName name="RiskExcelReportsGoInNewWorkbook">TRUE</definedName>
    <definedName name="RiskExcelReportsToGenerate">1024</definedName>
    <definedName name="RiskFixedSeed">923</definedName>
    <definedName name="RiskGenerateExcelReportsAtEndOfSimulation">FALSE</definedName>
    <definedName name="RiskHasSettings">TRUE</definedName>
    <definedName name="RiskMinimizeOnStart">TRUE</definedName>
    <definedName name="RiskMonitorConvergence">FALSE</definedName>
    <definedName name="RiskNumIterations">10000</definedName>
    <definedName name="RiskNumSimulations">1</definedName>
    <definedName name="RiskPauseOnError">FALSE</definedName>
    <definedName name="RiskRealTimeResults">FALSE</definedName>
    <definedName name="RiskReportGraphFormat">0</definedName>
    <definedName name="RiskResultsUpdateFreq">100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2</definedName>
    <definedName name="RiskShowRiskWindowAtEndOfSimulation">TRUE</definedName>
    <definedName name="RiskStandardRecalc">1</definedName>
    <definedName name="RiskTemplateSheetName">"myTemplate"</definedName>
    <definedName name="RiskUpdateDisplay">FALSE</definedName>
    <definedName name="RiskUseDifferentSeedForEachSim">FALSE</definedName>
    <definedName name="RiskUseFixedSeed">TRUE</definedName>
    <definedName name="RiskUseMultipleCPUs">FALSE</definedName>
    <definedName name="SecondROI">{"Client Name or Project Name"}</definedName>
    <definedName name="SECSettlement" localSheetId="0">ImportantDisclosures!#REF!</definedName>
    <definedName name="SEDOL" localSheetId="9">IndexInformation!$B$22</definedName>
    <definedName name="sencount" hidden="1">2</definedName>
    <definedName name="SharesConvertibleSecurities">0</definedName>
    <definedName name="SharesFullyDiluted">0</definedName>
    <definedName name="SharesOptions">0</definedName>
    <definedName name="SharesOutstandingLatestDate">0</definedName>
    <definedName name="SharesOutstandingOther">0</definedName>
    <definedName name="SharesOutstandingSenior">0</definedName>
    <definedName name="SharesOutstandingSubordinate">0</definedName>
    <definedName name="SharesPrimary">0</definedName>
    <definedName name="SharesWarrants">0</definedName>
    <definedName name="SourceDefined" localSheetId="0">ImportantDisclosures!$A$19</definedName>
    <definedName name="Space">"          "</definedName>
    <definedName name="Spaces">"      "</definedName>
    <definedName name="Stand1">{"Client Name or Project Name"}</definedName>
    <definedName name="state">{"Client Name or Project Name"}</definedName>
    <definedName name="States">{"Client Name or Project Name"}</definedName>
    <definedName name="StatsAccessLinesDomesticInternationalTotalAverage">0</definedName>
    <definedName name="StatsAccessLinesTotalAverage">0</definedName>
    <definedName name="StatsAverageMonthlyRevenue">0</definedName>
    <definedName name="StatsEmployeesConsolidatedInternational">0</definedName>
    <definedName name="StatsEmployeesTelephoneInternational">0</definedName>
    <definedName name="StatsPagingAverageMonthlyRevenue">0</definedName>
    <definedName name="StatsPagingSubscribers">0</definedName>
    <definedName name="StatsPenetration">0</definedName>
    <definedName name="StatsPOPS">0</definedName>
    <definedName name="StatsProportionatePenetration">0</definedName>
    <definedName name="StatsProportionatePOPS">0</definedName>
    <definedName name="StatsProportionateSubscribersAverage">0</definedName>
    <definedName name="StatsProportionateSubscribersBeginning">0</definedName>
    <definedName name="StatsProportionateSubscribersEnding">0</definedName>
    <definedName name="StatsProportionateSubscribersNetAdds">0</definedName>
    <definedName name="StatsSubscribersAverage">0</definedName>
    <definedName name="StatsSubscribersBeginning">0</definedName>
    <definedName name="StatsSubscribersEnding">0</definedName>
    <definedName name="StatsSubscribersNetAdds">0</definedName>
    <definedName name="StockRating" localSheetId="0">ImportantDisclosures!$A$11</definedName>
    <definedName name="SubjectCode" localSheetId="9">IndexInformation!$B$6</definedName>
    <definedName name="SubmitterUserId">IndexInformation!$B$39</definedName>
    <definedName name="SUPPRESSED" localSheetId="10">ModPubIndex!$A$13</definedName>
    <definedName name="Table_16">"GENEYE"</definedName>
    <definedName name="Tarceva.new">{"Client Name or Project Name"}</definedName>
    <definedName name="TargetPrice" localSheetId="0">ImportantDisclosures!$A$15</definedName>
    <definedName name="TemplateRegion">IndexInformation!$B$36</definedName>
    <definedName name="Ticker" localSheetId="0">ImportantDisclosures!$A$10</definedName>
    <definedName name="TickerRegion">IndexInformation!$B$41</definedName>
    <definedName name="Tickers" localSheetId="9">IndexInformation!$B$19</definedName>
    <definedName name="tones">{"Client Name or Project Name"}</definedName>
    <definedName name="trc_XLS_DATASHEET_ProtectDate">35417.7656018519</definedName>
    <definedName name="UpdateReason" localSheetId="9">IndexInformation!$B$17</definedName>
    <definedName name="USRegDisclosures" localSheetId="0">ImportantDisclosures!#REF!</definedName>
    <definedName name="Validation">"MAM"</definedName>
    <definedName name="ValuationAdjustmentsOther">0</definedName>
    <definedName name="ValuationAdjustmentsValue">0</definedName>
    <definedName name="ValuationCellularValue">0</definedName>
    <definedName name="ValuationDebtAdjustment">0</definedName>
    <definedName name="ValuationDebtNet">0</definedName>
    <definedName name="ValuationDebtTotal">0</definedName>
    <definedName name="ValuationFirmValue">0</definedName>
    <definedName name="ValuationInvestments">0</definedName>
    <definedName name="ValuationMarketCapitalization">0</definedName>
    <definedName name="ValuationOtherValue">0</definedName>
    <definedName name="ValuationPagingValue">0</definedName>
    <definedName name="ValuationTelephoneValue">0</definedName>
    <definedName name="ValuationWirelessValue">0</definedName>
    <definedName name="Version">"June 29, 2004"</definedName>
  </definedNames>
  <calcPr calcId="145621"/>
</workbook>
</file>

<file path=xl/calcChain.xml><?xml version="1.0" encoding="utf-8"?>
<calcChain xmlns="http://schemas.openxmlformats.org/spreadsheetml/2006/main">
  <c r="CT46" i="7" l="1"/>
  <c r="CJ133" i="7" l="1"/>
  <c r="CJ129" i="7"/>
  <c r="CJ131" i="7" s="1"/>
  <c r="CJ128" i="7"/>
  <c r="CJ130" i="7" s="1"/>
  <c r="CJ124" i="7"/>
  <c r="CJ122" i="7"/>
  <c r="CJ134" i="7" s="1"/>
  <c r="CK134" i="7"/>
  <c r="CK132" i="7"/>
  <c r="CK130" i="7"/>
  <c r="CK129" i="7"/>
  <c r="CK131" i="7" s="1"/>
  <c r="CK126" i="7"/>
  <c r="CK124" i="7"/>
  <c r="CK123" i="7"/>
  <c r="CK125" i="7" s="1"/>
  <c r="CJ117" i="7"/>
  <c r="CJ118" i="7" s="1"/>
  <c r="CJ114" i="7"/>
  <c r="CJ115" i="7" s="1"/>
  <c r="CK117" i="7"/>
  <c r="CK114" i="7"/>
  <c r="CJ102" i="7"/>
  <c r="CK14" i="1"/>
  <c r="CK13" i="1"/>
  <c r="CK47" i="1" s="1"/>
  <c r="CK10" i="1"/>
  <c r="CJ40" i="1"/>
  <c r="CJ14" i="1"/>
  <c r="CJ48" i="1" s="1"/>
  <c r="CJ13" i="1"/>
  <c r="CJ12" i="1" s="1"/>
  <c r="CJ11" i="1"/>
  <c r="CJ105" i="7" s="1"/>
  <c r="CJ10" i="1"/>
  <c r="CK48" i="1" l="1"/>
  <c r="CJ9" i="1"/>
  <c r="CJ47" i="1"/>
  <c r="CK11" i="1"/>
  <c r="CK9" i="1" s="1"/>
  <c r="CJ126" i="7"/>
  <c r="CJ123" i="7"/>
  <c r="CJ125" i="7" s="1"/>
  <c r="CJ132" i="7"/>
  <c r="CJ108" i="7"/>
  <c r="CJ57" i="1" l="1"/>
  <c r="CJ52" i="1"/>
  <c r="CJ46" i="1"/>
  <c r="CJ51" i="1"/>
  <c r="CK118" i="3" l="1"/>
  <c r="BR73" i="9"/>
  <c r="BR71" i="9"/>
  <c r="BR70" i="9"/>
  <c r="BR67" i="9"/>
  <c r="BR65" i="9"/>
  <c r="BR63" i="9"/>
  <c r="BR62" i="9"/>
  <c r="BR61" i="9"/>
  <c r="BR60" i="9"/>
  <c r="BR59" i="9"/>
  <c r="BR58" i="9"/>
  <c r="BR57" i="9"/>
  <c r="BR56" i="9"/>
  <c r="BR55" i="9"/>
  <c r="BR54" i="9"/>
  <c r="BR53" i="9"/>
  <c r="BR52" i="9"/>
  <c r="BR51" i="9"/>
  <c r="BR50" i="9"/>
  <c r="BR49" i="9"/>
  <c r="BR48" i="9"/>
  <c r="BR47" i="9"/>
  <c r="BR46" i="9"/>
  <c r="BR45" i="9"/>
  <c r="BR44" i="9"/>
  <c r="BR43" i="9"/>
  <c r="BR42" i="9"/>
  <c r="BR41" i="9"/>
  <c r="BR64" i="9" s="1"/>
  <c r="BR68" i="9" s="1"/>
  <c r="BL65" i="9"/>
  <c r="BR15" i="9" l="1"/>
  <c r="CJ85" i="3"/>
  <c r="CJ84" i="3"/>
  <c r="CJ83" i="3"/>
  <c r="CJ92" i="3"/>
  <c r="CJ127" i="3"/>
  <c r="CJ122" i="3"/>
  <c r="CJ112" i="3"/>
  <c r="CJ30" i="3"/>
  <c r="CJ19" i="3"/>
  <c r="CW27" i="7" l="1"/>
  <c r="CV27" i="7"/>
  <c r="CU27" i="7"/>
  <c r="CT27" i="7"/>
  <c r="CS27" i="7"/>
  <c r="CU26" i="7"/>
  <c r="CT26" i="7"/>
  <c r="CS26" i="7"/>
  <c r="CO26" i="7"/>
  <c r="CN26" i="7"/>
  <c r="CM26" i="7"/>
  <c r="CT25" i="7" l="1"/>
  <c r="CS25" i="7"/>
  <c r="CU25" i="7"/>
  <c r="CK65" i="4"/>
  <c r="CJ104" i="1" l="1"/>
  <c r="CJ101" i="1"/>
  <c r="CJ100" i="1" s="1"/>
  <c r="CJ90" i="1"/>
  <c r="CJ92" i="1"/>
  <c r="CJ83" i="1"/>
  <c r="CJ91" i="1" s="1"/>
  <c r="CK106" i="1"/>
  <c r="CK99" i="1"/>
  <c r="CK89" i="1"/>
  <c r="CK82" i="1"/>
  <c r="CK77" i="1"/>
  <c r="CK76" i="1"/>
  <c r="CK75" i="1"/>
  <c r="CK74" i="1"/>
  <c r="CJ78" i="1"/>
  <c r="CJ93" i="1" l="1"/>
  <c r="CJ94" i="1" s="1"/>
  <c r="CJ105" i="1"/>
  <c r="CJ85" i="1"/>
  <c r="CJ86" i="1" s="1"/>
  <c r="CK78" i="1"/>
  <c r="CJ107" i="1"/>
  <c r="CJ79" i="1"/>
  <c r="CJ87" i="1" l="1"/>
  <c r="DI27" i="7" l="1"/>
  <c r="DH27" i="7"/>
  <c r="DG27" i="7"/>
  <c r="DF27" i="7"/>
  <c r="DE27" i="7"/>
  <c r="DH26" i="7"/>
  <c r="DG26" i="7"/>
  <c r="DG25" i="7" s="1"/>
  <c r="DF26" i="7"/>
  <c r="DE26" i="7"/>
  <c r="DE25" i="7" s="1"/>
  <c r="DC27" i="7"/>
  <c r="DB27" i="7"/>
  <c r="DA27" i="7"/>
  <c r="CZ27" i="7"/>
  <c r="CY27" i="7"/>
  <c r="DB26" i="7"/>
  <c r="DA26" i="7"/>
  <c r="DA25" i="7" s="1"/>
  <c r="CZ26" i="7"/>
  <c r="CY26" i="7"/>
  <c r="CY25" i="7" s="1"/>
  <c r="DB25" i="7"/>
  <c r="CQ27" i="7"/>
  <c r="CP27" i="7"/>
  <c r="CO27" i="7"/>
  <c r="CO25" i="7" s="1"/>
  <c r="CN27" i="7"/>
  <c r="CM27" i="7"/>
  <c r="CM25" i="7" s="1"/>
  <c r="DH25" i="7" l="1"/>
  <c r="DF25" i="7"/>
  <c r="CZ25" i="7"/>
  <c r="CN25" i="7"/>
  <c r="CJ73" i="3"/>
  <c r="CP73" i="3" s="1"/>
  <c r="CV73" i="3" s="1"/>
  <c r="DB73" i="3" s="1"/>
  <c r="DH73" i="3" s="1"/>
  <c r="CJ72" i="3"/>
  <c r="CP72" i="3" s="1"/>
  <c r="CV72" i="3" s="1"/>
  <c r="DB72" i="3" s="1"/>
  <c r="DH72" i="3" s="1"/>
  <c r="CJ71" i="3"/>
  <c r="CP71" i="3" s="1"/>
  <c r="CV71" i="3" s="1"/>
  <c r="DB71" i="3" s="1"/>
  <c r="DH71" i="3" l="1"/>
  <c r="DH74" i="3" s="1"/>
  <c r="DB74" i="3"/>
  <c r="CV74" i="3"/>
  <c r="CJ74" i="3"/>
  <c r="DF46" i="7" l="1"/>
  <c r="DG46" i="7" s="1"/>
  <c r="DH46" i="7" s="1"/>
  <c r="CZ46" i="7"/>
  <c r="DA46" i="7" s="1"/>
  <c r="DB46" i="7" s="1"/>
  <c r="DF38" i="7"/>
  <c r="DG38" i="7" s="1"/>
  <c r="DH38" i="7" s="1"/>
  <c r="CZ38" i="7"/>
  <c r="DA38" i="7" s="1"/>
  <c r="DB38" i="7" s="1"/>
  <c r="DF58" i="1" l="1"/>
  <c r="DG58" i="1" s="1"/>
  <c r="DH58" i="1" s="1"/>
  <c r="CZ58" i="1"/>
  <c r="DA58" i="1" s="1"/>
  <c r="DB58" i="1" s="1"/>
  <c r="CT58" i="1"/>
  <c r="CU58" i="1" s="1"/>
  <c r="CV58" i="1" s="1"/>
  <c r="CM42" i="4"/>
  <c r="BQ15" i="9" l="1"/>
  <c r="BQ65" i="9"/>
  <c r="BQ62" i="9"/>
  <c r="BQ61" i="9"/>
  <c r="BQ60" i="9"/>
  <c r="BQ59" i="9"/>
  <c r="BQ58" i="9"/>
  <c r="BQ57" i="9"/>
  <c r="BQ56" i="9"/>
  <c r="BQ55" i="9"/>
  <c r="BQ54" i="9"/>
  <c r="BQ53" i="9"/>
  <c r="BQ52" i="9"/>
  <c r="BQ51" i="9"/>
  <c r="BQ50" i="9"/>
  <c r="BQ49" i="9"/>
  <c r="BQ48" i="9"/>
  <c r="BQ47" i="9"/>
  <c r="BQ46" i="9"/>
  <c r="BQ45" i="9"/>
  <c r="BQ44" i="9"/>
  <c r="BQ43" i="9"/>
  <c r="BQ42" i="9"/>
  <c r="BQ41" i="9"/>
  <c r="CI127" i="3" l="1"/>
  <c r="CJ124" i="3" s="1"/>
  <c r="CI122" i="3"/>
  <c r="CJ117" i="3" s="1"/>
  <c r="CI112" i="3"/>
  <c r="CI92" i="3"/>
  <c r="CI49" i="3"/>
  <c r="CI50" i="3" s="1"/>
  <c r="CI19" i="3"/>
  <c r="CI85" i="4"/>
  <c r="CI74" i="4"/>
  <c r="CI53" i="7"/>
  <c r="CI65" i="7"/>
  <c r="CI117" i="7" s="1"/>
  <c r="CH65" i="7"/>
  <c r="CH53" i="7"/>
  <c r="CI62" i="7"/>
  <c r="CI64" i="7"/>
  <c r="CH64" i="7"/>
  <c r="CH62" i="7"/>
  <c r="CI50" i="7"/>
  <c r="CI52" i="7"/>
  <c r="CH52" i="7"/>
  <c r="CH50" i="7"/>
  <c r="CI114" i="7" l="1"/>
  <c r="CI51" i="3"/>
  <c r="CI105" i="7"/>
  <c r="CI102" i="7"/>
  <c r="CI116" i="1"/>
  <c r="CI65" i="1"/>
  <c r="CI64" i="1"/>
  <c r="CI48" i="1"/>
  <c r="CI47" i="1"/>
  <c r="CI43" i="1"/>
  <c r="CI12" i="1"/>
  <c r="CI13" i="1"/>
  <c r="CI14" i="1"/>
  <c r="CI9" i="1"/>
  <c r="CI57" i="1" s="1"/>
  <c r="CI11" i="1"/>
  <c r="CI51" i="1" l="1"/>
  <c r="CI85" i="3"/>
  <c r="CI84" i="3"/>
  <c r="CI71" i="3"/>
  <c r="CO71" i="3" s="1"/>
  <c r="CU71" i="3" s="1"/>
  <c r="DA71" i="3" s="1"/>
  <c r="CI83" i="3"/>
  <c r="CI72" i="3"/>
  <c r="CO72" i="3" s="1"/>
  <c r="CU72" i="3" s="1"/>
  <c r="DA72" i="3" s="1"/>
  <c r="DG72" i="3" s="1"/>
  <c r="CI73" i="3"/>
  <c r="CO73" i="3" s="1"/>
  <c r="CU73" i="3" s="1"/>
  <c r="DA73" i="3" s="1"/>
  <c r="DG73" i="3" s="1"/>
  <c r="CI52" i="1"/>
  <c r="CI46" i="1"/>
  <c r="CI108" i="7"/>
  <c r="W56" i="3"/>
  <c r="V56" i="3"/>
  <c r="U56" i="3"/>
  <c r="T56" i="3"/>
  <c r="S56" i="3"/>
  <c r="Q56" i="3"/>
  <c r="O56" i="3"/>
  <c r="M56" i="3"/>
  <c r="K56" i="3"/>
  <c r="I56" i="3"/>
  <c r="G56" i="3"/>
  <c r="E56" i="3"/>
  <c r="DA74" i="3" l="1"/>
  <c r="DG71" i="3"/>
  <c r="DG74" i="3" s="1"/>
  <c r="CU74" i="3"/>
  <c r="CI74" i="3"/>
  <c r="CH190" i="3"/>
  <c r="CG190" i="3"/>
  <c r="CD190" i="3"/>
  <c r="CC190" i="3"/>
  <c r="CB190" i="3"/>
  <c r="CA190" i="3"/>
  <c r="BX190" i="3"/>
  <c r="BW190" i="3"/>
  <c r="BV190" i="3"/>
  <c r="BU190" i="3"/>
  <c r="BR190" i="3"/>
  <c r="BQ190" i="3"/>
  <c r="BP190" i="3"/>
  <c r="BO190" i="3"/>
  <c r="BL190" i="3"/>
  <c r="BK190" i="3"/>
  <c r="BJ190" i="3"/>
  <c r="BI190" i="3"/>
  <c r="BF190" i="3"/>
  <c r="BE190" i="3"/>
  <c r="BD190" i="3"/>
  <c r="BC190" i="3"/>
  <c r="AZ190" i="3"/>
  <c r="AY190" i="3"/>
  <c r="AX190" i="3"/>
  <c r="AW190" i="3"/>
  <c r="AT190" i="3"/>
  <c r="AS190" i="3"/>
  <c r="AR190" i="3"/>
  <c r="AQ190" i="3"/>
  <c r="AN190" i="3"/>
  <c r="AM190" i="3"/>
  <c r="AL190" i="3"/>
  <c r="AK190" i="3"/>
  <c r="AH190" i="3"/>
  <c r="AG190" i="3"/>
  <c r="AF190" i="3"/>
  <c r="AE190" i="3"/>
  <c r="AB190" i="3"/>
  <c r="AA190" i="3"/>
  <c r="Z190" i="3"/>
  <c r="Y190" i="3"/>
  <c r="BA179" i="3" l="1"/>
  <c r="AU179" i="3"/>
  <c r="AO179" i="3"/>
  <c r="AI179" i="3"/>
  <c r="AC179" i="3"/>
  <c r="CD197" i="3" l="1"/>
  <c r="CC197" i="3"/>
  <c r="CB197" i="3"/>
  <c r="CA197" i="3"/>
  <c r="CD195" i="3"/>
  <c r="CC195" i="3"/>
  <c r="CB195" i="3"/>
  <c r="CA195" i="3"/>
  <c r="CD191" i="3"/>
  <c r="CC191" i="3"/>
  <c r="CB191" i="3"/>
  <c r="CA191" i="3"/>
  <c r="CD187" i="3"/>
  <c r="CC187" i="3"/>
  <c r="CB187" i="3"/>
  <c r="CA187" i="3"/>
  <c r="BX197" i="3"/>
  <c r="BW197" i="3"/>
  <c r="BV197" i="3"/>
  <c r="BU197" i="3"/>
  <c r="BX195" i="3"/>
  <c r="BW195" i="3"/>
  <c r="BV195" i="3"/>
  <c r="BU195" i="3"/>
  <c r="BX191" i="3"/>
  <c r="BW191" i="3"/>
  <c r="BV191" i="3"/>
  <c r="BU191" i="3"/>
  <c r="BX187" i="3"/>
  <c r="BW187" i="3"/>
  <c r="BV187" i="3"/>
  <c r="BU187" i="3"/>
  <c r="BR197" i="3"/>
  <c r="BQ197" i="3"/>
  <c r="BP197" i="3"/>
  <c r="BO197" i="3"/>
  <c r="BR195" i="3"/>
  <c r="BQ195" i="3"/>
  <c r="BP195" i="3"/>
  <c r="BO195" i="3"/>
  <c r="BR191" i="3"/>
  <c r="BQ191" i="3"/>
  <c r="BP191" i="3"/>
  <c r="BR187" i="3"/>
  <c r="BQ187" i="3"/>
  <c r="BP187" i="3"/>
  <c r="BO187" i="3"/>
  <c r="BL197" i="3"/>
  <c r="BK197" i="3"/>
  <c r="BJ197" i="3"/>
  <c r="BI197" i="3"/>
  <c r="BL195" i="3"/>
  <c r="BK195" i="3"/>
  <c r="BJ195" i="3"/>
  <c r="BI195" i="3"/>
  <c r="BL191" i="3"/>
  <c r="BK191" i="3"/>
  <c r="BJ191" i="3"/>
  <c r="BI191" i="3"/>
  <c r="BL187" i="3"/>
  <c r="BK187" i="3"/>
  <c r="BJ187" i="3"/>
  <c r="BI187" i="3"/>
  <c r="BF197" i="3"/>
  <c r="BE197" i="3"/>
  <c r="BD197" i="3"/>
  <c r="BC197" i="3"/>
  <c r="BF195" i="3"/>
  <c r="BE195" i="3"/>
  <c r="BD195" i="3"/>
  <c r="BC195" i="3"/>
  <c r="BF191" i="3"/>
  <c r="BE191" i="3"/>
  <c r="BD191" i="3"/>
  <c r="BC191" i="3"/>
  <c r="BF187" i="3"/>
  <c r="BE187" i="3"/>
  <c r="BD187" i="3"/>
  <c r="BC187" i="3"/>
  <c r="AZ197" i="3"/>
  <c r="AY197" i="3"/>
  <c r="AX197" i="3"/>
  <c r="AW197" i="3"/>
  <c r="AZ195" i="3"/>
  <c r="AY195" i="3"/>
  <c r="AX195" i="3"/>
  <c r="AW195" i="3"/>
  <c r="AZ191" i="3"/>
  <c r="AY191" i="3"/>
  <c r="AX191" i="3"/>
  <c r="AW191" i="3"/>
  <c r="AZ187" i="3"/>
  <c r="AY187" i="3"/>
  <c r="AX187" i="3"/>
  <c r="AW187" i="3"/>
  <c r="AT197" i="3"/>
  <c r="AS197" i="3"/>
  <c r="AR197" i="3"/>
  <c r="AQ197" i="3"/>
  <c r="AT195" i="3"/>
  <c r="AS195" i="3"/>
  <c r="AR195" i="3"/>
  <c r="AQ195" i="3"/>
  <c r="AT191" i="3"/>
  <c r="AS191" i="3"/>
  <c r="AR191" i="3"/>
  <c r="AQ191" i="3"/>
  <c r="AT187" i="3"/>
  <c r="AS187" i="3"/>
  <c r="AR187" i="3"/>
  <c r="AQ187" i="3"/>
  <c r="AN197" i="3"/>
  <c r="AM197" i="3"/>
  <c r="AL197" i="3"/>
  <c r="AK197" i="3"/>
  <c r="AN195" i="3"/>
  <c r="AM195" i="3"/>
  <c r="AL195" i="3"/>
  <c r="AK195" i="3"/>
  <c r="AN191" i="3"/>
  <c r="AM191" i="3"/>
  <c r="AL191" i="3"/>
  <c r="AK191" i="3"/>
  <c r="AN187" i="3"/>
  <c r="AM187" i="3"/>
  <c r="AL187" i="3"/>
  <c r="AK187" i="3"/>
  <c r="AH197" i="3"/>
  <c r="AG197" i="3"/>
  <c r="AF197" i="3"/>
  <c r="AE197" i="3"/>
  <c r="AH195" i="3"/>
  <c r="AG195" i="3"/>
  <c r="AF195" i="3"/>
  <c r="AE195" i="3"/>
  <c r="AH191" i="3"/>
  <c r="AG191" i="3"/>
  <c r="AF191" i="3"/>
  <c r="AE191" i="3"/>
  <c r="AH187" i="3"/>
  <c r="AG187" i="3"/>
  <c r="AF187" i="3"/>
  <c r="AE187" i="3"/>
  <c r="AB197" i="3"/>
  <c r="AA197" i="3"/>
  <c r="Z197" i="3"/>
  <c r="Y197" i="3"/>
  <c r="AB195" i="3"/>
  <c r="AA195" i="3"/>
  <c r="Z195" i="3"/>
  <c r="Y195" i="3"/>
  <c r="AB191" i="3"/>
  <c r="AA191" i="3"/>
  <c r="Z191" i="3"/>
  <c r="Y191" i="3"/>
  <c r="AB187" i="3"/>
  <c r="AA187" i="3"/>
  <c r="Z187" i="3"/>
  <c r="Y187" i="3"/>
  <c r="CH197" i="3"/>
  <c r="CG197" i="3"/>
  <c r="CH195" i="3"/>
  <c r="CG195" i="3"/>
  <c r="CH191" i="3"/>
  <c r="CG191" i="3"/>
  <c r="CH187" i="3"/>
  <c r="CG187" i="3"/>
  <c r="AW85" i="36" l="1"/>
  <c r="BQ73" i="9" l="1"/>
  <c r="BQ74" i="9"/>
  <c r="CI190" i="7"/>
  <c r="CI191" i="7"/>
  <c r="CI193" i="7"/>
  <c r="CI122" i="7"/>
  <c r="CI56" i="7"/>
  <c r="BQ75" i="9" l="1"/>
  <c r="BR75" i="9" s="1"/>
  <c r="BR74" i="9" s="1"/>
  <c r="CI134" i="7"/>
  <c r="CI101" i="1"/>
  <c r="CI100" i="1" s="1"/>
  <c r="CI107" i="1" s="1"/>
  <c r="CI90" i="1"/>
  <c r="CI92" i="1"/>
  <c r="CI83" i="1"/>
  <c r="CI105" i="1" s="1"/>
  <c r="CI78" i="1"/>
  <c r="CI79" i="1" s="1"/>
  <c r="CI75" i="1"/>
  <c r="CI104" i="1" s="1"/>
  <c r="CI17" i="1"/>
  <c r="CI85" i="1" l="1"/>
  <c r="CI86" i="1" s="1"/>
  <c r="CI91" i="1"/>
  <c r="CI93" i="1" l="1"/>
  <c r="CI94" i="1" s="1"/>
  <c r="CI87" i="1"/>
  <c r="EN18" i="8" l="1"/>
  <c r="EM18" i="8"/>
  <c r="EL18" i="8"/>
  <c r="EK18" i="8" l="1"/>
  <c r="CH43" i="1" l="1"/>
  <c r="BP71" i="9" l="1"/>
  <c r="BP70" i="9"/>
  <c r="BP74" i="9"/>
  <c r="BP73" i="9"/>
  <c r="BP65" i="9"/>
  <c r="BP63" i="9"/>
  <c r="BP62" i="9"/>
  <c r="BP61" i="9"/>
  <c r="BP60" i="9"/>
  <c r="BP59" i="9"/>
  <c r="BP58" i="9"/>
  <c r="BP57" i="9"/>
  <c r="BP56" i="9"/>
  <c r="BP55" i="9"/>
  <c r="BP54" i="9"/>
  <c r="BP53" i="9"/>
  <c r="BP52" i="9"/>
  <c r="BP51" i="9"/>
  <c r="BP50" i="9"/>
  <c r="BP49" i="9"/>
  <c r="BP48" i="9"/>
  <c r="BP47" i="9"/>
  <c r="BP46" i="9"/>
  <c r="BP45" i="9"/>
  <c r="BP44" i="9"/>
  <c r="BP43" i="9"/>
  <c r="BP42" i="9"/>
  <c r="BP41" i="9"/>
  <c r="BP15" i="9"/>
  <c r="CH127" i="3"/>
  <c r="CI124" i="3" s="1"/>
  <c r="CH122" i="3"/>
  <c r="CI117" i="3" s="1"/>
  <c r="CH112" i="3"/>
  <c r="CH92" i="3"/>
  <c r="CH49" i="3"/>
  <c r="CH19" i="3"/>
  <c r="CD84" i="4"/>
  <c r="CH83" i="4"/>
  <c r="CH71" i="4"/>
  <c r="CI71" i="4" s="1"/>
  <c r="CH70" i="4"/>
  <c r="CI70" i="4" s="1"/>
  <c r="CH69" i="4"/>
  <c r="CI69" i="4" s="1"/>
  <c r="CH74" i="4"/>
  <c r="CH45" i="4"/>
  <c r="CH49" i="4"/>
  <c r="CH38" i="4"/>
  <c r="CH42" i="4"/>
  <c r="CH46" i="4"/>
  <c r="CH41" i="4"/>
  <c r="CH39" i="4"/>
  <c r="CH36" i="4"/>
  <c r="CH31" i="4"/>
  <c r="CH30" i="4"/>
  <c r="CH29" i="4"/>
  <c r="CH32" i="4"/>
  <c r="CH25" i="4"/>
  <c r="CH24" i="4"/>
  <c r="CH23" i="4"/>
  <c r="CH22" i="4"/>
  <c r="CH21" i="4"/>
  <c r="CH19" i="4"/>
  <c r="CH18" i="4"/>
  <c r="CH17" i="4"/>
  <c r="CH14" i="4"/>
  <c r="CH12" i="4"/>
  <c r="CH10" i="4"/>
  <c r="CH44" i="4"/>
  <c r="CH43" i="4"/>
  <c r="CH40" i="4"/>
  <c r="CH37" i="4"/>
  <c r="CH16" i="4"/>
  <c r="CH15" i="4"/>
  <c r="CI36" i="4" l="1"/>
  <c r="CJ36" i="4" s="1"/>
  <c r="CI31" i="4"/>
  <c r="CJ31" i="4" s="1"/>
  <c r="CI46" i="4"/>
  <c r="CJ46" i="4"/>
  <c r="CI45" i="4"/>
  <c r="CJ45" i="4" s="1"/>
  <c r="CI32" i="4"/>
  <c r="CJ32" i="4"/>
  <c r="CI42" i="4"/>
  <c r="CJ42" i="4" s="1"/>
  <c r="CI29" i="4"/>
  <c r="CI125" i="3" s="1"/>
  <c r="CI126" i="3" s="1"/>
  <c r="CI38" i="4"/>
  <c r="CJ38" i="4" s="1"/>
  <c r="CI39" i="4"/>
  <c r="CJ39" i="4"/>
  <c r="CI41" i="4"/>
  <c r="CJ41" i="4" s="1"/>
  <c r="CI49" i="4"/>
  <c r="CJ49" i="4"/>
  <c r="CI43" i="4"/>
  <c r="CJ43" i="4" s="1"/>
  <c r="CI44" i="4"/>
  <c r="CJ44" i="4" s="1"/>
  <c r="CI37" i="4"/>
  <c r="CJ37" i="4" s="1"/>
  <c r="CI40" i="4"/>
  <c r="CJ40" i="4" s="1"/>
  <c r="CI16" i="4"/>
  <c r="CJ16" i="4" s="1"/>
  <c r="CI15" i="4"/>
  <c r="CJ15" i="4" s="1"/>
  <c r="CI21" i="4"/>
  <c r="CJ21" i="4"/>
  <c r="CI25" i="4"/>
  <c r="CJ25" i="4" s="1"/>
  <c r="CI17" i="4"/>
  <c r="CI173" i="3" s="1"/>
  <c r="CI22" i="4"/>
  <c r="CJ22" i="4" s="1"/>
  <c r="CI10" i="4"/>
  <c r="CJ10" i="4" s="1"/>
  <c r="CI18" i="4"/>
  <c r="CJ18" i="4" s="1"/>
  <c r="CI23" i="4"/>
  <c r="CJ23" i="4" s="1"/>
  <c r="CI12" i="4"/>
  <c r="CJ12" i="4" s="1"/>
  <c r="CI19" i="4"/>
  <c r="CJ19" i="4"/>
  <c r="CI24" i="4"/>
  <c r="CJ24" i="4" s="1"/>
  <c r="CI30" i="4"/>
  <c r="CI100" i="3" s="1"/>
  <c r="CI101" i="3" s="1"/>
  <c r="CI14" i="4"/>
  <c r="CI119" i="3" s="1"/>
  <c r="CI121" i="3" s="1"/>
  <c r="CI80" i="4"/>
  <c r="CH50" i="3"/>
  <c r="CH61" i="3" s="1"/>
  <c r="CH185" i="3"/>
  <c r="CH125" i="3"/>
  <c r="CH100" i="3"/>
  <c r="CH119" i="3"/>
  <c r="BP64" i="9"/>
  <c r="BP75" i="9"/>
  <c r="CH80" i="4"/>
  <c r="AQ81" i="36"/>
  <c r="AQ80" i="36"/>
  <c r="CH122" i="7"/>
  <c r="CH105" i="7"/>
  <c r="CH102" i="7"/>
  <c r="CH116" i="1"/>
  <c r="CH48" i="1"/>
  <c r="CH47" i="1"/>
  <c r="CH27" i="1"/>
  <c r="CJ29" i="4" l="1"/>
  <c r="CJ125" i="3" s="1"/>
  <c r="CJ126" i="3" s="1"/>
  <c r="CJ30" i="4"/>
  <c r="CJ100" i="3" s="1"/>
  <c r="CJ101" i="3" s="1"/>
  <c r="CJ17" i="4"/>
  <c r="CI120" i="3"/>
  <c r="CJ14" i="4"/>
  <c r="CJ119" i="3" s="1"/>
  <c r="CH51" i="3"/>
  <c r="CI13" i="4"/>
  <c r="CI107" i="3" s="1"/>
  <c r="CH134" i="7"/>
  <c r="CH108" i="7"/>
  <c r="CH12" i="1"/>
  <c r="CH13" i="1"/>
  <c r="CH14" i="1"/>
  <c r="CH9" i="1"/>
  <c r="CH11" i="1"/>
  <c r="CJ121" i="3" l="1"/>
  <c r="CJ120" i="3"/>
  <c r="CH85" i="3"/>
  <c r="CH83" i="3"/>
  <c r="CH173" i="3"/>
  <c r="CH101" i="3"/>
  <c r="CH84" i="3"/>
  <c r="CH71" i="3"/>
  <c r="CN71" i="3" s="1"/>
  <c r="CT71" i="3" s="1"/>
  <c r="CZ71" i="3" s="1"/>
  <c r="DF71" i="3" s="1"/>
  <c r="CH52" i="1"/>
  <c r="CH57" i="1"/>
  <c r="CH51" i="1"/>
  <c r="CH72" i="3"/>
  <c r="CN72" i="3" s="1"/>
  <c r="CT72" i="3" s="1"/>
  <c r="CZ72" i="3" s="1"/>
  <c r="CH73" i="3"/>
  <c r="CN73" i="3" s="1"/>
  <c r="CT73" i="3" s="1"/>
  <c r="CZ73" i="3" s="1"/>
  <c r="DF73" i="3" s="1"/>
  <c r="CH46" i="1"/>
  <c r="CZ74" i="3" l="1"/>
  <c r="DF72" i="3"/>
  <c r="DF74" i="3" s="1"/>
  <c r="CT74" i="3"/>
  <c r="CH74" i="3"/>
  <c r="DI52" i="8"/>
  <c r="DH52" i="8"/>
  <c r="DG52" i="8"/>
  <c r="DF52" i="8"/>
  <c r="DE52" i="8"/>
  <c r="DI51" i="8"/>
  <c r="DH51" i="8"/>
  <c r="DG51" i="8"/>
  <c r="DF51" i="8"/>
  <c r="DE51" i="8"/>
  <c r="DI49" i="8"/>
  <c r="DH49" i="8"/>
  <c r="DG49" i="8"/>
  <c r="DF49" i="8"/>
  <c r="DE49" i="8"/>
  <c r="DI48" i="8"/>
  <c r="DH48" i="8"/>
  <c r="DG48" i="8"/>
  <c r="DF48" i="8"/>
  <c r="DE48" i="8"/>
  <c r="DH41" i="8"/>
  <c r="DG41" i="8"/>
  <c r="DF41" i="8"/>
  <c r="DE41" i="8"/>
  <c r="DH36" i="8"/>
  <c r="DG36" i="8"/>
  <c r="DF36" i="8"/>
  <c r="DE36" i="8"/>
  <c r="DE12" i="8"/>
  <c r="DE11" i="8"/>
  <c r="DE10" i="8"/>
  <c r="DC52" i="8"/>
  <c r="DB52" i="8"/>
  <c r="DA52" i="8"/>
  <c r="CZ52" i="8"/>
  <c r="CY52" i="8"/>
  <c r="DC51" i="8"/>
  <c r="DB51" i="8"/>
  <c r="DA51" i="8"/>
  <c r="CZ51" i="8"/>
  <c r="CY51" i="8"/>
  <c r="DC49" i="8"/>
  <c r="DB49" i="8"/>
  <c r="DA49" i="8"/>
  <c r="CZ49" i="8"/>
  <c r="CY49" i="8"/>
  <c r="DC48" i="8"/>
  <c r="DB48" i="8"/>
  <c r="DA48" i="8"/>
  <c r="CZ48" i="8"/>
  <c r="CY48" i="8"/>
  <c r="DB41" i="8"/>
  <c r="DA41" i="8"/>
  <c r="CZ41" i="8"/>
  <c r="CY41" i="8"/>
  <c r="DB36" i="8"/>
  <c r="DA36" i="8"/>
  <c r="CZ36" i="8"/>
  <c r="CY36" i="8"/>
  <c r="CY12" i="8"/>
  <c r="CY11" i="8"/>
  <c r="CY10" i="8"/>
  <c r="DF106" i="1"/>
  <c r="DG106" i="1" s="1"/>
  <c r="DH106" i="1" s="1"/>
  <c r="DI106" i="1" s="1"/>
  <c r="DF105" i="1"/>
  <c r="DG105" i="1" s="1"/>
  <c r="DH105" i="1" s="1"/>
  <c r="DI105" i="1" s="1"/>
  <c r="DF104" i="1"/>
  <c r="DF52" i="1"/>
  <c r="DF51" i="1"/>
  <c r="DF49" i="1"/>
  <c r="DI31" i="1"/>
  <c r="DI18" i="1"/>
  <c r="CZ106" i="1"/>
  <c r="CZ105" i="1"/>
  <c r="CZ104" i="1"/>
  <c r="CZ52" i="1"/>
  <c r="CZ51" i="1"/>
  <c r="CZ49" i="1"/>
  <c r="DC31" i="1"/>
  <c r="DC18" i="1"/>
  <c r="DI98" i="7"/>
  <c r="DH98" i="7"/>
  <c r="DG98" i="7"/>
  <c r="DF98" i="7"/>
  <c r="DE98" i="7"/>
  <c r="DI97" i="7"/>
  <c r="DH97" i="7"/>
  <c r="DG97" i="7"/>
  <c r="DF97" i="7"/>
  <c r="DE97" i="7"/>
  <c r="DI95" i="7"/>
  <c r="DH95" i="7"/>
  <c r="DG95" i="7"/>
  <c r="DF95" i="7"/>
  <c r="DE95" i="7"/>
  <c r="DI94" i="7"/>
  <c r="DH94" i="7"/>
  <c r="DG94" i="7"/>
  <c r="DF94" i="7"/>
  <c r="DE94" i="7"/>
  <c r="DH56" i="7"/>
  <c r="DF56" i="7"/>
  <c r="DF12" i="8"/>
  <c r="DH68" i="7"/>
  <c r="DH35" i="8" s="1"/>
  <c r="DG68" i="7"/>
  <c r="DG35" i="8" s="1"/>
  <c r="DF68" i="7"/>
  <c r="DF35" i="8" s="1"/>
  <c r="DE68" i="7"/>
  <c r="DE35" i="8" s="1"/>
  <c r="DE67" i="7"/>
  <c r="DG56" i="7"/>
  <c r="DE56" i="7"/>
  <c r="DF11" i="8"/>
  <c r="DE43" i="7"/>
  <c r="DF10" i="8"/>
  <c r="DE35" i="7"/>
  <c r="DC98" i="7"/>
  <c r="DB98" i="7"/>
  <c r="DA98" i="7"/>
  <c r="CZ98" i="7"/>
  <c r="CY98" i="7"/>
  <c r="DC97" i="7"/>
  <c r="DB97" i="7"/>
  <c r="DA97" i="7"/>
  <c r="CZ97" i="7"/>
  <c r="CY97" i="7"/>
  <c r="DC95" i="7"/>
  <c r="DB95" i="7"/>
  <c r="DA95" i="7"/>
  <c r="CZ95" i="7"/>
  <c r="CY95" i="7"/>
  <c r="DC94" i="7"/>
  <c r="DB94" i="7"/>
  <c r="DA94" i="7"/>
  <c r="CZ94" i="7"/>
  <c r="CY94" i="7"/>
  <c r="DB56" i="7"/>
  <c r="DA12" i="8"/>
  <c r="DB68" i="7"/>
  <c r="DB35" i="8" s="1"/>
  <c r="CZ68" i="7"/>
  <c r="CZ35" i="8" s="1"/>
  <c r="CY68" i="7"/>
  <c r="CY35" i="8" s="1"/>
  <c r="CY67" i="7"/>
  <c r="CZ56" i="7"/>
  <c r="CY56" i="7"/>
  <c r="CZ43" i="7"/>
  <c r="CY43" i="7"/>
  <c r="CZ10" i="8"/>
  <c r="CY35" i="7"/>
  <c r="CY34" i="8" l="1"/>
  <c r="DE34" i="8"/>
  <c r="DG34" i="8"/>
  <c r="DB34" i="8"/>
  <c r="DF35" i="7"/>
  <c r="DA67" i="7"/>
  <c r="DF44" i="7"/>
  <c r="DF36" i="7"/>
  <c r="DB36" i="7"/>
  <c r="DB44" i="7"/>
  <c r="CY66" i="7"/>
  <c r="CY96" i="7" s="1"/>
  <c r="DH36" i="7"/>
  <c r="DF43" i="7"/>
  <c r="CZ67" i="7"/>
  <c r="CZ66" i="7" s="1"/>
  <c r="CZ96" i="7" s="1"/>
  <c r="DH44" i="7"/>
  <c r="CZ35" i="7"/>
  <c r="DE66" i="7"/>
  <c r="DE96" i="7" s="1"/>
  <c r="CZ11" i="8"/>
  <c r="CZ29" i="8" s="1"/>
  <c r="CZ12" i="8"/>
  <c r="CZ30" i="8" s="1"/>
  <c r="CZ34" i="8"/>
  <c r="DF29" i="8"/>
  <c r="CZ28" i="8"/>
  <c r="DF34" i="8"/>
  <c r="DH34" i="8"/>
  <c r="DA49" i="1"/>
  <c r="DG49" i="1"/>
  <c r="DG52" i="1"/>
  <c r="DA51" i="1"/>
  <c r="DB51" i="1" s="1"/>
  <c r="DA52" i="1"/>
  <c r="DG51" i="1"/>
  <c r="DF28" i="8"/>
  <c r="DF20" i="8"/>
  <c r="DF30" i="8"/>
  <c r="DE22" i="8"/>
  <c r="DE20" i="8"/>
  <c r="DE21" i="8"/>
  <c r="DG104" i="1"/>
  <c r="DH104" i="1" s="1"/>
  <c r="DA104" i="1"/>
  <c r="DB104" i="1" s="1"/>
  <c r="DA106" i="1"/>
  <c r="DB106" i="1" s="1"/>
  <c r="DA105" i="1"/>
  <c r="DB105" i="1" s="1"/>
  <c r="DG36" i="7"/>
  <c r="DG44" i="7"/>
  <c r="DG12" i="8"/>
  <c r="DF67" i="7"/>
  <c r="DE44" i="7"/>
  <c r="DE42" i="7" s="1"/>
  <c r="DE36" i="7"/>
  <c r="DE34" i="7" s="1"/>
  <c r="CY44" i="7"/>
  <c r="CY42" i="7" s="1"/>
  <c r="CY36" i="7"/>
  <c r="CY34" i="7" s="1"/>
  <c r="DA68" i="7"/>
  <c r="DA56" i="7"/>
  <c r="CZ44" i="7"/>
  <c r="CZ42" i="7" s="1"/>
  <c r="CZ36" i="7"/>
  <c r="DA11" i="8"/>
  <c r="DI84" i="4"/>
  <c r="DI53" i="4"/>
  <c r="DI49" i="4"/>
  <c r="DI46" i="4"/>
  <c r="DI45" i="4"/>
  <c r="DI44" i="4"/>
  <c r="DI43" i="4"/>
  <c r="DH42" i="4"/>
  <c r="DG42" i="4"/>
  <c r="DF42" i="4"/>
  <c r="DE42" i="4"/>
  <c r="DI40" i="4"/>
  <c r="DH36" i="4"/>
  <c r="DG36" i="4"/>
  <c r="DF36" i="4"/>
  <c r="DE36" i="4"/>
  <c r="DI32" i="4"/>
  <c r="DH31" i="4"/>
  <c r="DG31" i="4"/>
  <c r="DF31" i="4"/>
  <c r="DE31" i="4"/>
  <c r="DI29" i="4"/>
  <c r="DI19" i="4"/>
  <c r="DI18" i="4"/>
  <c r="DI16" i="4"/>
  <c r="DI15" i="4"/>
  <c r="DC84" i="4"/>
  <c r="DC53" i="4"/>
  <c r="DC49" i="4"/>
  <c r="DC46" i="4"/>
  <c r="DC45" i="4"/>
  <c r="DC44" i="4"/>
  <c r="DC43" i="4"/>
  <c r="DB42" i="4"/>
  <c r="DA42" i="4"/>
  <c r="CZ42" i="4"/>
  <c r="CY42" i="4"/>
  <c r="DC40" i="4"/>
  <c r="DB36" i="4"/>
  <c r="DA36" i="4"/>
  <c r="CZ36" i="4"/>
  <c r="CY36" i="4"/>
  <c r="DC32" i="4"/>
  <c r="DB31" i="4"/>
  <c r="DA31" i="4"/>
  <c r="CZ31" i="4"/>
  <c r="CY31" i="4"/>
  <c r="DC29" i="4"/>
  <c r="DC19" i="4"/>
  <c r="DC18" i="4"/>
  <c r="DC16" i="4"/>
  <c r="DC15" i="4"/>
  <c r="DH133" i="3"/>
  <c r="DH102" i="3" s="1"/>
  <c r="DG133" i="3"/>
  <c r="DG102" i="3" s="1"/>
  <c r="DF133" i="3"/>
  <c r="DF102" i="3" s="1"/>
  <c r="DE133" i="3"/>
  <c r="DE102" i="3" s="1"/>
  <c r="DI126" i="3"/>
  <c r="DH125" i="3"/>
  <c r="DG125" i="3"/>
  <c r="DF125" i="3"/>
  <c r="DE125" i="3"/>
  <c r="DI121" i="3"/>
  <c r="DE119" i="3"/>
  <c r="DE14" i="4" s="1"/>
  <c r="DH118" i="3"/>
  <c r="DG118" i="3"/>
  <c r="DF118" i="3"/>
  <c r="DE118" i="3"/>
  <c r="DI109" i="3"/>
  <c r="DF108" i="3"/>
  <c r="DG108" i="3" s="1"/>
  <c r="DH108" i="3" s="1"/>
  <c r="DI103" i="3"/>
  <c r="DI93" i="3"/>
  <c r="DI91" i="3"/>
  <c r="DB133" i="3"/>
  <c r="DB102" i="3" s="1"/>
  <c r="DA133" i="3"/>
  <c r="DA102" i="3" s="1"/>
  <c r="CZ133" i="3"/>
  <c r="CZ102" i="3" s="1"/>
  <c r="CY133" i="3"/>
  <c r="CY102" i="3" s="1"/>
  <c r="DC126" i="3"/>
  <c r="DB125" i="3"/>
  <c r="DA125" i="3"/>
  <c r="CZ125" i="3"/>
  <c r="CY125" i="3"/>
  <c r="DC121" i="3"/>
  <c r="CY119" i="3"/>
  <c r="CY14" i="4" s="1"/>
  <c r="DB118" i="3"/>
  <c r="DA118" i="3"/>
  <c r="CZ118" i="3"/>
  <c r="CY118" i="3"/>
  <c r="DC109" i="3"/>
  <c r="CZ108" i="3"/>
  <c r="DA108" i="3" s="1"/>
  <c r="DB108" i="3" s="1"/>
  <c r="DC103" i="3"/>
  <c r="DC93" i="3"/>
  <c r="DC91" i="3"/>
  <c r="CP64" i="9"/>
  <c r="CP68" i="9" s="1"/>
  <c r="CO64" i="9"/>
  <c r="CO68" i="9" s="1"/>
  <c r="CN64" i="9"/>
  <c r="CN68" i="9" s="1"/>
  <c r="CM64" i="9"/>
  <c r="CM68" i="9" s="1"/>
  <c r="CJ64" i="9"/>
  <c r="CJ68" i="9" s="1"/>
  <c r="CI64" i="9"/>
  <c r="CI68" i="9" s="1"/>
  <c r="CH64" i="9"/>
  <c r="CH68" i="9" s="1"/>
  <c r="CG64" i="9"/>
  <c r="CG68" i="9" s="1"/>
  <c r="DA30" i="8" l="1"/>
  <c r="DA34" i="8"/>
  <c r="DF34" i="7"/>
  <c r="DI31" i="4"/>
  <c r="DF42" i="7"/>
  <c r="CZ34" i="7"/>
  <c r="DF21" i="8"/>
  <c r="DA29" i="8"/>
  <c r="DI42" i="4"/>
  <c r="DA66" i="7"/>
  <c r="DA96" i="7" s="1"/>
  <c r="DA35" i="8"/>
  <c r="DG22" i="8"/>
  <c r="DG43" i="7"/>
  <c r="DG42" i="7" s="1"/>
  <c r="DG11" i="8"/>
  <c r="DG35" i="7"/>
  <c r="DG34" i="7" s="1"/>
  <c r="DG10" i="8"/>
  <c r="DG28" i="8" s="1"/>
  <c r="DF22" i="8"/>
  <c r="DB67" i="7"/>
  <c r="DB66" i="7" s="1"/>
  <c r="DB96" i="7" s="1"/>
  <c r="DB12" i="8"/>
  <c r="DG30" i="8"/>
  <c r="DA10" i="8"/>
  <c r="DA35" i="7"/>
  <c r="DB49" i="1"/>
  <c r="DH49" i="1"/>
  <c r="CY22" i="1"/>
  <c r="DE22" i="1"/>
  <c r="DC31" i="4"/>
  <c r="DC105" i="1"/>
  <c r="DI104" i="1"/>
  <c r="DH51" i="1"/>
  <c r="DB52" i="1"/>
  <c r="DH52" i="1"/>
  <c r="DI36" i="4"/>
  <c r="DC104" i="1"/>
  <c r="DC106" i="1"/>
  <c r="DF66" i="7"/>
  <c r="DG67" i="7"/>
  <c r="DG66" i="7" s="1"/>
  <c r="DA43" i="7"/>
  <c r="DA36" i="7"/>
  <c r="DA44" i="7"/>
  <c r="DI102" i="3"/>
  <c r="DI125" i="3"/>
  <c r="DC102" i="3"/>
  <c r="DC36" i="4"/>
  <c r="DC42" i="4"/>
  <c r="DC118" i="3"/>
  <c r="DI118" i="3"/>
  <c r="DF119" i="3"/>
  <c r="DF14" i="4" s="1"/>
  <c r="DF22" i="1" s="1"/>
  <c r="CZ119" i="3"/>
  <c r="CZ14" i="4" s="1"/>
  <c r="CZ22" i="1" s="1"/>
  <c r="DC125" i="3"/>
  <c r="DA42" i="7" l="1"/>
  <c r="DA34" i="7"/>
  <c r="DB35" i="7"/>
  <c r="DB34" i="7" s="1"/>
  <c r="DB10" i="8"/>
  <c r="DG29" i="8"/>
  <c r="DH43" i="7"/>
  <c r="DH42" i="7" s="1"/>
  <c r="DH11" i="8"/>
  <c r="DH29" i="8" s="1"/>
  <c r="DB43" i="7"/>
  <c r="DB42" i="7" s="1"/>
  <c r="DB11" i="8"/>
  <c r="DH67" i="7"/>
  <c r="DH66" i="7" s="1"/>
  <c r="DH12" i="8"/>
  <c r="DH22" i="8" s="1"/>
  <c r="DA28" i="8"/>
  <c r="DG20" i="8"/>
  <c r="DG21" i="8"/>
  <c r="DB30" i="8"/>
  <c r="DE30" i="8"/>
  <c r="DH35" i="7"/>
  <c r="DH34" i="7" s="1"/>
  <c r="DH10" i="8"/>
  <c r="DH28" i="8" s="1"/>
  <c r="DF96" i="7"/>
  <c r="DH96" i="7"/>
  <c r="DG96" i="7"/>
  <c r="DG119" i="3"/>
  <c r="DG14" i="4" s="1"/>
  <c r="DG22" i="1" s="1"/>
  <c r="DA119" i="3"/>
  <c r="DA14" i="4" s="1"/>
  <c r="DA22" i="1" s="1"/>
  <c r="DH30" i="8" l="1"/>
  <c r="DH21" i="8"/>
  <c r="DE29" i="8"/>
  <c r="DB29" i="8"/>
  <c r="DB28" i="8"/>
  <c r="DH20" i="8"/>
  <c r="DE28" i="8"/>
  <c r="DB119" i="3"/>
  <c r="DB14" i="4" s="1"/>
  <c r="DB22" i="1" s="1"/>
  <c r="DH119" i="3"/>
  <c r="DH14" i="4" s="1"/>
  <c r="DH22" i="1" s="1"/>
  <c r="DC14" i="4" l="1"/>
  <c r="DC22" i="1"/>
  <c r="DI22" i="1"/>
  <c r="DI14" i="4"/>
  <c r="CH56" i="7" l="1"/>
  <c r="CH191" i="7"/>
  <c r="CH190" i="7"/>
  <c r="CH193" i="7"/>
  <c r="CG193" i="7"/>
  <c r="CH106" i="1" l="1"/>
  <c r="CH77" i="1"/>
  <c r="CH84" i="1" s="1"/>
  <c r="CG77" i="1"/>
  <c r="CG75" i="1"/>
  <c r="CH104" i="1"/>
  <c r="CG104" i="1"/>
  <c r="CG106" i="1"/>
  <c r="CH83" i="1"/>
  <c r="CH105" i="1" s="1"/>
  <c r="CH17" i="1"/>
  <c r="CH18" i="1"/>
  <c r="CH16" i="1"/>
  <c r="CH98" i="7"/>
  <c r="CH97" i="7"/>
  <c r="CH95" i="7"/>
  <c r="CH94" i="7"/>
  <c r="CH101" i="1"/>
  <c r="CH100" i="1" s="1"/>
  <c r="CH107" i="1" s="1"/>
  <c r="CH90" i="1"/>
  <c r="CH64" i="1"/>
  <c r="CK104" i="1" l="1"/>
  <c r="CH91" i="1"/>
  <c r="CH78" i="1"/>
  <c r="CH92" i="1"/>
  <c r="CH93" i="1" l="1"/>
  <c r="CH94" i="1" s="1"/>
  <c r="CH79" i="1"/>
  <c r="CH85" i="1"/>
  <c r="CH86" i="1" l="1"/>
  <c r="CH87" i="1"/>
  <c r="CI123" i="1" l="1"/>
  <c r="CH123" i="1"/>
  <c r="CG123" i="1"/>
  <c r="AW93" i="36" l="1"/>
  <c r="AW99" i="36" s="1"/>
  <c r="AV93" i="36"/>
  <c r="AV99" i="36" s="1"/>
  <c r="AU93" i="36"/>
  <c r="AU99" i="36" s="1"/>
  <c r="AT93" i="36"/>
  <c r="AT99" i="36" s="1"/>
  <c r="AV85" i="36"/>
  <c r="AU85" i="36"/>
  <c r="AT85" i="36"/>
  <c r="AT82" i="36"/>
  <c r="AW79" i="36"/>
  <c r="AV79" i="36"/>
  <c r="AU79" i="36"/>
  <c r="AT79" i="36"/>
  <c r="AW75" i="36"/>
  <c r="AV75" i="36"/>
  <c r="AU75" i="36"/>
  <c r="AT75" i="36"/>
  <c r="AW74" i="36"/>
  <c r="AV74" i="36"/>
  <c r="AU74" i="36"/>
  <c r="AT74" i="36"/>
  <c r="AW73" i="36"/>
  <c r="AV73" i="36"/>
  <c r="AU73" i="36"/>
  <c r="AT73" i="36"/>
  <c r="AW55" i="36"/>
  <c r="AV55" i="36"/>
  <c r="AU55" i="36"/>
  <c r="AT55" i="36"/>
  <c r="AW46" i="36"/>
  <c r="AV46" i="36"/>
  <c r="AU46" i="36"/>
  <c r="AT46" i="36"/>
  <c r="AW37" i="36"/>
  <c r="AV37" i="36"/>
  <c r="AU37" i="36"/>
  <c r="AT37" i="36"/>
  <c r="AW28" i="36"/>
  <c r="AV28" i="36"/>
  <c r="AU28" i="36"/>
  <c r="AT28" i="36"/>
  <c r="AW15" i="36"/>
  <c r="AV15" i="36"/>
  <c r="AU15" i="36"/>
  <c r="AT15" i="36"/>
  <c r="AM55" i="36"/>
  <c r="BG210" i="7" l="1"/>
  <c r="BG209" i="7"/>
  <c r="BG208" i="7"/>
  <c r="BG207" i="7"/>
  <c r="AP95" i="36" l="1"/>
  <c r="AN95" i="36"/>
  <c r="AM95" i="36"/>
  <c r="AJ95" i="36"/>
  <c r="AI95" i="36"/>
  <c r="AF95" i="36"/>
  <c r="AE95" i="36"/>
  <c r="AD95" i="36"/>
  <c r="AB95" i="36"/>
  <c r="AA95" i="36"/>
  <c r="Z95" i="36"/>
  <c r="X95" i="36"/>
  <c r="W95" i="36"/>
  <c r="V95" i="36"/>
  <c r="T95" i="36"/>
  <c r="S95" i="36"/>
  <c r="R95" i="36"/>
  <c r="P95" i="36"/>
  <c r="O95" i="36"/>
  <c r="N95" i="36"/>
  <c r="L95" i="36"/>
  <c r="K95" i="36"/>
  <c r="J95" i="36"/>
  <c r="H95" i="36"/>
  <c r="G95" i="36"/>
  <c r="F95" i="36"/>
  <c r="AP81" i="36"/>
  <c r="AP80" i="36"/>
  <c r="AN81" i="36"/>
  <c r="AM81" i="36"/>
  <c r="AL81" i="36"/>
  <c r="AN80" i="36"/>
  <c r="AM80" i="36"/>
  <c r="AL80" i="36"/>
  <c r="AJ81" i="36"/>
  <c r="AI81" i="36"/>
  <c r="AH81" i="36"/>
  <c r="AJ80" i="36"/>
  <c r="AI80" i="36"/>
  <c r="AH80" i="36"/>
  <c r="AF81" i="36"/>
  <c r="AE81" i="36"/>
  <c r="AD81" i="36"/>
  <c r="AF80" i="36"/>
  <c r="AE80" i="36"/>
  <c r="AD80" i="36"/>
  <c r="AC81" i="36"/>
  <c r="AB81" i="36"/>
  <c r="AA81" i="36"/>
  <c r="Z81" i="36"/>
  <c r="AB80" i="36"/>
  <c r="AA80" i="36"/>
  <c r="Z80" i="36"/>
  <c r="E42" i="36"/>
  <c r="D42" i="36"/>
  <c r="C42" i="36"/>
  <c r="E38" i="36"/>
  <c r="D38" i="36"/>
  <c r="C38" i="36"/>
  <c r="B42" i="36"/>
  <c r="B38" i="36"/>
  <c r="A23" i="36"/>
  <c r="A22" i="36"/>
  <c r="A21" i="36"/>
  <c r="A20" i="36"/>
  <c r="A19" i="36"/>
  <c r="A18" i="36"/>
  <c r="A17" i="36"/>
  <c r="Y8" i="36"/>
  <c r="X8" i="36"/>
  <c r="W8" i="36"/>
  <c r="V8" i="36"/>
  <c r="Y7" i="36"/>
  <c r="X7" i="36"/>
  <c r="W7" i="36"/>
  <c r="V7" i="36"/>
  <c r="Y6" i="36"/>
  <c r="X6" i="36"/>
  <c r="W6" i="36"/>
  <c r="V6" i="36"/>
  <c r="U8" i="36"/>
  <c r="T8" i="36"/>
  <c r="S8" i="36"/>
  <c r="R8" i="36"/>
  <c r="U7" i="36"/>
  <c r="T7" i="36"/>
  <c r="S7" i="36"/>
  <c r="R7" i="36"/>
  <c r="U6" i="36"/>
  <c r="T6" i="36"/>
  <c r="S6" i="36"/>
  <c r="R6" i="36"/>
  <c r="Q8" i="36"/>
  <c r="P8" i="36"/>
  <c r="O8" i="36"/>
  <c r="N8" i="36"/>
  <c r="Q7" i="36"/>
  <c r="P7" i="36"/>
  <c r="O7" i="36"/>
  <c r="N7" i="36"/>
  <c r="Q6" i="36"/>
  <c r="P6" i="36"/>
  <c r="O6" i="36"/>
  <c r="N6" i="36"/>
  <c r="M8" i="36"/>
  <c r="L8" i="36"/>
  <c r="K8" i="36"/>
  <c r="J8" i="36"/>
  <c r="M7" i="36"/>
  <c r="L7" i="36"/>
  <c r="K7" i="36"/>
  <c r="J7" i="36"/>
  <c r="M6" i="36"/>
  <c r="L6" i="36"/>
  <c r="K6" i="36"/>
  <c r="J6" i="36"/>
  <c r="I8" i="36"/>
  <c r="H8" i="36"/>
  <c r="G8" i="36"/>
  <c r="F8" i="36"/>
  <c r="I7" i="36"/>
  <c r="H7" i="36"/>
  <c r="G7" i="36"/>
  <c r="F7" i="36"/>
  <c r="I6" i="36"/>
  <c r="H6" i="36"/>
  <c r="G6" i="36"/>
  <c r="F6" i="36"/>
  <c r="E10" i="36"/>
  <c r="D10" i="36"/>
  <c r="C10" i="36"/>
  <c r="B10" i="36"/>
  <c r="E9" i="36"/>
  <c r="D9" i="36"/>
  <c r="C9" i="36"/>
  <c r="B9" i="36"/>
  <c r="E8" i="36"/>
  <c r="D8" i="36"/>
  <c r="C8" i="36"/>
  <c r="B8" i="36"/>
  <c r="E7" i="36"/>
  <c r="D7" i="36"/>
  <c r="C7" i="36"/>
  <c r="B7" i="36"/>
  <c r="E6" i="36"/>
  <c r="D6" i="36"/>
  <c r="C6" i="36"/>
  <c r="B6" i="36"/>
  <c r="E5" i="36"/>
  <c r="D5" i="36"/>
  <c r="C5" i="36"/>
  <c r="B5" i="36"/>
  <c r="AD74" i="36" l="1"/>
  <c r="AF74" i="36"/>
  <c r="AD75" i="36"/>
  <c r="AF75" i="36"/>
  <c r="AH74" i="36"/>
  <c r="AJ74" i="36"/>
  <c r="AJ86" i="36" s="1"/>
  <c r="AH75" i="36"/>
  <c r="AJ75" i="36"/>
  <c r="AJ87" i="36" s="1"/>
  <c r="AL74" i="36"/>
  <c r="AN74" i="36"/>
  <c r="AL75" i="36"/>
  <c r="AN75" i="36"/>
  <c r="AP74" i="36"/>
  <c r="AE74" i="36"/>
  <c r="AE75" i="36"/>
  <c r="AI74" i="36"/>
  <c r="AI75" i="36"/>
  <c r="AM74" i="36"/>
  <c r="AM75" i="36"/>
  <c r="AP75" i="36"/>
  <c r="AR74" i="36"/>
  <c r="AV86" i="36" s="1"/>
  <c r="AR75" i="36"/>
  <c r="AV87" i="36" s="1"/>
  <c r="AQ74" i="36"/>
  <c r="AU86" i="36" s="1"/>
  <c r="AQ75" i="36"/>
  <c r="AU87" i="36" s="1"/>
  <c r="G17" i="36"/>
  <c r="I17" i="36"/>
  <c r="G18" i="36"/>
  <c r="I18" i="36"/>
  <c r="F17" i="36"/>
  <c r="H17" i="36"/>
  <c r="F18" i="36"/>
  <c r="H18" i="36"/>
  <c r="F19" i="36"/>
  <c r="H19" i="36"/>
  <c r="J17" i="36"/>
  <c r="L17" i="36"/>
  <c r="J18" i="36"/>
  <c r="L18" i="36"/>
  <c r="J19" i="36"/>
  <c r="L19" i="36"/>
  <c r="N17" i="36"/>
  <c r="P17" i="36"/>
  <c r="N18" i="36"/>
  <c r="P18" i="36"/>
  <c r="N19" i="36"/>
  <c r="P19" i="36"/>
  <c r="R17" i="36"/>
  <c r="T17" i="36"/>
  <c r="R18" i="36"/>
  <c r="T18" i="36"/>
  <c r="R19" i="36"/>
  <c r="T19" i="36"/>
  <c r="V17" i="36"/>
  <c r="X17" i="36"/>
  <c r="V18" i="36"/>
  <c r="X18" i="36"/>
  <c r="V19" i="36"/>
  <c r="X19" i="36"/>
  <c r="G19" i="36"/>
  <c r="I19" i="36"/>
  <c r="K17" i="36"/>
  <c r="M17" i="36"/>
  <c r="K18" i="36"/>
  <c r="M18" i="36"/>
  <c r="K19" i="36"/>
  <c r="M19" i="36"/>
  <c r="O17" i="36"/>
  <c r="Q17" i="36"/>
  <c r="O18" i="36"/>
  <c r="Q18" i="36"/>
  <c r="O19" i="36"/>
  <c r="Q19" i="36"/>
  <c r="S17" i="36"/>
  <c r="U17" i="36"/>
  <c r="S18" i="36"/>
  <c r="U18" i="36"/>
  <c r="S19" i="36"/>
  <c r="U19" i="36"/>
  <c r="W17" i="36"/>
  <c r="Y17" i="36"/>
  <c r="W18" i="36"/>
  <c r="Y18" i="36"/>
  <c r="W19" i="36"/>
  <c r="Y19" i="36"/>
  <c r="CG43" i="1"/>
  <c r="AM87" i="36" l="1"/>
  <c r="AI86" i="36"/>
  <c r="AM86" i="36"/>
  <c r="AI87" i="36"/>
  <c r="AL87" i="36"/>
  <c r="AN87" i="36"/>
  <c r="AH86" i="36"/>
  <c r="AP86" i="36"/>
  <c r="AT86" i="36"/>
  <c r="AP87" i="36"/>
  <c r="AT87" i="36"/>
  <c r="AH87" i="36"/>
  <c r="AQ86" i="36"/>
  <c r="AN86" i="36"/>
  <c r="AQ87" i="36"/>
  <c r="AL86" i="36"/>
  <c r="AR87" i="36"/>
  <c r="AR86" i="36"/>
  <c r="BO74" i="9"/>
  <c r="BS74" i="9" s="1"/>
  <c r="BO71" i="9"/>
  <c r="BO70" i="9"/>
  <c r="BO15" i="9"/>
  <c r="CG127" i="3"/>
  <c r="CH124" i="3" s="1"/>
  <c r="CH126" i="3" s="1"/>
  <c r="CG125" i="3"/>
  <c r="CG122" i="3"/>
  <c r="CH117" i="3" s="1"/>
  <c r="CG119" i="3"/>
  <c r="CK119" i="3" s="1"/>
  <c r="CG112" i="3"/>
  <c r="CG100" i="3"/>
  <c r="CG49" i="3"/>
  <c r="CG19" i="3"/>
  <c r="CG27" i="3"/>
  <c r="CG67" i="3" s="1"/>
  <c r="CG84" i="4"/>
  <c r="CH84" i="4" s="1"/>
  <c r="CH85" i="4" s="1"/>
  <c r="CG80" i="4"/>
  <c r="CG39" i="4"/>
  <c r="CG32" i="4"/>
  <c r="CG25" i="4"/>
  <c r="CG122" i="7"/>
  <c r="CG102" i="7"/>
  <c r="CK102" i="7" s="1"/>
  <c r="CG65" i="7"/>
  <c r="AT51" i="36" s="1"/>
  <c r="CG64" i="7"/>
  <c r="CG62" i="7"/>
  <c r="CG53" i="7"/>
  <c r="CG52" i="7"/>
  <c r="CG50" i="7"/>
  <c r="CG64" i="1"/>
  <c r="CG13" i="1"/>
  <c r="CG12" i="1" s="1"/>
  <c r="CG14" i="1"/>
  <c r="CG48" i="1" s="1"/>
  <c r="CG9" i="1"/>
  <c r="CG11" i="1"/>
  <c r="CG105" i="7" s="1"/>
  <c r="CK105" i="7" s="1"/>
  <c r="CG73" i="3" l="1"/>
  <c r="CM73" i="3" s="1"/>
  <c r="CS73" i="3" s="1"/>
  <c r="CY73" i="3" s="1"/>
  <c r="DE73" i="3" s="1"/>
  <c r="CK12" i="1"/>
  <c r="CK15" i="1" s="1"/>
  <c r="CK108" i="7"/>
  <c r="CG50" i="3"/>
  <c r="CG61" i="3" s="1"/>
  <c r="CG185" i="3"/>
  <c r="CH121" i="3"/>
  <c r="CH120" i="3"/>
  <c r="CG47" i="1"/>
  <c r="CG101" i="3"/>
  <c r="CG117" i="7"/>
  <c r="AP42" i="36"/>
  <c r="CG114" i="7"/>
  <c r="AP38" i="36"/>
  <c r="CG57" i="1"/>
  <c r="CG145" i="7"/>
  <c r="CG152" i="7" s="1"/>
  <c r="CG85" i="3"/>
  <c r="CM85" i="3" s="1"/>
  <c r="CG173" i="3"/>
  <c r="CG51" i="1"/>
  <c r="CG83" i="3"/>
  <c r="CM83" i="3" s="1"/>
  <c r="CG72" i="3"/>
  <c r="CM72" i="3" s="1"/>
  <c r="CS72" i="3" s="1"/>
  <c r="CY72" i="3" s="1"/>
  <c r="DE72" i="3" s="1"/>
  <c r="CG46" i="1"/>
  <c r="CG71" i="3"/>
  <c r="CM71" i="3" s="1"/>
  <c r="CS71" i="3" s="1"/>
  <c r="CY71" i="3" s="1"/>
  <c r="CG84" i="3"/>
  <c r="CM84" i="3" s="1"/>
  <c r="CG66" i="3"/>
  <c r="CG51" i="3"/>
  <c r="CG108" i="7"/>
  <c r="BS207" i="7"/>
  <c r="BM210" i="7"/>
  <c r="BM209" i="7"/>
  <c r="BM208" i="7"/>
  <c r="BM207" i="7"/>
  <c r="CY74" i="3" l="1"/>
  <c r="DE71" i="3"/>
  <c r="DE74" i="3" s="1"/>
  <c r="CS74" i="3"/>
  <c r="CG74" i="3"/>
  <c r="BS210" i="7"/>
  <c r="BS209" i="7"/>
  <c r="BS208" i="7"/>
  <c r="CE210" i="7"/>
  <c r="CE209" i="7"/>
  <c r="CE208" i="7"/>
  <c r="CE207" i="7"/>
  <c r="BY210" i="7"/>
  <c r="BY209" i="7"/>
  <c r="BY208" i="7"/>
  <c r="BY207" i="7"/>
  <c r="AS93" i="36" l="1"/>
  <c r="AS99" i="36" s="1"/>
  <c r="AR93" i="36"/>
  <c r="AR99" i="36" s="1"/>
  <c r="AQ93" i="36"/>
  <c r="AQ99" i="36" s="1"/>
  <c r="AS85" i="36"/>
  <c r="AR85" i="36"/>
  <c r="AQ85" i="36"/>
  <c r="AS73" i="36"/>
  <c r="AR73" i="36"/>
  <c r="AQ73" i="36"/>
  <c r="AS79" i="36"/>
  <c r="AR79" i="36"/>
  <c r="AQ79" i="36"/>
  <c r="AS55" i="36"/>
  <c r="AR55" i="36"/>
  <c r="AQ55" i="36"/>
  <c r="AS46" i="36"/>
  <c r="AR46" i="36"/>
  <c r="AQ46" i="36"/>
  <c r="AS28" i="36"/>
  <c r="AR28" i="36"/>
  <c r="AQ28" i="36"/>
  <c r="AS37" i="36"/>
  <c r="AR37" i="36"/>
  <c r="AQ37" i="36"/>
  <c r="AS15" i="36"/>
  <c r="AR15" i="36"/>
  <c r="AQ15" i="36"/>
  <c r="A16" i="36" l="1"/>
  <c r="A29" i="36"/>
  <c r="A30" i="36"/>
  <c r="A32" i="36"/>
  <c r="A31" i="36"/>
  <c r="AP93" i="36"/>
  <c r="AP99" i="36" s="1"/>
  <c r="AO93" i="36"/>
  <c r="AO99" i="36" s="1"/>
  <c r="AN93" i="36"/>
  <c r="AN99" i="36" s="1"/>
  <c r="AM93" i="36"/>
  <c r="AM99" i="36" s="1"/>
  <c r="AL93" i="36"/>
  <c r="AL99" i="36" s="1"/>
  <c r="AK93" i="36"/>
  <c r="AK99" i="36" s="1"/>
  <c r="AJ93" i="36"/>
  <c r="AJ99" i="36" s="1"/>
  <c r="AI93" i="36"/>
  <c r="AI99" i="36" s="1"/>
  <c r="AH93" i="36"/>
  <c r="AH99" i="36" s="1"/>
  <c r="AG93" i="36"/>
  <c r="AG99" i="36" s="1"/>
  <c r="AF93" i="36"/>
  <c r="AF99" i="36" s="1"/>
  <c r="AE93" i="36"/>
  <c r="AE99" i="36" s="1"/>
  <c r="AD93" i="36"/>
  <c r="AD99" i="36" s="1"/>
  <c r="AC93" i="36"/>
  <c r="AC99" i="36" s="1"/>
  <c r="AB93" i="36"/>
  <c r="AB99" i="36" s="1"/>
  <c r="AA93" i="36"/>
  <c r="AA99" i="36" s="1"/>
  <c r="Z93" i="36"/>
  <c r="Z99" i="36" s="1"/>
  <c r="Y93" i="36"/>
  <c r="Y99" i="36" s="1"/>
  <c r="X93" i="36"/>
  <c r="X99" i="36" s="1"/>
  <c r="W93" i="36"/>
  <c r="W99" i="36" s="1"/>
  <c r="V93" i="36"/>
  <c r="V99" i="36" s="1"/>
  <c r="U93" i="36"/>
  <c r="U99" i="36" s="1"/>
  <c r="T93" i="36"/>
  <c r="T99" i="36" s="1"/>
  <c r="S93" i="36"/>
  <c r="S99" i="36" s="1"/>
  <c r="R93" i="36"/>
  <c r="R99" i="36" s="1"/>
  <c r="Q93" i="36"/>
  <c r="Q99" i="36" s="1"/>
  <c r="P93" i="36"/>
  <c r="P99" i="36" s="1"/>
  <c r="O93" i="36"/>
  <c r="O99" i="36" s="1"/>
  <c r="N93" i="36"/>
  <c r="N99" i="36" s="1"/>
  <c r="M93" i="36"/>
  <c r="M99" i="36" s="1"/>
  <c r="L93" i="36"/>
  <c r="L99" i="36" s="1"/>
  <c r="K93" i="36"/>
  <c r="K99" i="36" s="1"/>
  <c r="J93" i="36"/>
  <c r="J99" i="36" s="1"/>
  <c r="I93" i="36"/>
  <c r="I99" i="36" s="1"/>
  <c r="H93" i="36"/>
  <c r="H99" i="36" s="1"/>
  <c r="G93" i="36"/>
  <c r="G99" i="36" s="1"/>
  <c r="F93" i="36"/>
  <c r="F99" i="36" s="1"/>
  <c r="E93" i="36"/>
  <c r="E99" i="36" s="1"/>
  <c r="D93" i="36"/>
  <c r="D99" i="36" s="1"/>
  <c r="C93" i="36"/>
  <c r="C99" i="36" s="1"/>
  <c r="B93" i="36"/>
  <c r="B99" i="36" s="1"/>
  <c r="AP85" i="36"/>
  <c r="AO85" i="36"/>
  <c r="AN85" i="36"/>
  <c r="AM85" i="36"/>
  <c r="AL85" i="36"/>
  <c r="AK85" i="36"/>
  <c r="AJ85" i="36"/>
  <c r="AI85" i="36"/>
  <c r="AH85" i="36"/>
  <c r="AG85" i="36"/>
  <c r="AF85" i="36"/>
  <c r="AE85" i="36"/>
  <c r="AD85" i="36"/>
  <c r="AC85" i="36"/>
  <c r="AB85" i="36"/>
  <c r="AA85" i="36"/>
  <c r="Z85" i="36"/>
  <c r="Y85" i="36"/>
  <c r="X85" i="36"/>
  <c r="W85" i="36"/>
  <c r="V85" i="36"/>
  <c r="U85" i="36"/>
  <c r="T85" i="36"/>
  <c r="S85" i="36"/>
  <c r="R85" i="36"/>
  <c r="Q85" i="36"/>
  <c r="P85" i="36"/>
  <c r="O85" i="36"/>
  <c r="N85" i="36"/>
  <c r="M85" i="36"/>
  <c r="L85" i="36"/>
  <c r="K85" i="36"/>
  <c r="J85" i="36"/>
  <c r="I85" i="36"/>
  <c r="H85" i="36"/>
  <c r="G85" i="36"/>
  <c r="F85" i="36"/>
  <c r="E85" i="36"/>
  <c r="D85" i="36"/>
  <c r="C85" i="36"/>
  <c r="B85" i="36"/>
  <c r="AP73" i="36"/>
  <c r="AO73" i="36"/>
  <c r="AN73" i="36"/>
  <c r="AM73" i="36"/>
  <c r="AL73" i="36"/>
  <c r="AK73" i="36"/>
  <c r="AJ73" i="36"/>
  <c r="AI73" i="36"/>
  <c r="AH73" i="36"/>
  <c r="AG73" i="36"/>
  <c r="AF73" i="36"/>
  <c r="AE73" i="36"/>
  <c r="AD73" i="36"/>
  <c r="AC73" i="36"/>
  <c r="AB73" i="36"/>
  <c r="AA73" i="36"/>
  <c r="Z73" i="36"/>
  <c r="Y73" i="36"/>
  <c r="X73" i="36"/>
  <c r="W73" i="36"/>
  <c r="V73" i="36"/>
  <c r="U73" i="36"/>
  <c r="T73" i="36"/>
  <c r="S73" i="36"/>
  <c r="R73" i="36"/>
  <c r="Q73" i="36"/>
  <c r="P73" i="36"/>
  <c r="O73" i="36"/>
  <c r="N73" i="36"/>
  <c r="M73" i="36"/>
  <c r="L73" i="36"/>
  <c r="K73" i="36"/>
  <c r="J73" i="36"/>
  <c r="I73" i="36"/>
  <c r="H73" i="36"/>
  <c r="G73" i="36"/>
  <c r="F73" i="36"/>
  <c r="E73" i="36"/>
  <c r="D73" i="36"/>
  <c r="C73" i="36"/>
  <c r="B73" i="36"/>
  <c r="AP79" i="36"/>
  <c r="AO79" i="36"/>
  <c r="AN79" i="36"/>
  <c r="AM79" i="36"/>
  <c r="AL79" i="36"/>
  <c r="AK79" i="36"/>
  <c r="AJ79" i="36"/>
  <c r="AI79" i="36"/>
  <c r="AH79" i="36"/>
  <c r="AG79" i="36"/>
  <c r="AF79" i="36"/>
  <c r="AE79" i="36"/>
  <c r="AD79" i="36"/>
  <c r="AC79" i="36"/>
  <c r="AB79" i="36"/>
  <c r="AA79" i="36"/>
  <c r="Z79" i="36"/>
  <c r="Y79" i="36"/>
  <c r="X79" i="36"/>
  <c r="W79" i="36"/>
  <c r="V79" i="36"/>
  <c r="U79" i="36"/>
  <c r="T79" i="36"/>
  <c r="S79" i="36"/>
  <c r="R79" i="36"/>
  <c r="Q79" i="36"/>
  <c r="P79" i="36"/>
  <c r="O79" i="36"/>
  <c r="N79" i="36"/>
  <c r="M79" i="36"/>
  <c r="L79" i="36"/>
  <c r="K79" i="36"/>
  <c r="J79" i="36"/>
  <c r="I79" i="36"/>
  <c r="H79" i="36"/>
  <c r="G79" i="36"/>
  <c r="F79" i="36"/>
  <c r="E79" i="36"/>
  <c r="D79" i="36"/>
  <c r="C79" i="36"/>
  <c r="B79" i="36"/>
  <c r="AP55" i="36"/>
  <c r="AO55" i="36"/>
  <c r="AN55" i="36"/>
  <c r="AL55" i="36"/>
  <c r="AK55" i="36"/>
  <c r="AJ55" i="36"/>
  <c r="AI55" i="36"/>
  <c r="AH55" i="36"/>
  <c r="AG55" i="36"/>
  <c r="AF55" i="36"/>
  <c r="AE55" i="36"/>
  <c r="AD55" i="36"/>
  <c r="AC55" i="36"/>
  <c r="AB55" i="36"/>
  <c r="AA55" i="36"/>
  <c r="Z55" i="36"/>
  <c r="Y55" i="36"/>
  <c r="X55" i="36"/>
  <c r="W55" i="36"/>
  <c r="V55" i="36"/>
  <c r="U55" i="36"/>
  <c r="T55" i="36"/>
  <c r="S55" i="36"/>
  <c r="R55" i="36"/>
  <c r="Q55" i="36"/>
  <c r="P55" i="36"/>
  <c r="O55" i="36"/>
  <c r="N55" i="36"/>
  <c r="M55" i="36"/>
  <c r="L55" i="36"/>
  <c r="K55" i="36"/>
  <c r="J55" i="36"/>
  <c r="I55" i="36"/>
  <c r="H55" i="36"/>
  <c r="G55" i="36"/>
  <c r="F55" i="36"/>
  <c r="E55" i="36"/>
  <c r="D55" i="36"/>
  <c r="C55" i="36"/>
  <c r="B55" i="36"/>
  <c r="AP46" i="36"/>
  <c r="AO46" i="36"/>
  <c r="AN46" i="36"/>
  <c r="AM46" i="36"/>
  <c r="AL46" i="36"/>
  <c r="AK46" i="36"/>
  <c r="AJ46" i="36"/>
  <c r="AI46" i="36"/>
  <c r="AH46" i="36"/>
  <c r="AG46" i="36"/>
  <c r="AF46" i="36"/>
  <c r="AE46" i="36"/>
  <c r="AD46" i="36"/>
  <c r="AC46" i="36"/>
  <c r="AB46" i="36"/>
  <c r="AA46" i="36"/>
  <c r="Z46" i="36"/>
  <c r="Y46" i="36"/>
  <c r="X46" i="36"/>
  <c r="W46" i="36"/>
  <c r="V46" i="36"/>
  <c r="U46" i="36"/>
  <c r="T46" i="36"/>
  <c r="S46" i="36"/>
  <c r="R46" i="36"/>
  <c r="Q46" i="36"/>
  <c r="P46" i="36"/>
  <c r="O46" i="36"/>
  <c r="N46" i="36"/>
  <c r="M46" i="36"/>
  <c r="L46" i="36"/>
  <c r="K46" i="36"/>
  <c r="J46" i="36"/>
  <c r="I46" i="36"/>
  <c r="H46" i="36"/>
  <c r="G46" i="36"/>
  <c r="F46" i="36"/>
  <c r="E46" i="36"/>
  <c r="D46" i="36"/>
  <c r="C46" i="36"/>
  <c r="B46" i="36"/>
  <c r="AP28" i="36"/>
  <c r="AO28" i="36"/>
  <c r="AN28" i="36"/>
  <c r="AM28" i="36"/>
  <c r="AL28" i="36"/>
  <c r="AK28" i="36"/>
  <c r="AJ28" i="36"/>
  <c r="AI28" i="36"/>
  <c r="AH28" i="36"/>
  <c r="AG28" i="36"/>
  <c r="AF28" i="36"/>
  <c r="AE28" i="36"/>
  <c r="AD28" i="36"/>
  <c r="AC28" i="36"/>
  <c r="AB28" i="36"/>
  <c r="AA28" i="36"/>
  <c r="Z28" i="36"/>
  <c r="Y28" i="36"/>
  <c r="X28" i="36"/>
  <c r="W28" i="36"/>
  <c r="V28" i="36"/>
  <c r="U28" i="36"/>
  <c r="T28" i="36"/>
  <c r="S28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AP37" i="36"/>
  <c r="AO37" i="36"/>
  <c r="AN37" i="36"/>
  <c r="AM37" i="36"/>
  <c r="AL37" i="36"/>
  <c r="AK37" i="36"/>
  <c r="AJ37" i="36"/>
  <c r="AI37" i="36"/>
  <c r="AH37" i="36"/>
  <c r="AG37" i="36"/>
  <c r="AF37" i="36"/>
  <c r="AE37" i="36"/>
  <c r="AD37" i="36"/>
  <c r="AC37" i="36"/>
  <c r="AB37" i="36"/>
  <c r="AA37" i="36"/>
  <c r="Z37" i="36"/>
  <c r="Y37" i="36"/>
  <c r="X37" i="36"/>
  <c r="W37" i="36"/>
  <c r="V37" i="36"/>
  <c r="U37" i="36"/>
  <c r="T37" i="36"/>
  <c r="S37" i="36"/>
  <c r="R37" i="36"/>
  <c r="Q37" i="36"/>
  <c r="P37" i="36"/>
  <c r="O37" i="36"/>
  <c r="N37" i="36"/>
  <c r="M37" i="36"/>
  <c r="L37" i="36"/>
  <c r="K37" i="36"/>
  <c r="J37" i="36"/>
  <c r="I37" i="36"/>
  <c r="H37" i="36"/>
  <c r="G37" i="36"/>
  <c r="F37" i="36"/>
  <c r="E37" i="36"/>
  <c r="D37" i="36"/>
  <c r="C37" i="36"/>
  <c r="B37" i="36"/>
  <c r="A102" i="36"/>
  <c r="A101" i="36"/>
  <c r="A100" i="36"/>
  <c r="A88" i="36"/>
  <c r="A75" i="36"/>
  <c r="A87" i="36" s="1"/>
  <c r="A74" i="36"/>
  <c r="A86" i="36" s="1"/>
  <c r="A66" i="36"/>
  <c r="A62" i="36"/>
  <c r="A60" i="36"/>
  <c r="A58" i="36"/>
  <c r="A56" i="36"/>
  <c r="AP15" i="36"/>
  <c r="AO15" i="36"/>
  <c r="AN15" i="36"/>
  <c r="AM15" i="36"/>
  <c r="AL15" i="36"/>
  <c r="AK15" i="36"/>
  <c r="AJ15" i="36"/>
  <c r="AI15" i="36"/>
  <c r="AH15" i="36"/>
  <c r="AG15" i="36"/>
  <c r="AF15" i="36"/>
  <c r="AE15" i="36"/>
  <c r="AD15" i="36"/>
  <c r="AC15" i="36"/>
  <c r="AB15" i="36"/>
  <c r="AA15" i="36"/>
  <c r="Z15" i="36"/>
  <c r="Y15" i="36"/>
  <c r="X15" i="36"/>
  <c r="W15" i="36"/>
  <c r="V15" i="36"/>
  <c r="U15" i="36"/>
  <c r="T15" i="36"/>
  <c r="S15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J101" i="36" l="1"/>
  <c r="N101" i="36"/>
  <c r="R101" i="36"/>
  <c r="V101" i="36"/>
  <c r="Z101" i="36"/>
  <c r="AD101" i="36"/>
  <c r="K101" i="36"/>
  <c r="O101" i="36"/>
  <c r="S101" i="36"/>
  <c r="W101" i="36"/>
  <c r="AA101" i="36"/>
  <c r="AE101" i="36"/>
  <c r="AI101" i="36"/>
  <c r="AM101" i="36"/>
  <c r="L101" i="36"/>
  <c r="P101" i="36"/>
  <c r="T101" i="36"/>
  <c r="X101" i="36"/>
  <c r="AB101" i="36"/>
  <c r="AF101" i="36"/>
  <c r="AJ101" i="36"/>
  <c r="AN101" i="36"/>
  <c r="CG13" i="4"/>
  <c r="CG107" i="3" s="1"/>
  <c r="CN101" i="3" l="1"/>
  <c r="CO101" i="3" s="1"/>
  <c r="CP101" i="3" s="1"/>
  <c r="CG134" i="7" l="1"/>
  <c r="CG191" i="7"/>
  <c r="CG190" i="7"/>
  <c r="CG56" i="7"/>
  <c r="CG101" i="1"/>
  <c r="CG100" i="1" s="1"/>
  <c r="CG90" i="1"/>
  <c r="CK90" i="1" s="1"/>
  <c r="CG83" i="1"/>
  <c r="CG84" i="1"/>
  <c r="CG78" i="1"/>
  <c r="CG79" i="1" s="1"/>
  <c r="CG17" i="1"/>
  <c r="CG105" i="1" l="1"/>
  <c r="CK105" i="1" s="1"/>
  <c r="CK83" i="1"/>
  <c r="CG107" i="1"/>
  <c r="CK100" i="1"/>
  <c r="CG92" i="1"/>
  <c r="CK92" i="1" s="1"/>
  <c r="CK84" i="1"/>
  <c r="CG52" i="1"/>
  <c r="CG91" i="1"/>
  <c r="CG85" i="1"/>
  <c r="CG87" i="1" s="1"/>
  <c r="CG93" i="1" l="1"/>
  <c r="CG94" i="1" s="1"/>
  <c r="CK91" i="1"/>
  <c r="CK93" i="1" s="1"/>
  <c r="CK85" i="1"/>
  <c r="CG86" i="1"/>
  <c r="BL15" i="9" l="1"/>
  <c r="BL73" i="9"/>
  <c r="BL71" i="9"/>
  <c r="BL70" i="9"/>
  <c r="BL63" i="9"/>
  <c r="BL62" i="9"/>
  <c r="BL61" i="9"/>
  <c r="BL60" i="9"/>
  <c r="BL59" i="9"/>
  <c r="BL58" i="9"/>
  <c r="BL57" i="9"/>
  <c r="BL56" i="9"/>
  <c r="BL55" i="9"/>
  <c r="BL54" i="9"/>
  <c r="BL53" i="9"/>
  <c r="BL52" i="9"/>
  <c r="BL51" i="9"/>
  <c r="BL50" i="9"/>
  <c r="BL49" i="9"/>
  <c r="BL48" i="9"/>
  <c r="BL47" i="9"/>
  <c r="BL46" i="9"/>
  <c r="BL45" i="9"/>
  <c r="BL44" i="9"/>
  <c r="BL43" i="9"/>
  <c r="BL42" i="9"/>
  <c r="BL41" i="9"/>
  <c r="CE171" i="3"/>
  <c r="CD166" i="3"/>
  <c r="CE162" i="3"/>
  <c r="CD162" i="3"/>
  <c r="CD127" i="3"/>
  <c r="CD122" i="3"/>
  <c r="CE118" i="3"/>
  <c r="CD112" i="3"/>
  <c r="CE103" i="3"/>
  <c r="CE102" i="3"/>
  <c r="CD92" i="3"/>
  <c r="CE91" i="3"/>
  <c r="CD49" i="3"/>
  <c r="CD106" i="1"/>
  <c r="CD90" i="1"/>
  <c r="CD30" i="3"/>
  <c r="CD27" i="3"/>
  <c r="CD67" i="3" s="1"/>
  <c r="CD19" i="3"/>
  <c r="CD15" i="3"/>
  <c r="CD83" i="4"/>
  <c r="CD50" i="3" l="1"/>
  <c r="CD185" i="3"/>
  <c r="CD20" i="3"/>
  <c r="BL64" i="9"/>
  <c r="CD31" i="3"/>
  <c r="CD65" i="3"/>
  <c r="CD66" i="3"/>
  <c r="CD68" i="3"/>
  <c r="CD61" i="3"/>
  <c r="CD51" i="3" l="1"/>
  <c r="CE84" i="4"/>
  <c r="CE83" i="4"/>
  <c r="CE73" i="4"/>
  <c r="CD74" i="4"/>
  <c r="CE85" i="4" l="1"/>
  <c r="CD85" i="4"/>
  <c r="CD86" i="4" s="1"/>
  <c r="CE33" i="4" l="1"/>
  <c r="CE20" i="4"/>
  <c r="CE13" i="4"/>
  <c r="CE47" i="4"/>
  <c r="CE32" i="4"/>
  <c r="CE25" i="4"/>
  <c r="CE26" i="4" l="1"/>
  <c r="CD53" i="4"/>
  <c r="CD46" i="4"/>
  <c r="CE50" i="4" l="1"/>
  <c r="CE77" i="3" s="1"/>
  <c r="CE78" i="3"/>
  <c r="CD193" i="7" l="1"/>
  <c r="CE158" i="7"/>
  <c r="CE157" i="7"/>
  <c r="CE155" i="7"/>
  <c r="CE145" i="7"/>
  <c r="BY158" i="7"/>
  <c r="BY157" i="7"/>
  <c r="BY155" i="7"/>
  <c r="CD133" i="7"/>
  <c r="CD128" i="7"/>
  <c r="CE122" i="7"/>
  <c r="CE132" i="7"/>
  <c r="CD72" i="7"/>
  <c r="CE152" i="7" l="1"/>
  <c r="CE150" i="7"/>
  <c r="CE148" i="7"/>
  <c r="CD148" i="7" s="1"/>
  <c r="CE151" i="7"/>
  <c r="CD151" i="7" s="1"/>
  <c r="CE149" i="7"/>
  <c r="CD149" i="7" s="1"/>
  <c r="CE134" i="7"/>
  <c r="CD63" i="7"/>
  <c r="CE63" i="7" s="1"/>
  <c r="CD61" i="7"/>
  <c r="CD51" i="7"/>
  <c r="CE51" i="7" s="1"/>
  <c r="CD49" i="7"/>
  <c r="CE49" i="7" s="1"/>
  <c r="CD116" i="1"/>
  <c r="CE43" i="1"/>
  <c r="CD43" i="1"/>
  <c r="CD41" i="1"/>
  <c r="CC41" i="1"/>
  <c r="CD40" i="1"/>
  <c r="CD10" i="1"/>
  <c r="CD150" i="7" l="1"/>
  <c r="CC150" i="7" s="1"/>
  <c r="CG150" i="7"/>
  <c r="CD53" i="7"/>
  <c r="CD102" i="7"/>
  <c r="CJ103" i="7" s="1"/>
  <c r="CE10" i="1"/>
  <c r="CE61" i="7"/>
  <c r="CD65" i="7"/>
  <c r="CJ69" i="7" s="1"/>
  <c r="CC151" i="7"/>
  <c r="CC149" i="7"/>
  <c r="CC148" i="7"/>
  <c r="AO38" i="36" l="1"/>
  <c r="AO42" i="36"/>
  <c r="AS51" i="36"/>
  <c r="CD129" i="7"/>
  <c r="CB148" i="7"/>
  <c r="CB149" i="7"/>
  <c r="CB150" i="7"/>
  <c r="CB151" i="7"/>
  <c r="CA151" i="7" l="1"/>
  <c r="CA150" i="7"/>
  <c r="CA149" i="7"/>
  <c r="CA148" i="7"/>
  <c r="BI17" i="1" l="1"/>
  <c r="CD191" i="7" l="1"/>
  <c r="CD190" i="7"/>
  <c r="CE99" i="1" l="1"/>
  <c r="CE89" i="1"/>
  <c r="CE82" i="1"/>
  <c r="CE76" i="1"/>
  <c r="CE75" i="1"/>
  <c r="CE74" i="1"/>
  <c r="CD104" i="1" l="1"/>
  <c r="CD101" i="1"/>
  <c r="CD100" i="1" s="1"/>
  <c r="CD107" i="1" s="1"/>
  <c r="CD83" i="1"/>
  <c r="CD105" i="1" s="1"/>
  <c r="CD77" i="1"/>
  <c r="CD84" i="1" s="1"/>
  <c r="CD92" i="1" s="1"/>
  <c r="CD85" i="1" l="1"/>
  <c r="CD91" i="1"/>
  <c r="CD93" i="1" s="1"/>
  <c r="CD78" i="1"/>
  <c r="CD17" i="1"/>
  <c r="CD87" i="1" l="1"/>
  <c r="CA193" i="7"/>
  <c r="BK74" i="9" l="1"/>
  <c r="BK73" i="9"/>
  <c r="BK71" i="9"/>
  <c r="BK70" i="9"/>
  <c r="BK67" i="9"/>
  <c r="BK65" i="9"/>
  <c r="BK63" i="9"/>
  <c r="BK62" i="9"/>
  <c r="BK61" i="9"/>
  <c r="BK60" i="9"/>
  <c r="BK59" i="9"/>
  <c r="BK58" i="9"/>
  <c r="BK57" i="9"/>
  <c r="BK56" i="9"/>
  <c r="BK55" i="9"/>
  <c r="BK54" i="9"/>
  <c r="BK53" i="9"/>
  <c r="BK52" i="9"/>
  <c r="BK51" i="9"/>
  <c r="BK50" i="9"/>
  <c r="BK49" i="9"/>
  <c r="BK48" i="9"/>
  <c r="BK47" i="9"/>
  <c r="BK46" i="9"/>
  <c r="BK45" i="9"/>
  <c r="BK44" i="9"/>
  <c r="BK43" i="9"/>
  <c r="BK42" i="9"/>
  <c r="BK41" i="9"/>
  <c r="BK15" i="9"/>
  <c r="CC166" i="3"/>
  <c r="CC162" i="3"/>
  <c r="CC154" i="3"/>
  <c r="CC153" i="3"/>
  <c r="CC152" i="3"/>
  <c r="CC151" i="3"/>
  <c r="CC148" i="3"/>
  <c r="CC146" i="3"/>
  <c r="CC145" i="3"/>
  <c r="CC144" i="3"/>
  <c r="CC143" i="3"/>
  <c r="CC127" i="3"/>
  <c r="CD124" i="3" s="1"/>
  <c r="CC122" i="3"/>
  <c r="CD117" i="3" s="1"/>
  <c r="CC112" i="3"/>
  <c r="CC92" i="3"/>
  <c r="CC49" i="3"/>
  <c r="CC19" i="3"/>
  <c r="CC147" i="3" s="1"/>
  <c r="CV42" i="4"/>
  <c r="CU42" i="4"/>
  <c r="CT42" i="4"/>
  <c r="CS42" i="4"/>
  <c r="CP42" i="4"/>
  <c r="CO42" i="4"/>
  <c r="CN42" i="4"/>
  <c r="CB42" i="4"/>
  <c r="BY46" i="4"/>
  <c r="BV46" i="4"/>
  <c r="BW46" i="4" s="1"/>
  <c r="BV42" i="4"/>
  <c r="BW42" i="4" s="1"/>
  <c r="BS42" i="4"/>
  <c r="BM42" i="4"/>
  <c r="BG42" i="4"/>
  <c r="BA42" i="4"/>
  <c r="AU42" i="4"/>
  <c r="AO42" i="4"/>
  <c r="AI42" i="4"/>
  <c r="AC42" i="4"/>
  <c r="W42" i="4"/>
  <c r="CC85" i="4"/>
  <c r="CI86" i="4" s="1"/>
  <c r="CC74" i="4"/>
  <c r="CC102" i="7"/>
  <c r="CI103" i="7" s="1"/>
  <c r="CC68" i="7"/>
  <c r="CC65" i="7"/>
  <c r="CC64" i="7"/>
  <c r="CC98" i="7" s="1"/>
  <c r="CC62" i="7"/>
  <c r="CC97" i="7" s="1"/>
  <c r="CC56" i="7"/>
  <c r="CC53" i="7"/>
  <c r="CC52" i="7"/>
  <c r="CC95" i="7" s="1"/>
  <c r="CC50" i="7"/>
  <c r="CC94" i="7" s="1"/>
  <c r="CC13" i="1"/>
  <c r="CC47" i="1" s="1"/>
  <c r="CC14" i="1"/>
  <c r="CC48" i="1" s="1"/>
  <c r="CC11" i="1"/>
  <c r="CC50" i="3" l="1"/>
  <c r="CC185" i="3"/>
  <c r="AR51" i="36"/>
  <c r="CI69" i="7"/>
  <c r="CC12" i="1"/>
  <c r="CI63" i="1" s="1"/>
  <c r="CC105" i="7"/>
  <c r="CC9" i="1"/>
  <c r="CI62" i="1" s="1"/>
  <c r="AN38" i="36"/>
  <c r="AN42" i="36"/>
  <c r="CW42" i="4"/>
  <c r="CQ42" i="4"/>
  <c r="CC149" i="3"/>
  <c r="BK75" i="9"/>
  <c r="BL75" i="9" s="1"/>
  <c r="BL74" i="9" s="1"/>
  <c r="CC155" i="3"/>
  <c r="CC84" i="3"/>
  <c r="CC117" i="7"/>
  <c r="CC114" i="7"/>
  <c r="BX42" i="4"/>
  <c r="CC42" i="4"/>
  <c r="CD42" i="4" s="1"/>
  <c r="BK64" i="9"/>
  <c r="BK68" i="9" s="1"/>
  <c r="CC51" i="3"/>
  <c r="CC108" i="7" l="1"/>
  <c r="CI109" i="7" s="1"/>
  <c r="CI106" i="7"/>
  <c r="CC61" i="3"/>
  <c r="CC168" i="3"/>
  <c r="CC85" i="3"/>
  <c r="CC57" i="1"/>
  <c r="CC46" i="1"/>
  <c r="CC73" i="3"/>
  <c r="CC167" i="3"/>
  <c r="CC137" i="3"/>
  <c r="CC72" i="3"/>
  <c r="CC71" i="3"/>
  <c r="CC51" i="1"/>
  <c r="CC83" i="3"/>
  <c r="CC145" i="7"/>
  <c r="CC141" i="7" s="1"/>
  <c r="CC122" i="1"/>
  <c r="CC123" i="1"/>
  <c r="CC157" i="3"/>
  <c r="CC152" i="7" l="1"/>
  <c r="CC143" i="7"/>
  <c r="CC142" i="7"/>
  <c r="CC74" i="3"/>
  <c r="CC144" i="7"/>
  <c r="CO84" i="3"/>
  <c r="CU84" i="3" s="1"/>
  <c r="DA84" i="3" s="1"/>
  <c r="CO83" i="3"/>
  <c r="CU83" i="3" s="1"/>
  <c r="DA83" i="3" s="1"/>
  <c r="DG83" i="3" s="1"/>
  <c r="CO85" i="3"/>
  <c r="CU85" i="3" s="1"/>
  <c r="DA85" i="3" s="1"/>
  <c r="CO74" i="3" l="1"/>
  <c r="DG85" i="3"/>
  <c r="DG84" i="3"/>
  <c r="CW52" i="8" l="1"/>
  <c r="CV52" i="8"/>
  <c r="CU52" i="8"/>
  <c r="CT52" i="8"/>
  <c r="CS52" i="8"/>
  <c r="CW51" i="8"/>
  <c r="CV51" i="8"/>
  <c r="CU51" i="8"/>
  <c r="CT51" i="8"/>
  <c r="CS51" i="8"/>
  <c r="CW49" i="8"/>
  <c r="CV49" i="8"/>
  <c r="CU49" i="8"/>
  <c r="CT49" i="8"/>
  <c r="CS49" i="8"/>
  <c r="CW48" i="8"/>
  <c r="CV48" i="8"/>
  <c r="CU48" i="8"/>
  <c r="CT48" i="8"/>
  <c r="CS48" i="8"/>
  <c r="CS12" i="8"/>
  <c r="CS11" i="8"/>
  <c r="CY21" i="8" s="1"/>
  <c r="CS10" i="8"/>
  <c r="CY20" i="8" s="1"/>
  <c r="CT106" i="1"/>
  <c r="CU106" i="1" s="1"/>
  <c r="CT105" i="1"/>
  <c r="CU105" i="1" s="1"/>
  <c r="CT104" i="1"/>
  <c r="CU104" i="1" s="1"/>
  <c r="CV104" i="1" s="1"/>
  <c r="CW104" i="1" s="1"/>
  <c r="CT52" i="1"/>
  <c r="CT51" i="1"/>
  <c r="CT49" i="1"/>
  <c r="CW31" i="1"/>
  <c r="CW18" i="1"/>
  <c r="CW98" i="7"/>
  <c r="CV98" i="7"/>
  <c r="CU98" i="7"/>
  <c r="CT98" i="7"/>
  <c r="CS98" i="7"/>
  <c r="CW97" i="7"/>
  <c r="CV97" i="7"/>
  <c r="CU97" i="7"/>
  <c r="CT97" i="7"/>
  <c r="CS97" i="7"/>
  <c r="CW95" i="7"/>
  <c r="CV95" i="7"/>
  <c r="CU95" i="7"/>
  <c r="CT95" i="7"/>
  <c r="CS95" i="7"/>
  <c r="CW94" i="7"/>
  <c r="CV94" i="7"/>
  <c r="CU94" i="7"/>
  <c r="CT94" i="7"/>
  <c r="CS94" i="7"/>
  <c r="CV41" i="8"/>
  <c r="CU68" i="7"/>
  <c r="CU35" i="8" s="1"/>
  <c r="CT36" i="8"/>
  <c r="CS41" i="8"/>
  <c r="CS67" i="7"/>
  <c r="CS43" i="7"/>
  <c r="CT38" i="7"/>
  <c r="CT10" i="8" s="1"/>
  <c r="CZ20" i="8" s="1"/>
  <c r="CS35" i="7"/>
  <c r="CW84" i="4"/>
  <c r="CW53" i="4"/>
  <c r="CW49" i="4"/>
  <c r="CW45" i="4"/>
  <c r="CW44" i="4"/>
  <c r="CW43" i="4"/>
  <c r="CW40" i="4"/>
  <c r="CV36" i="4"/>
  <c r="CU36" i="4"/>
  <c r="CT36" i="4"/>
  <c r="CS36" i="4"/>
  <c r="CW32" i="4"/>
  <c r="CV31" i="4"/>
  <c r="CU31" i="4"/>
  <c r="CT31" i="4"/>
  <c r="CS31" i="4"/>
  <c r="CW29" i="4"/>
  <c r="CW19" i="4"/>
  <c r="CW18" i="4"/>
  <c r="CW16" i="4"/>
  <c r="CW15" i="4"/>
  <c r="CV133" i="3"/>
  <c r="CV102" i="3" s="1"/>
  <c r="CU133" i="3"/>
  <c r="CU102" i="3" s="1"/>
  <c r="CT133" i="3"/>
  <c r="CT102" i="3" s="1"/>
  <c r="CS133" i="3"/>
  <c r="CS102" i="3" s="1"/>
  <c r="CW126" i="3"/>
  <c r="CV125" i="3"/>
  <c r="CU125" i="3"/>
  <c r="CT125" i="3"/>
  <c r="CS125" i="3"/>
  <c r="CW121" i="3"/>
  <c r="CS119" i="3"/>
  <c r="CS14" i="4" s="1"/>
  <c r="CV118" i="3"/>
  <c r="CU118" i="3"/>
  <c r="CT118" i="3"/>
  <c r="CS118" i="3"/>
  <c r="CW109" i="3"/>
  <c r="CT108" i="3"/>
  <c r="CU108" i="3" s="1"/>
  <c r="CV108" i="3" s="1"/>
  <c r="CW103" i="3"/>
  <c r="CW93" i="3"/>
  <c r="CW91" i="3"/>
  <c r="CD64" i="9"/>
  <c r="CD68" i="9" s="1"/>
  <c r="CC64" i="9"/>
  <c r="CC68" i="9" s="1"/>
  <c r="CB64" i="9"/>
  <c r="CB68" i="9" s="1"/>
  <c r="CA64" i="9"/>
  <c r="CA68" i="9" s="1"/>
  <c r="CG68" i="7"/>
  <c r="CG35" i="8" s="1"/>
  <c r="CH68" i="7"/>
  <c r="CH35" i="8" s="1"/>
  <c r="CI68" i="7"/>
  <c r="CI35" i="8" s="1"/>
  <c r="CJ56" i="7"/>
  <c r="CJ27" i="7" s="1"/>
  <c r="CJ68" i="7"/>
  <c r="CJ35" i="8" s="1"/>
  <c r="BU53" i="7"/>
  <c r="BO53" i="7"/>
  <c r="AH47" i="36" s="1"/>
  <c r="BO65" i="7"/>
  <c r="AH51" i="36" s="1"/>
  <c r="BO15" i="7"/>
  <c r="BP53" i="7"/>
  <c r="BQ53" i="7"/>
  <c r="AJ47" i="36" s="1"/>
  <c r="BR51" i="7"/>
  <c r="BR49" i="7"/>
  <c r="BP65" i="7"/>
  <c r="BQ65" i="7"/>
  <c r="AJ51" i="36" s="1"/>
  <c r="BR61" i="7"/>
  <c r="BS61" i="7" s="1"/>
  <c r="BR63" i="7"/>
  <c r="BR72" i="7"/>
  <c r="BM23" i="7"/>
  <c r="BG23" i="7" s="1"/>
  <c r="BI53" i="7"/>
  <c r="BJ53" i="7"/>
  <c r="AE47" i="36" s="1"/>
  <c r="BK53" i="7"/>
  <c r="BL51" i="7"/>
  <c r="BL49" i="7"/>
  <c r="BM49" i="7" s="1"/>
  <c r="BI65" i="7"/>
  <c r="AD51" i="36" s="1"/>
  <c r="BJ65" i="7"/>
  <c r="AE51" i="36" s="1"/>
  <c r="BK65" i="7"/>
  <c r="AF51" i="36" s="1"/>
  <c r="BL61" i="7"/>
  <c r="BL63" i="7"/>
  <c r="BM63" i="7" s="1"/>
  <c r="BM72" i="7"/>
  <c r="BM15" i="7" s="1"/>
  <c r="BM32" i="7"/>
  <c r="BG32" i="7" s="1"/>
  <c r="BM34" i="7" s="1"/>
  <c r="BU43" i="7"/>
  <c r="BV53" i="7"/>
  <c r="AM47" i="36" s="1"/>
  <c r="BP15" i="7"/>
  <c r="BV43" i="7"/>
  <c r="BQ15" i="7"/>
  <c r="BW26" i="7"/>
  <c r="BW27" i="7"/>
  <c r="CD26" i="7"/>
  <c r="CD56" i="7"/>
  <c r="CD27" i="7" s="1"/>
  <c r="BW36" i="7"/>
  <c r="CD35" i="7"/>
  <c r="BW45" i="7"/>
  <c r="BW43" i="7" s="1"/>
  <c r="BW44" i="7"/>
  <c r="BX61" i="7"/>
  <c r="BX63" i="7"/>
  <c r="CD64" i="7" s="1"/>
  <c r="CD98" i="7" s="1"/>
  <c r="CD68" i="7"/>
  <c r="CD35" i="8" s="1"/>
  <c r="CC26" i="7"/>
  <c r="CC36" i="7"/>
  <c r="CC35" i="7"/>
  <c r="BW53" i="7"/>
  <c r="AN47" i="36" s="1"/>
  <c r="BW65" i="7"/>
  <c r="AN51" i="36" s="1"/>
  <c r="BW15" i="7"/>
  <c r="CB53" i="7"/>
  <c r="CB65" i="7"/>
  <c r="AQ51" i="36" s="1"/>
  <c r="CA53" i="7"/>
  <c r="AP47" i="36" s="1"/>
  <c r="CA65" i="7"/>
  <c r="CA26" i="7"/>
  <c r="CA35" i="7"/>
  <c r="CB55" i="7"/>
  <c r="CB26" i="7"/>
  <c r="CB35" i="7"/>
  <c r="BV65" i="7"/>
  <c r="BV15" i="7"/>
  <c r="CH11" i="8"/>
  <c r="CI12" i="8"/>
  <c r="BD74" i="9"/>
  <c r="B18" i="9"/>
  <c r="BD70" i="9"/>
  <c r="CA100" i="3"/>
  <c r="CB30" i="4"/>
  <c r="W99" i="3"/>
  <c r="S100" i="3"/>
  <c r="T30" i="4"/>
  <c r="U30" i="4" s="1"/>
  <c r="W102" i="3"/>
  <c r="S99" i="3"/>
  <c r="Y100" i="3"/>
  <c r="Z30" i="4"/>
  <c r="Z100" i="3" s="1"/>
  <c r="AC102" i="3"/>
  <c r="AE100" i="3"/>
  <c r="AF30" i="4"/>
  <c r="AI102" i="3"/>
  <c r="AK100" i="3"/>
  <c r="AL30" i="4"/>
  <c r="AL100" i="3" s="1"/>
  <c r="AO102" i="3"/>
  <c r="AQ100" i="3"/>
  <c r="AR30" i="4"/>
  <c r="AU102" i="3"/>
  <c r="AW100" i="3"/>
  <c r="AX30" i="4"/>
  <c r="AX100" i="3" s="1"/>
  <c r="BA102" i="3"/>
  <c r="BC100" i="3"/>
  <c r="BD30" i="4"/>
  <c r="BG102" i="3"/>
  <c r="BG103" i="3"/>
  <c r="BI100" i="3"/>
  <c r="BJ30" i="4"/>
  <c r="BK100" i="3"/>
  <c r="BL100" i="3"/>
  <c r="BM102" i="3"/>
  <c r="BM103" i="3"/>
  <c r="BO100" i="3"/>
  <c r="BP30" i="4"/>
  <c r="BS102" i="3"/>
  <c r="BS103" i="3"/>
  <c r="BU100" i="3"/>
  <c r="BV30" i="4"/>
  <c r="BY102" i="3"/>
  <c r="BY103" i="3"/>
  <c r="CM173" i="3"/>
  <c r="CN173" i="3" s="1"/>
  <c r="CO173" i="3" s="1"/>
  <c r="CP173" i="3" s="1"/>
  <c r="CS173" i="3" s="1"/>
  <c r="CT173" i="3" s="1"/>
  <c r="CU173" i="3" s="1"/>
  <c r="CV173" i="3" s="1"/>
  <c r="CY173" i="3" s="1"/>
  <c r="CZ173" i="3" s="1"/>
  <c r="DA173" i="3" s="1"/>
  <c r="DB173" i="3" s="1"/>
  <c r="DE173" i="3" s="1"/>
  <c r="DF173" i="3" s="1"/>
  <c r="DG173" i="3" s="1"/>
  <c r="DH173" i="3" s="1"/>
  <c r="BM9" i="9"/>
  <c r="BO41" i="9" s="1"/>
  <c r="BM10" i="9"/>
  <c r="BO42" i="9" s="1"/>
  <c r="BM11" i="9"/>
  <c r="BO43" i="9" s="1"/>
  <c r="BM12" i="9"/>
  <c r="BO44" i="9" s="1"/>
  <c r="BM13" i="9"/>
  <c r="BO45" i="9" s="1"/>
  <c r="BJ15" i="9"/>
  <c r="BM15" i="9" s="1"/>
  <c r="BO47" i="9" s="1"/>
  <c r="BM16" i="9"/>
  <c r="BO48" i="9" s="1"/>
  <c r="BM17" i="9"/>
  <c r="BO49" i="9" s="1"/>
  <c r="BM18" i="9"/>
  <c r="BO50" i="9" s="1"/>
  <c r="BM19" i="9"/>
  <c r="BO51" i="9" s="1"/>
  <c r="BM20" i="9"/>
  <c r="BO52" i="9" s="1"/>
  <c r="BM21" i="9"/>
  <c r="BO53" i="9" s="1"/>
  <c r="BM22" i="9"/>
  <c r="BO54" i="9" s="1"/>
  <c r="BM23" i="9"/>
  <c r="BO55" i="9" s="1"/>
  <c r="BM24" i="9"/>
  <c r="BO56" i="9" s="1"/>
  <c r="BM25" i="9"/>
  <c r="BO57" i="9" s="1"/>
  <c r="BM26" i="9"/>
  <c r="BO58" i="9" s="1"/>
  <c r="BM27" i="9"/>
  <c r="BO59" i="9" s="1"/>
  <c r="BM28" i="9"/>
  <c r="BO60" i="9" s="1"/>
  <c r="BM29" i="9"/>
  <c r="BO61" i="9" s="1"/>
  <c r="BM30" i="9"/>
  <c r="BO62" i="9" s="1"/>
  <c r="BM31" i="9"/>
  <c r="BO63" i="9" s="1"/>
  <c r="BM33" i="9"/>
  <c r="BO65" i="9" s="1"/>
  <c r="I72" i="4"/>
  <c r="K68" i="4" s="1"/>
  <c r="K72" i="4" s="1"/>
  <c r="M68" i="4" s="1"/>
  <c r="M77" i="4" s="1"/>
  <c r="T69" i="4"/>
  <c r="U69" i="4" s="1"/>
  <c r="T70" i="4"/>
  <c r="U70" i="4" s="1"/>
  <c r="T71" i="4"/>
  <c r="Z69" i="4"/>
  <c r="AA69" i="4" s="1"/>
  <c r="Z70" i="4"/>
  <c r="Z80" i="4" s="1"/>
  <c r="Z71" i="4"/>
  <c r="AA71" i="4" s="1"/>
  <c r="AF69" i="4"/>
  <c r="AG69" i="4" s="1"/>
  <c r="AF70" i="4"/>
  <c r="AF80" i="4" s="1"/>
  <c r="AF71" i="4"/>
  <c r="AG71" i="4" s="1"/>
  <c r="AH71" i="4" s="1"/>
  <c r="AL69" i="4"/>
  <c r="AM69" i="4" s="1"/>
  <c r="AL70" i="4"/>
  <c r="AM70" i="4" s="1"/>
  <c r="AM80" i="4" s="1"/>
  <c r="AL71" i="4"/>
  <c r="AY69" i="4"/>
  <c r="AZ69" i="4" s="1"/>
  <c r="AY70" i="4"/>
  <c r="AY80" i="4" s="1"/>
  <c r="AY71" i="4"/>
  <c r="AZ71" i="4" s="1"/>
  <c r="BA71" i="4" s="1"/>
  <c r="BD69" i="4"/>
  <c r="BE69" i="4" s="1"/>
  <c r="BF69" i="4" s="1"/>
  <c r="BD70" i="4"/>
  <c r="BE70" i="4" s="1"/>
  <c r="BD71" i="4"/>
  <c r="BJ69" i="4"/>
  <c r="BK69" i="4" s="1"/>
  <c r="BL69" i="4" s="1"/>
  <c r="BM69" i="4" s="1"/>
  <c r="BJ70" i="4"/>
  <c r="BK70" i="4" s="1"/>
  <c r="BL70" i="4" s="1"/>
  <c r="BM70" i="4" s="1"/>
  <c r="BJ71" i="4"/>
  <c r="BK71" i="4" s="1"/>
  <c r="BL71" i="4" s="1"/>
  <c r="BP69" i="4"/>
  <c r="BQ69" i="4" s="1"/>
  <c r="BP70" i="4"/>
  <c r="BQ70" i="4" s="1"/>
  <c r="BQ80" i="4" s="1"/>
  <c r="BP71" i="4"/>
  <c r="BV69" i="4"/>
  <c r="BW69" i="4" s="1"/>
  <c r="BX69" i="4" s="1"/>
  <c r="BY69" i="4" s="1"/>
  <c r="BV70" i="4"/>
  <c r="BV71" i="4"/>
  <c r="BW71" i="4" s="1"/>
  <c r="BX71" i="4" s="1"/>
  <c r="CB69" i="4"/>
  <c r="CB70" i="4"/>
  <c r="CB71" i="4"/>
  <c r="CB11" i="1"/>
  <c r="CB9" i="1" s="1"/>
  <c r="CB13" i="1"/>
  <c r="CB12" i="1" s="1"/>
  <c r="CB14" i="1"/>
  <c r="CB17" i="4"/>
  <c r="CB21" i="4"/>
  <c r="CB22" i="4"/>
  <c r="CB23" i="4"/>
  <c r="CB24" i="4"/>
  <c r="CA25" i="4"/>
  <c r="CB29" i="4"/>
  <c r="CB31" i="4"/>
  <c r="CA32" i="4"/>
  <c r="CB32" i="4" s="1"/>
  <c r="CM35" i="7"/>
  <c r="CM43" i="7"/>
  <c r="CM67" i="7"/>
  <c r="CJ133" i="3"/>
  <c r="CK103" i="3"/>
  <c r="CM119" i="3"/>
  <c r="CK29" i="4"/>
  <c r="CK32" i="4"/>
  <c r="CK18" i="1"/>
  <c r="CA11" i="1"/>
  <c r="CA9" i="1"/>
  <c r="CA167" i="3" s="1"/>
  <c r="CA13" i="1"/>
  <c r="CA14" i="1"/>
  <c r="CA17" i="1"/>
  <c r="CB17" i="1"/>
  <c r="CC17" i="1"/>
  <c r="CA18" i="1"/>
  <c r="CE18" i="1" s="1"/>
  <c r="CC15" i="1"/>
  <c r="CC19" i="1"/>
  <c r="CC104" i="1"/>
  <c r="CC83" i="1"/>
  <c r="CC105" i="1" s="1"/>
  <c r="CC106" i="1"/>
  <c r="CC101" i="1"/>
  <c r="CC100" i="1" s="1"/>
  <c r="CC107" i="1" s="1"/>
  <c r="BJ32" i="9"/>
  <c r="BJ34" i="9" s="1"/>
  <c r="BJ38" i="9" s="1"/>
  <c r="CB10" i="4"/>
  <c r="CB12" i="4"/>
  <c r="CB15" i="4"/>
  <c r="CB16" i="4"/>
  <c r="CB18" i="4"/>
  <c r="CB19" i="4"/>
  <c r="CB36" i="4"/>
  <c r="CB37" i="4"/>
  <c r="CB38" i="4"/>
  <c r="CB39" i="4"/>
  <c r="CC39" i="4" s="1"/>
  <c r="CD39" i="4" s="1"/>
  <c r="CB40" i="4"/>
  <c r="CC40" i="4" s="1"/>
  <c r="CD40" i="4" s="1"/>
  <c r="CB41" i="4"/>
  <c r="CB43" i="4"/>
  <c r="CB44" i="4"/>
  <c r="CB45" i="4"/>
  <c r="CB49" i="4"/>
  <c r="CA33" i="4"/>
  <c r="CA47" i="4"/>
  <c r="BY19" i="4"/>
  <c r="BY25" i="4"/>
  <c r="BY20" i="4"/>
  <c r="BY32" i="4"/>
  <c r="BY33" i="4" s="1"/>
  <c r="BY36" i="4"/>
  <c r="BY47" i="4" s="1"/>
  <c r="BY41" i="4"/>
  <c r="BP10" i="4"/>
  <c r="BQ10" i="4" s="1"/>
  <c r="BR10" i="4" s="1"/>
  <c r="BS10" i="4" s="1"/>
  <c r="BP12" i="4"/>
  <c r="BQ12" i="4" s="1"/>
  <c r="BR12" i="4" s="1"/>
  <c r="BS12" i="4" s="1"/>
  <c r="BP15" i="4"/>
  <c r="BQ15" i="4" s="1"/>
  <c r="BR15" i="4" s="1"/>
  <c r="BP16" i="4"/>
  <c r="BQ16" i="4" s="1"/>
  <c r="BP17" i="4"/>
  <c r="BQ17" i="4" s="1"/>
  <c r="BP18" i="4"/>
  <c r="BQ18" i="4" s="1"/>
  <c r="BR18" i="4" s="1"/>
  <c r="BS18" i="4" s="1"/>
  <c r="BP19" i="4"/>
  <c r="BQ19" i="4" s="1"/>
  <c r="BR19" i="4" s="1"/>
  <c r="BP21" i="4"/>
  <c r="BP22" i="4"/>
  <c r="BQ22" i="4" s="1"/>
  <c r="BR22" i="4" s="1"/>
  <c r="BS22" i="4" s="1"/>
  <c r="BP23" i="4"/>
  <c r="BQ23" i="4" s="1"/>
  <c r="BR23" i="4" s="1"/>
  <c r="BS23" i="4" s="1"/>
  <c r="BP24" i="4"/>
  <c r="BQ24" i="4" s="1"/>
  <c r="BR24" i="4" s="1"/>
  <c r="BO25" i="4"/>
  <c r="BP25" i="4"/>
  <c r="BQ25" i="4" s="1"/>
  <c r="BP29" i="4"/>
  <c r="BP125" i="3" s="1"/>
  <c r="BP31" i="4"/>
  <c r="BQ31" i="4" s="1"/>
  <c r="BP32" i="4"/>
  <c r="BQ32" i="4" s="1"/>
  <c r="BR32" i="4" s="1"/>
  <c r="BP36" i="4"/>
  <c r="BQ36" i="4" s="1"/>
  <c r="BR36" i="4" s="1"/>
  <c r="BP37" i="4"/>
  <c r="BQ37" i="4" s="1"/>
  <c r="BS38" i="4"/>
  <c r="BP39" i="4"/>
  <c r="BQ39" i="4" s="1"/>
  <c r="BP40" i="4"/>
  <c r="BQ40" i="4" s="1"/>
  <c r="BP41" i="4"/>
  <c r="BQ41" i="4" s="1"/>
  <c r="BP43" i="4"/>
  <c r="BQ43" i="4" s="1"/>
  <c r="BP44" i="4"/>
  <c r="BQ44" i="4" s="1"/>
  <c r="BP45" i="4"/>
  <c r="BQ45" i="4" s="1"/>
  <c r="BP46" i="4"/>
  <c r="BQ46" i="4" s="1"/>
  <c r="BP49" i="4"/>
  <c r="BJ10" i="4"/>
  <c r="BM10" i="4" s="1"/>
  <c r="BJ12" i="4"/>
  <c r="BM12" i="4" s="1"/>
  <c r="BJ15" i="4"/>
  <c r="BM15" i="4" s="1"/>
  <c r="BJ16" i="4"/>
  <c r="BM16" i="4" s="1"/>
  <c r="BJ17" i="4"/>
  <c r="BM17" i="4" s="1"/>
  <c r="BJ18" i="4"/>
  <c r="BM18" i="4" s="1"/>
  <c r="BJ19" i="4"/>
  <c r="BM19" i="4" s="1"/>
  <c r="BJ21" i="4"/>
  <c r="BJ22" i="4"/>
  <c r="BM22" i="4" s="1"/>
  <c r="BJ23" i="4"/>
  <c r="BM23" i="4" s="1"/>
  <c r="BJ24" i="4"/>
  <c r="BM24" i="4" s="1"/>
  <c r="BI25" i="4"/>
  <c r="BJ25" i="4" s="1"/>
  <c r="BK25" i="4"/>
  <c r="BL25" i="4"/>
  <c r="BL20" i="4" s="1"/>
  <c r="BJ29" i="4"/>
  <c r="BI31" i="4"/>
  <c r="BJ31" i="4" s="1"/>
  <c r="BM31" i="4" s="1"/>
  <c r="BJ32" i="4"/>
  <c r="BM32" i="4" s="1"/>
  <c r="BJ36" i="4"/>
  <c r="BM36" i="4" s="1"/>
  <c r="BJ37" i="4"/>
  <c r="BM38" i="4"/>
  <c r="BJ39" i="4"/>
  <c r="BM39" i="4" s="1"/>
  <c r="BJ40" i="4"/>
  <c r="BM40" i="4" s="1"/>
  <c r="BJ41" i="4"/>
  <c r="BJ43" i="4"/>
  <c r="BM43" i="4" s="1"/>
  <c r="BJ44" i="4"/>
  <c r="BM44" i="4" s="1"/>
  <c r="BJ45" i="4"/>
  <c r="BM45" i="4" s="1"/>
  <c r="BJ46" i="4"/>
  <c r="BM46" i="4" s="1"/>
  <c r="BJ49" i="4"/>
  <c r="BM49" i="4" s="1"/>
  <c r="BD10" i="4"/>
  <c r="BE10" i="4" s="1"/>
  <c r="BF10" i="4" s="1"/>
  <c r="BD12" i="4"/>
  <c r="BE12" i="4" s="1"/>
  <c r="BF12" i="4" s="1"/>
  <c r="BD15" i="4"/>
  <c r="BE15" i="4" s="1"/>
  <c r="BF15" i="4" s="1"/>
  <c r="BD16" i="4"/>
  <c r="BE16" i="4" s="1"/>
  <c r="BF16" i="4" s="1"/>
  <c r="BD17" i="4"/>
  <c r="BD18" i="4"/>
  <c r="BE18" i="4" s="1"/>
  <c r="BF18" i="4" s="1"/>
  <c r="BD19" i="4"/>
  <c r="BE19" i="4" s="1"/>
  <c r="BF19" i="4" s="1"/>
  <c r="BD21" i="4"/>
  <c r="BE21" i="4" s="1"/>
  <c r="BF21" i="4" s="1"/>
  <c r="BD22" i="4"/>
  <c r="BE22" i="4" s="1"/>
  <c r="BF22" i="4" s="1"/>
  <c r="BD23" i="4"/>
  <c r="BE23" i="4" s="1"/>
  <c r="BF23" i="4" s="1"/>
  <c r="BD24" i="4"/>
  <c r="BE24" i="4" s="1"/>
  <c r="BF24" i="4" s="1"/>
  <c r="BD25" i="4"/>
  <c r="BE25" i="4" s="1"/>
  <c r="BF25" i="4" s="1"/>
  <c r="BD29" i="4"/>
  <c r="BD125" i="3" s="1"/>
  <c r="BD31" i="4"/>
  <c r="BE31" i="4" s="1"/>
  <c r="BF31" i="4" s="1"/>
  <c r="BG32" i="4"/>
  <c r="BD36" i="4"/>
  <c r="BE36" i="4" s="1"/>
  <c r="BD37" i="4"/>
  <c r="BG38" i="4"/>
  <c r="BD39" i="4"/>
  <c r="BD40" i="4"/>
  <c r="BD41" i="4"/>
  <c r="BD43" i="4"/>
  <c r="BD44" i="4"/>
  <c r="BD45" i="4"/>
  <c r="BE46" i="4"/>
  <c r="BD49" i="4"/>
  <c r="AX10" i="4"/>
  <c r="AY10" i="4" s="1"/>
  <c r="AZ10" i="4" s="1"/>
  <c r="BA10" i="4" s="1"/>
  <c r="AX12" i="4"/>
  <c r="AY12" i="4" s="1"/>
  <c r="AX15" i="4"/>
  <c r="AY15" i="4" s="1"/>
  <c r="AX16" i="4"/>
  <c r="AY16" i="4" s="1"/>
  <c r="AZ16" i="4" s="1"/>
  <c r="BA16" i="4" s="1"/>
  <c r="AX17" i="4"/>
  <c r="AY17" i="4" s="1"/>
  <c r="AX18" i="4"/>
  <c r="AX19" i="4"/>
  <c r="AY19" i="4" s="1"/>
  <c r="AZ19" i="4" s="1"/>
  <c r="AX21" i="4"/>
  <c r="AY21" i="4" s="1"/>
  <c r="AZ21" i="4" s="1"/>
  <c r="BA21" i="4" s="1"/>
  <c r="AX22" i="4"/>
  <c r="AY22" i="4" s="1"/>
  <c r="AZ22" i="4" s="1"/>
  <c r="BA22" i="4" s="1"/>
  <c r="AX23" i="4"/>
  <c r="AY23" i="4" s="1"/>
  <c r="AX24" i="4"/>
  <c r="AY24" i="4" s="1"/>
  <c r="AZ24" i="4" s="1"/>
  <c r="AX25" i="4"/>
  <c r="AX29" i="4"/>
  <c r="AY29" i="4" s="1"/>
  <c r="AX31" i="4"/>
  <c r="BA32" i="4"/>
  <c r="AX36" i="4"/>
  <c r="AX37" i="4"/>
  <c r="AY37" i="4" s="1"/>
  <c r="AZ37" i="4" s="1"/>
  <c r="BA38" i="4"/>
  <c r="AX39" i="4"/>
  <c r="AX40" i="4"/>
  <c r="AY40" i="4" s="1"/>
  <c r="AX41" i="4"/>
  <c r="AX43" i="4"/>
  <c r="AY43" i="4" s="1"/>
  <c r="AX44" i="4"/>
  <c r="AY44" i="4" s="1"/>
  <c r="AX45" i="4"/>
  <c r="AY45" i="4" s="1"/>
  <c r="BA46" i="4"/>
  <c r="AX49" i="4"/>
  <c r="AY49" i="4" s="1"/>
  <c r="AR10" i="4"/>
  <c r="AR12" i="4"/>
  <c r="AR15" i="4"/>
  <c r="AR16" i="4"/>
  <c r="AR17" i="4"/>
  <c r="AR18" i="4"/>
  <c r="AR19" i="4"/>
  <c r="AS19" i="4" s="1"/>
  <c r="AR21" i="4"/>
  <c r="AS21" i="4" s="1"/>
  <c r="AT21" i="4" s="1"/>
  <c r="AR22" i="4"/>
  <c r="AS22" i="4" s="1"/>
  <c r="AR23" i="4"/>
  <c r="AS23" i="4" s="1"/>
  <c r="AR24" i="4"/>
  <c r="AS24" i="4" s="1"/>
  <c r="AT24" i="4" s="1"/>
  <c r="AR25" i="4"/>
  <c r="AS25" i="4" s="1"/>
  <c r="AT25" i="4" s="1"/>
  <c r="AR29" i="4"/>
  <c r="AR31" i="4"/>
  <c r="AS31" i="4" s="1"/>
  <c r="AT31" i="4" s="1"/>
  <c r="AU31" i="4" s="1"/>
  <c r="AU32" i="4"/>
  <c r="AR36" i="4"/>
  <c r="AS36" i="4" s="1"/>
  <c r="AR37" i="4"/>
  <c r="AU38" i="4"/>
  <c r="AR39" i="4"/>
  <c r="AS39" i="4" s="1"/>
  <c r="AR40" i="4"/>
  <c r="AS40" i="4" s="1"/>
  <c r="AR41" i="4"/>
  <c r="AS41" i="4" s="1"/>
  <c r="AR43" i="4"/>
  <c r="AS43" i="4" s="1"/>
  <c r="AR44" i="4"/>
  <c r="AS44" i="4" s="1"/>
  <c r="AR45" i="4"/>
  <c r="AS45" i="4" s="1"/>
  <c r="AU46" i="4"/>
  <c r="AR49" i="4"/>
  <c r="AS49" i="4" s="1"/>
  <c r="AL10" i="4"/>
  <c r="AM10" i="4" s="1"/>
  <c r="AL12" i="4"/>
  <c r="AM12" i="4" s="1"/>
  <c r="AL15" i="4"/>
  <c r="AM15" i="4" s="1"/>
  <c r="AL16" i="4"/>
  <c r="AM16" i="4" s="1"/>
  <c r="AL17" i="4"/>
  <c r="AL18" i="4"/>
  <c r="AM18" i="4" s="1"/>
  <c r="AL19" i="4"/>
  <c r="AM19" i="4" s="1"/>
  <c r="AL21" i="4"/>
  <c r="AM21" i="4" s="1"/>
  <c r="AL22" i="4"/>
  <c r="AM22" i="4" s="1"/>
  <c r="AL23" i="4"/>
  <c r="AM23" i="4" s="1"/>
  <c r="AL24" i="4"/>
  <c r="AM24" i="4" s="1"/>
  <c r="AL25" i="4"/>
  <c r="AM25" i="4" s="1"/>
  <c r="AL29" i="4"/>
  <c r="AL31" i="4"/>
  <c r="AM31" i="4" s="1"/>
  <c r="AN31" i="4" s="1"/>
  <c r="AO32" i="4"/>
  <c r="AL36" i="4"/>
  <c r="AM36" i="4" s="1"/>
  <c r="AN36" i="4" s="1"/>
  <c r="AL37" i="4"/>
  <c r="AO38" i="4"/>
  <c r="AL39" i="4"/>
  <c r="AM39" i="4" s="1"/>
  <c r="AL40" i="4"/>
  <c r="AM40" i="4" s="1"/>
  <c r="AL41" i="4"/>
  <c r="AL43" i="4"/>
  <c r="AM43" i="4" s="1"/>
  <c r="AL44" i="4"/>
  <c r="AM44" i="4" s="1"/>
  <c r="AL45" i="4"/>
  <c r="AM45" i="4" s="1"/>
  <c r="AO46" i="4"/>
  <c r="AL49" i="4"/>
  <c r="AM49" i="4" s="1"/>
  <c r="AF10" i="4"/>
  <c r="AG10" i="4" s="1"/>
  <c r="AH10" i="4" s="1"/>
  <c r="AF12" i="4"/>
  <c r="AG12" i="4" s="1"/>
  <c r="AG13" i="4" s="1"/>
  <c r="AG21" i="1" s="1"/>
  <c r="AF15" i="4"/>
  <c r="AG15" i="4" s="1"/>
  <c r="AF16" i="4"/>
  <c r="AG16" i="4" s="1"/>
  <c r="AF17" i="4"/>
  <c r="AF18" i="4"/>
  <c r="AG18" i="4" s="1"/>
  <c r="AF19" i="4"/>
  <c r="AG19" i="4" s="1"/>
  <c r="AF21" i="4"/>
  <c r="AG21" i="4" s="1"/>
  <c r="AF22" i="4"/>
  <c r="AF23" i="4"/>
  <c r="AG23" i="4" s="1"/>
  <c r="AF24" i="4"/>
  <c r="AG24" i="4" s="1"/>
  <c r="AF25" i="4"/>
  <c r="AG25" i="4" s="1"/>
  <c r="AF29" i="4"/>
  <c r="AF31" i="4"/>
  <c r="AE32" i="4"/>
  <c r="AE33" i="4" s="1"/>
  <c r="AF36" i="4"/>
  <c r="AG36" i="4" s="1"/>
  <c r="AH36" i="4" s="1"/>
  <c r="AF37" i="4"/>
  <c r="AI38" i="4"/>
  <c r="AF39" i="4"/>
  <c r="AG39" i="4" s="1"/>
  <c r="AF40" i="4"/>
  <c r="AG40" i="4" s="1"/>
  <c r="AF41" i="4"/>
  <c r="AG41" i="4" s="1"/>
  <c r="AF43" i="4"/>
  <c r="AG43" i="4" s="1"/>
  <c r="AF44" i="4"/>
  <c r="AG44" i="4" s="1"/>
  <c r="AF45" i="4"/>
  <c r="AG45" i="4" s="1"/>
  <c r="AE46" i="4"/>
  <c r="AF46" i="4"/>
  <c r="AF49" i="4"/>
  <c r="AG49" i="4" s="1"/>
  <c r="AH49" i="4" s="1"/>
  <c r="AC25" i="4"/>
  <c r="AC20" i="4" s="1"/>
  <c r="Z29" i="4"/>
  <c r="AA29" i="4" s="1"/>
  <c r="AB29" i="4" s="1"/>
  <c r="AC29" i="4" s="1"/>
  <c r="Z31" i="4"/>
  <c r="Y32" i="4"/>
  <c r="Z32" i="4" s="1"/>
  <c r="Z36" i="4"/>
  <c r="AA36" i="4" s="1"/>
  <c r="Z37" i="4"/>
  <c r="AC38" i="4"/>
  <c r="Z39" i="4"/>
  <c r="AA39" i="4" s="1"/>
  <c r="Z40" i="4"/>
  <c r="AA40" i="4" s="1"/>
  <c r="Y41" i="4"/>
  <c r="Z41" i="4" s="1"/>
  <c r="Z43" i="4"/>
  <c r="AA43" i="4" s="1"/>
  <c r="Z44" i="4"/>
  <c r="AA44" i="4" s="1"/>
  <c r="Z45" i="4"/>
  <c r="AA45" i="4" s="1"/>
  <c r="AC45" i="4" s="1"/>
  <c r="Z46" i="4"/>
  <c r="Z49" i="4"/>
  <c r="AA49" i="4" s="1"/>
  <c r="AB49" i="4" s="1"/>
  <c r="W19" i="4"/>
  <c r="W25" i="4"/>
  <c r="W20" i="4" s="1"/>
  <c r="T29" i="4"/>
  <c r="W31" i="4"/>
  <c r="S32" i="4"/>
  <c r="T32" i="4" s="1"/>
  <c r="T36" i="4"/>
  <c r="U36" i="4" s="1"/>
  <c r="V36" i="4" s="1"/>
  <c r="T39" i="4"/>
  <c r="U37" i="4" s="1"/>
  <c r="V37" i="4" s="1"/>
  <c r="W37" i="4" s="1"/>
  <c r="W38" i="4"/>
  <c r="W40" i="4"/>
  <c r="T41" i="4"/>
  <c r="U41" i="4" s="1"/>
  <c r="W43" i="4"/>
  <c r="W44" i="4"/>
  <c r="W45" i="4"/>
  <c r="U46" i="4"/>
  <c r="V46" i="4" s="1"/>
  <c r="T49" i="4"/>
  <c r="U49" i="4" s="1"/>
  <c r="V49" i="4" s="1"/>
  <c r="W49" i="4" s="1"/>
  <c r="Q19" i="4"/>
  <c r="Q25" i="4"/>
  <c r="Q20" i="4" s="1"/>
  <c r="Q32" i="4"/>
  <c r="Q33" i="4" s="1"/>
  <c r="Q47" i="4"/>
  <c r="O19" i="4"/>
  <c r="O25" i="4"/>
  <c r="O20" i="4" s="1"/>
  <c r="O32" i="4"/>
  <c r="O33" i="4" s="1"/>
  <c r="O47" i="4"/>
  <c r="M19" i="4"/>
  <c r="M25" i="4"/>
  <c r="M20" i="4" s="1"/>
  <c r="M32" i="4"/>
  <c r="M33" i="4" s="1"/>
  <c r="M47" i="4"/>
  <c r="K19" i="4"/>
  <c r="K25" i="4"/>
  <c r="K20" i="4" s="1"/>
  <c r="K32" i="4"/>
  <c r="K33" i="4" s="1"/>
  <c r="K41" i="4"/>
  <c r="K47" i="4" s="1"/>
  <c r="I25" i="4"/>
  <c r="I20" i="4" s="1"/>
  <c r="I26" i="4" s="1"/>
  <c r="I32" i="4"/>
  <c r="I33" i="4" s="1"/>
  <c r="I36" i="4"/>
  <c r="I47" i="4" s="1"/>
  <c r="G25" i="4"/>
  <c r="G20" i="4" s="1"/>
  <c r="G26" i="4" s="1"/>
  <c r="G78" i="3" s="1"/>
  <c r="G32" i="4"/>
  <c r="G33" i="4" s="1"/>
  <c r="G36" i="4"/>
  <c r="G47" i="4" s="1"/>
  <c r="E25" i="4"/>
  <c r="E20" i="4" s="1"/>
  <c r="E26" i="4" s="1"/>
  <c r="E78" i="3" s="1"/>
  <c r="E33" i="4"/>
  <c r="E36" i="4"/>
  <c r="E47" i="4" s="1"/>
  <c r="C25" i="4"/>
  <c r="C20" i="4" s="1"/>
  <c r="C26" i="4" s="1"/>
  <c r="C33" i="4"/>
  <c r="C36" i="4"/>
  <c r="C47" i="4" s="1"/>
  <c r="C46" i="4"/>
  <c r="C53" i="4"/>
  <c r="E53" i="4" s="1"/>
  <c r="K53" i="4"/>
  <c r="M53" i="4"/>
  <c r="Q53" i="4"/>
  <c r="S53" i="4"/>
  <c r="T53" i="4"/>
  <c r="U53" i="4"/>
  <c r="Y53" i="4"/>
  <c r="Z53" i="4"/>
  <c r="AA53" i="4"/>
  <c r="AE53" i="4"/>
  <c r="AF53" i="4" s="1"/>
  <c r="AG53" i="4" s="1"/>
  <c r="AO53" i="4"/>
  <c r="AU53" i="4"/>
  <c r="BA53" i="4"/>
  <c r="BG53" i="4"/>
  <c r="BM53" i="4"/>
  <c r="BS53" i="4"/>
  <c r="BV53" i="4"/>
  <c r="CA19" i="1"/>
  <c r="CB19" i="1"/>
  <c r="CD12" i="8"/>
  <c r="CC12" i="8"/>
  <c r="CD11" i="8"/>
  <c r="AO8" i="36" s="1"/>
  <c r="CC11" i="8"/>
  <c r="AN8" i="36" s="1"/>
  <c r="CB11" i="8"/>
  <c r="AM8" i="36" s="1"/>
  <c r="CD10" i="8"/>
  <c r="AO7" i="36" s="1"/>
  <c r="CC10" i="8"/>
  <c r="AN7" i="36" s="1"/>
  <c r="CB10" i="8"/>
  <c r="AM7" i="36" s="1"/>
  <c r="CD9" i="8"/>
  <c r="CD15" i="8" s="1"/>
  <c r="CJ9" i="8"/>
  <c r="CC9" i="8"/>
  <c r="CI9" i="8"/>
  <c r="CB9" i="8"/>
  <c r="CB15" i="8" s="1"/>
  <c r="CH9" i="8"/>
  <c r="CC8" i="8"/>
  <c r="CB8" i="8"/>
  <c r="EJ18" i="8"/>
  <c r="EI18" i="8"/>
  <c r="EH18" i="8"/>
  <c r="BU65" i="7"/>
  <c r="CA12" i="8"/>
  <c r="CG12" i="8"/>
  <c r="CG11" i="8"/>
  <c r="CA10" i="8"/>
  <c r="AL7" i="36" s="1"/>
  <c r="CG10" i="8"/>
  <c r="CA9" i="8"/>
  <c r="CG9" i="8"/>
  <c r="CG15" i="8" s="1"/>
  <c r="CA8" i="8"/>
  <c r="AL5" i="36" s="1"/>
  <c r="EG18" i="8"/>
  <c r="CC91" i="1"/>
  <c r="CC90" i="1"/>
  <c r="CC77" i="1"/>
  <c r="CC84" i="1" s="1"/>
  <c r="CC43" i="1"/>
  <c r="CB106" i="1"/>
  <c r="CB83" i="1"/>
  <c r="CB91" i="1" s="1"/>
  <c r="CB90" i="1"/>
  <c r="CB77" i="1"/>
  <c r="CB84" i="1" s="1"/>
  <c r="CB92" i="1" s="1"/>
  <c r="CA77" i="1"/>
  <c r="CA104" i="1"/>
  <c r="CA106" i="1"/>
  <c r="CE106" i="1" s="1"/>
  <c r="CA101" i="1"/>
  <c r="CA100" i="1" s="1"/>
  <c r="CC190" i="7"/>
  <c r="CC191" i="7"/>
  <c r="CC193" i="7"/>
  <c r="CC132" i="7"/>
  <c r="CC122" i="7"/>
  <c r="CC134" i="7" s="1"/>
  <c r="M73" i="9"/>
  <c r="K74" i="9"/>
  <c r="K73" i="9"/>
  <c r="I74" i="9"/>
  <c r="I73" i="9"/>
  <c r="G74" i="9"/>
  <c r="G73" i="9"/>
  <c r="E74" i="9"/>
  <c r="E73" i="9"/>
  <c r="BJ74" i="9"/>
  <c r="BI74" i="9"/>
  <c r="BJ73" i="9"/>
  <c r="BE74" i="9"/>
  <c r="BC74" i="9"/>
  <c r="BF73" i="9"/>
  <c r="BE73" i="9"/>
  <c r="BD73" i="9"/>
  <c r="AY74" i="9"/>
  <c r="AX74" i="9"/>
  <c r="AW74" i="9"/>
  <c r="AZ73" i="9"/>
  <c r="AY73" i="9"/>
  <c r="AX73" i="9"/>
  <c r="AS74" i="9"/>
  <c r="AR74" i="9"/>
  <c r="AQ74" i="9"/>
  <c r="AT73" i="9"/>
  <c r="AS73" i="9"/>
  <c r="AR73" i="9"/>
  <c r="AR75" i="9" s="1"/>
  <c r="AM74" i="9"/>
  <c r="AL74" i="9"/>
  <c r="AK74" i="9"/>
  <c r="AN73" i="9"/>
  <c r="AM73" i="9"/>
  <c r="AL73" i="9"/>
  <c r="AG74" i="9"/>
  <c r="AF74" i="9"/>
  <c r="AE74" i="9"/>
  <c r="AH73" i="9"/>
  <c r="AG73" i="9"/>
  <c r="AF73" i="9"/>
  <c r="AA74" i="9"/>
  <c r="Z74" i="9"/>
  <c r="Y74" i="9"/>
  <c r="AB73" i="9"/>
  <c r="AA73" i="9"/>
  <c r="Z73" i="9"/>
  <c r="Z75" i="9" s="1"/>
  <c r="U74" i="9"/>
  <c r="U73" i="9"/>
  <c r="T74" i="9"/>
  <c r="S74" i="9"/>
  <c r="V73" i="9"/>
  <c r="T73" i="9"/>
  <c r="K71" i="9"/>
  <c r="I71" i="9"/>
  <c r="G71" i="9"/>
  <c r="E71" i="9"/>
  <c r="BJ71" i="9"/>
  <c r="BI71" i="9"/>
  <c r="BE71" i="9"/>
  <c r="BD71" i="9"/>
  <c r="BC71" i="9"/>
  <c r="AY71" i="9"/>
  <c r="AX71" i="9"/>
  <c r="AW71" i="9"/>
  <c r="AS71" i="9"/>
  <c r="AR71" i="9"/>
  <c r="AQ71" i="9"/>
  <c r="AM71" i="9"/>
  <c r="AL71" i="9"/>
  <c r="AK71" i="9"/>
  <c r="AG71" i="9"/>
  <c r="AF71" i="9"/>
  <c r="AE71" i="9"/>
  <c r="AA71" i="9"/>
  <c r="Z71" i="9"/>
  <c r="Y71" i="9"/>
  <c r="U71" i="9"/>
  <c r="T71" i="9"/>
  <c r="S71" i="9"/>
  <c r="Q67" i="9"/>
  <c r="Q65" i="9"/>
  <c r="Q63" i="9"/>
  <c r="Q62" i="9"/>
  <c r="Q61" i="9"/>
  <c r="Q60" i="9"/>
  <c r="Q59" i="9"/>
  <c r="Q58" i="9"/>
  <c r="Q57" i="9"/>
  <c r="Q56" i="9"/>
  <c r="Q55" i="9"/>
  <c r="Q54" i="9"/>
  <c r="Q53" i="9"/>
  <c r="Q52" i="9"/>
  <c r="Q51" i="9"/>
  <c r="Q50" i="9"/>
  <c r="Q49" i="9"/>
  <c r="Q48" i="9"/>
  <c r="Q47" i="9"/>
  <c r="Q46" i="9"/>
  <c r="Q45" i="9"/>
  <c r="Q44" i="9"/>
  <c r="Q43" i="9"/>
  <c r="Q42" i="9"/>
  <c r="Q41" i="9"/>
  <c r="O67" i="9"/>
  <c r="O65" i="9"/>
  <c r="O63" i="9"/>
  <c r="O62" i="9"/>
  <c r="O61" i="9"/>
  <c r="O60" i="9"/>
  <c r="O59" i="9"/>
  <c r="O58" i="9"/>
  <c r="O57" i="9"/>
  <c r="O56" i="9"/>
  <c r="O55" i="9"/>
  <c r="O54" i="9"/>
  <c r="O53" i="9"/>
  <c r="O52" i="9"/>
  <c r="O51" i="9"/>
  <c r="O50" i="9"/>
  <c r="O49" i="9"/>
  <c r="O48" i="9"/>
  <c r="O47" i="9"/>
  <c r="O46" i="9"/>
  <c r="O45" i="9"/>
  <c r="O44" i="9"/>
  <c r="O43" i="9"/>
  <c r="O42" i="9"/>
  <c r="O41" i="9"/>
  <c r="M67" i="9"/>
  <c r="M65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1" i="9"/>
  <c r="M42" i="9"/>
  <c r="K67" i="9"/>
  <c r="K65" i="9"/>
  <c r="K63" i="9"/>
  <c r="K62" i="9"/>
  <c r="K61" i="9"/>
  <c r="K60" i="9"/>
  <c r="K59" i="9"/>
  <c r="K58" i="9"/>
  <c r="K57" i="9"/>
  <c r="K56" i="9"/>
  <c r="K55" i="9"/>
  <c r="K54" i="9"/>
  <c r="K53" i="9"/>
  <c r="K52" i="9"/>
  <c r="K51" i="9"/>
  <c r="K50" i="9"/>
  <c r="K49" i="9"/>
  <c r="K48" i="9"/>
  <c r="K47" i="9"/>
  <c r="K46" i="9"/>
  <c r="K45" i="9"/>
  <c r="K44" i="9"/>
  <c r="K43" i="9"/>
  <c r="K42" i="9"/>
  <c r="K41" i="9"/>
  <c r="I67" i="9"/>
  <c r="I65" i="9"/>
  <c r="I63" i="9"/>
  <c r="I62" i="9"/>
  <c r="I61" i="9"/>
  <c r="I60" i="9"/>
  <c r="I59" i="9"/>
  <c r="I58" i="9"/>
  <c r="I57" i="9"/>
  <c r="I56" i="9"/>
  <c r="I55" i="9"/>
  <c r="I54" i="9"/>
  <c r="I53" i="9"/>
  <c r="I52" i="9"/>
  <c r="I51" i="9"/>
  <c r="I50" i="9"/>
  <c r="I49" i="9"/>
  <c r="I48" i="9"/>
  <c r="I47" i="9"/>
  <c r="I46" i="9"/>
  <c r="I45" i="9"/>
  <c r="I44" i="9"/>
  <c r="I43" i="9"/>
  <c r="I42" i="9"/>
  <c r="I41" i="9"/>
  <c r="G67" i="9"/>
  <c r="G65" i="9"/>
  <c r="G63" i="9"/>
  <c r="G62" i="9"/>
  <c r="G61" i="9"/>
  <c r="G60" i="9"/>
  <c r="G59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1" i="9"/>
  <c r="G42" i="9"/>
  <c r="BJ67" i="9"/>
  <c r="BJ65" i="9"/>
  <c r="BX64" i="9"/>
  <c r="BX68" i="9" s="1"/>
  <c r="BW64" i="9"/>
  <c r="BW68" i="9" s="1"/>
  <c r="BV64" i="9"/>
  <c r="BV68" i="9" s="1"/>
  <c r="BU64" i="9"/>
  <c r="BU68" i="9" s="1"/>
  <c r="BJ63" i="9"/>
  <c r="BJ62" i="9"/>
  <c r="BJ61" i="9"/>
  <c r="BJ60" i="9"/>
  <c r="BJ59" i="9"/>
  <c r="BJ58" i="9"/>
  <c r="BJ57" i="9"/>
  <c r="BJ56" i="9"/>
  <c r="BJ55" i="9"/>
  <c r="BJ54" i="9"/>
  <c r="BJ53" i="9"/>
  <c r="BJ52" i="9"/>
  <c r="BJ51" i="9"/>
  <c r="BJ50" i="9"/>
  <c r="BJ49" i="9"/>
  <c r="BJ48" i="9"/>
  <c r="BJ46" i="9"/>
  <c r="BJ45" i="9"/>
  <c r="BJ44" i="9"/>
  <c r="BJ43" i="9"/>
  <c r="BJ42" i="9"/>
  <c r="BJ41" i="9"/>
  <c r="BF67" i="9"/>
  <c r="BE67" i="9"/>
  <c r="BD67" i="9"/>
  <c r="BP35" i="9" s="1"/>
  <c r="BF65" i="9"/>
  <c r="BE65" i="9"/>
  <c r="BD65" i="9"/>
  <c r="BF63" i="9"/>
  <c r="BE63" i="9"/>
  <c r="BD63" i="9"/>
  <c r="BF62" i="9"/>
  <c r="BE62" i="9"/>
  <c r="BD62" i="9"/>
  <c r="BF61" i="9"/>
  <c r="BE61" i="9"/>
  <c r="BD61" i="9"/>
  <c r="BF60" i="9"/>
  <c r="BE60" i="9"/>
  <c r="BD60" i="9"/>
  <c r="BF59" i="9"/>
  <c r="BE59" i="9"/>
  <c r="BD59" i="9"/>
  <c r="BF58" i="9"/>
  <c r="BE58" i="9"/>
  <c r="BD58" i="9"/>
  <c r="BF57" i="9"/>
  <c r="BE57" i="9"/>
  <c r="BD57" i="9"/>
  <c r="BF56" i="9"/>
  <c r="BE56" i="9"/>
  <c r="BD56" i="9"/>
  <c r="BF55" i="9"/>
  <c r="BE55" i="9"/>
  <c r="BD55" i="9"/>
  <c r="BF54" i="9"/>
  <c r="BE54" i="9"/>
  <c r="BD54" i="9"/>
  <c r="BF53" i="9"/>
  <c r="BE53" i="9"/>
  <c r="BD53" i="9"/>
  <c r="BF52" i="9"/>
  <c r="BE52" i="9"/>
  <c r="BD52" i="9"/>
  <c r="BF51" i="9"/>
  <c r="BE51" i="9"/>
  <c r="BD51" i="9"/>
  <c r="BF50" i="9"/>
  <c r="BE50" i="9"/>
  <c r="BD50" i="9"/>
  <c r="BF49" i="9"/>
  <c r="BE49" i="9"/>
  <c r="BD49" i="9"/>
  <c r="BF48" i="9"/>
  <c r="BE48" i="9"/>
  <c r="BD48" i="9"/>
  <c r="BF47" i="9"/>
  <c r="BE47" i="9"/>
  <c r="BD47" i="9"/>
  <c r="BF46" i="9"/>
  <c r="BE46" i="9"/>
  <c r="BD46" i="9"/>
  <c r="BF45" i="9"/>
  <c r="BE45" i="9"/>
  <c r="BD45" i="9"/>
  <c r="BF44" i="9"/>
  <c r="BE44" i="9"/>
  <c r="BD44" i="9"/>
  <c r="BF43" i="9"/>
  <c r="BF41" i="9"/>
  <c r="BF42" i="9"/>
  <c r="BE43" i="9"/>
  <c r="BD43" i="9"/>
  <c r="BE42" i="9"/>
  <c r="BD42" i="9"/>
  <c r="BE41" i="9"/>
  <c r="BD41" i="9"/>
  <c r="AZ67" i="9"/>
  <c r="AY67" i="9"/>
  <c r="AX67" i="9"/>
  <c r="AZ65" i="9"/>
  <c r="AY65" i="9"/>
  <c r="AX65" i="9"/>
  <c r="AZ63" i="9"/>
  <c r="AY63" i="9"/>
  <c r="AX63" i="9"/>
  <c r="AZ62" i="9"/>
  <c r="AY62" i="9"/>
  <c r="AX62" i="9"/>
  <c r="AZ61" i="9"/>
  <c r="AY61" i="9"/>
  <c r="AX61" i="9"/>
  <c r="AZ60" i="9"/>
  <c r="AY60" i="9"/>
  <c r="AX60" i="9"/>
  <c r="AZ59" i="9"/>
  <c r="AY59" i="9"/>
  <c r="AX59" i="9"/>
  <c r="AZ58" i="9"/>
  <c r="AY58" i="9"/>
  <c r="AX58" i="9"/>
  <c r="AZ57" i="9"/>
  <c r="AY57" i="9"/>
  <c r="AX57" i="9"/>
  <c r="AZ56" i="9"/>
  <c r="AY56" i="9"/>
  <c r="AX56" i="9"/>
  <c r="AZ55" i="9"/>
  <c r="AY55" i="9"/>
  <c r="AX55" i="9"/>
  <c r="AZ54" i="9"/>
  <c r="AY54" i="9"/>
  <c r="AX54" i="9"/>
  <c r="AZ53" i="9"/>
  <c r="AY53" i="9"/>
  <c r="AX53" i="9"/>
  <c r="AZ52" i="9"/>
  <c r="AY52" i="9"/>
  <c r="AX52" i="9"/>
  <c r="AZ51" i="9"/>
  <c r="AY51" i="9"/>
  <c r="AX51" i="9"/>
  <c r="AZ50" i="9"/>
  <c r="AY50" i="9"/>
  <c r="AX50" i="9"/>
  <c r="AZ49" i="9"/>
  <c r="AY49" i="9"/>
  <c r="AX49" i="9"/>
  <c r="AZ48" i="9"/>
  <c r="AY48" i="9"/>
  <c r="AX48" i="9"/>
  <c r="AZ47" i="9"/>
  <c r="AY47" i="9"/>
  <c r="AX47" i="9"/>
  <c r="AZ46" i="9"/>
  <c r="AY46" i="9"/>
  <c r="AX46" i="9"/>
  <c r="AZ45" i="9"/>
  <c r="AY45" i="9"/>
  <c r="AX45" i="9"/>
  <c r="AZ44" i="9"/>
  <c r="AY44" i="9"/>
  <c r="AX44" i="9"/>
  <c r="AZ43" i="9"/>
  <c r="AY43" i="9"/>
  <c r="AX43" i="9"/>
  <c r="AZ42" i="9"/>
  <c r="AY42" i="9"/>
  <c r="AX42" i="9"/>
  <c r="AZ41" i="9"/>
  <c r="AY41" i="9"/>
  <c r="AX41" i="9"/>
  <c r="AT67" i="9"/>
  <c r="AS67" i="9"/>
  <c r="AR67" i="9"/>
  <c r="AT65" i="9"/>
  <c r="AS65" i="9"/>
  <c r="AR65" i="9"/>
  <c r="AT63" i="9"/>
  <c r="AS63" i="9"/>
  <c r="AR63" i="9"/>
  <c r="AT62" i="9"/>
  <c r="AS62" i="9"/>
  <c r="AR62" i="9"/>
  <c r="AT61" i="9"/>
  <c r="AS61" i="9"/>
  <c r="AR61" i="9"/>
  <c r="AT60" i="9"/>
  <c r="AS60" i="9"/>
  <c r="AR60" i="9"/>
  <c r="AT59" i="9"/>
  <c r="AS59" i="9"/>
  <c r="AR59" i="9"/>
  <c r="AT58" i="9"/>
  <c r="AS58" i="9"/>
  <c r="AR58" i="9"/>
  <c r="AT57" i="9"/>
  <c r="AS57" i="9"/>
  <c r="AR57" i="9"/>
  <c r="AT56" i="9"/>
  <c r="AS56" i="9"/>
  <c r="AR56" i="9"/>
  <c r="AT55" i="9"/>
  <c r="AS55" i="9"/>
  <c r="AR55" i="9"/>
  <c r="AT54" i="9"/>
  <c r="AS54" i="9"/>
  <c r="AR54" i="9"/>
  <c r="AT53" i="9"/>
  <c r="AS53" i="9"/>
  <c r="AR53" i="9"/>
  <c r="AT52" i="9"/>
  <c r="AS52" i="9"/>
  <c r="AR52" i="9"/>
  <c r="AT51" i="9"/>
  <c r="AS51" i="9"/>
  <c r="AR51" i="9"/>
  <c r="AT50" i="9"/>
  <c r="AS50" i="9"/>
  <c r="AR50" i="9"/>
  <c r="AT49" i="9"/>
  <c r="AS49" i="9"/>
  <c r="AR49" i="9"/>
  <c r="AT48" i="9"/>
  <c r="AS48" i="9"/>
  <c r="AR48" i="9"/>
  <c r="AT47" i="9"/>
  <c r="AS47" i="9"/>
  <c r="AR47" i="9"/>
  <c r="AT46" i="9"/>
  <c r="AS46" i="9"/>
  <c r="AR46" i="9"/>
  <c r="AT45" i="9"/>
  <c r="AS45" i="9"/>
  <c r="AR45" i="9"/>
  <c r="AT44" i="9"/>
  <c r="AS44" i="9"/>
  <c r="AR44" i="9"/>
  <c r="AT43" i="9"/>
  <c r="AS43" i="9"/>
  <c r="AR43" i="9"/>
  <c r="AT42" i="9"/>
  <c r="AS42" i="9"/>
  <c r="AR42" i="9"/>
  <c r="AT41" i="9"/>
  <c r="AS41" i="9"/>
  <c r="AR41" i="9"/>
  <c r="AN67" i="9"/>
  <c r="AM67" i="9"/>
  <c r="AL67" i="9"/>
  <c r="AN65" i="9"/>
  <c r="AM65" i="9"/>
  <c r="AL65" i="9"/>
  <c r="AN63" i="9"/>
  <c r="AM63" i="9"/>
  <c r="AL63" i="9"/>
  <c r="AN62" i="9"/>
  <c r="AM62" i="9"/>
  <c r="AL62" i="9"/>
  <c r="AN61" i="9"/>
  <c r="AM61" i="9"/>
  <c r="AL61" i="9"/>
  <c r="AN60" i="9"/>
  <c r="AM60" i="9"/>
  <c r="AL60" i="9"/>
  <c r="AN59" i="9"/>
  <c r="AM59" i="9"/>
  <c r="AL59" i="9"/>
  <c r="AN58" i="9"/>
  <c r="AM58" i="9"/>
  <c r="AL58" i="9"/>
  <c r="AN57" i="9"/>
  <c r="AM57" i="9"/>
  <c r="AL57" i="9"/>
  <c r="AN56" i="9"/>
  <c r="AM56" i="9"/>
  <c r="AL56" i="9"/>
  <c r="AN55" i="9"/>
  <c r="AM55" i="9"/>
  <c r="AL55" i="9"/>
  <c r="AN54" i="9"/>
  <c r="AM54" i="9"/>
  <c r="AL54" i="9"/>
  <c r="AN53" i="9"/>
  <c r="AM53" i="9"/>
  <c r="AL53" i="9"/>
  <c r="AN52" i="9"/>
  <c r="AM52" i="9"/>
  <c r="AL52" i="9"/>
  <c r="AN51" i="9"/>
  <c r="AM51" i="9"/>
  <c r="AL51" i="9"/>
  <c r="AN50" i="9"/>
  <c r="AM50" i="9"/>
  <c r="AL50" i="9"/>
  <c r="AN49" i="9"/>
  <c r="AM49" i="9"/>
  <c r="AL49" i="9"/>
  <c r="AN48" i="9"/>
  <c r="AM48" i="9"/>
  <c r="AL48" i="9"/>
  <c r="AN47" i="9"/>
  <c r="AM47" i="9"/>
  <c r="AL47" i="9"/>
  <c r="AN46" i="9"/>
  <c r="AM46" i="9"/>
  <c r="AL46" i="9"/>
  <c r="AN45" i="9"/>
  <c r="AM45" i="9"/>
  <c r="AL45" i="9"/>
  <c r="AN44" i="9"/>
  <c r="AM44" i="9"/>
  <c r="AM41" i="9"/>
  <c r="AM42" i="9"/>
  <c r="AM43" i="9"/>
  <c r="AL44" i="9"/>
  <c r="AN43" i="9"/>
  <c r="AL43" i="9"/>
  <c r="AN42" i="9"/>
  <c r="AL42" i="9"/>
  <c r="AN41" i="9"/>
  <c r="AL41" i="9"/>
  <c r="AH67" i="9"/>
  <c r="AG67" i="9"/>
  <c r="AF67" i="9"/>
  <c r="AH65" i="9"/>
  <c r="AG65" i="9"/>
  <c r="AF65" i="9"/>
  <c r="AH63" i="9"/>
  <c r="AG63" i="9"/>
  <c r="AF63" i="9"/>
  <c r="AH62" i="9"/>
  <c r="AG62" i="9"/>
  <c r="AF62" i="9"/>
  <c r="AH61" i="9"/>
  <c r="AG61" i="9"/>
  <c r="AF61" i="9"/>
  <c r="AH60" i="9"/>
  <c r="AG60" i="9"/>
  <c r="AF60" i="9"/>
  <c r="AH59" i="9"/>
  <c r="AG59" i="9"/>
  <c r="AF59" i="9"/>
  <c r="AH58" i="9"/>
  <c r="AG58" i="9"/>
  <c r="AF58" i="9"/>
  <c r="AH57" i="9"/>
  <c r="AG57" i="9"/>
  <c r="AF57" i="9"/>
  <c r="AH56" i="9"/>
  <c r="AG56" i="9"/>
  <c r="AF56" i="9"/>
  <c r="AH55" i="9"/>
  <c r="AG55" i="9"/>
  <c r="AF55" i="9"/>
  <c r="AH54" i="9"/>
  <c r="AG54" i="9"/>
  <c r="AF54" i="9"/>
  <c r="AH53" i="9"/>
  <c r="AG53" i="9"/>
  <c r="AF53" i="9"/>
  <c r="AH52" i="9"/>
  <c r="AG52" i="9"/>
  <c r="AF52" i="9"/>
  <c r="AH51" i="9"/>
  <c r="AG51" i="9"/>
  <c r="AF51" i="9"/>
  <c r="AH50" i="9"/>
  <c r="AG50" i="9"/>
  <c r="AF50" i="9"/>
  <c r="AH49" i="9"/>
  <c r="AG49" i="9"/>
  <c r="AF49" i="9"/>
  <c r="AH48" i="9"/>
  <c r="AG48" i="9"/>
  <c r="AF48" i="9"/>
  <c r="AH47" i="9"/>
  <c r="AG47" i="9"/>
  <c r="AF47" i="9"/>
  <c r="AH46" i="9"/>
  <c r="AG46" i="9"/>
  <c r="AF46" i="9"/>
  <c r="AH45" i="9"/>
  <c r="AG45" i="9"/>
  <c r="AF45" i="9"/>
  <c r="AH44" i="9"/>
  <c r="AG44" i="9"/>
  <c r="AF44" i="9"/>
  <c r="AH43" i="9"/>
  <c r="AG43" i="9"/>
  <c r="AF43" i="9"/>
  <c r="AH42" i="9"/>
  <c r="AG42" i="9"/>
  <c r="AF42" i="9"/>
  <c r="AH41" i="9"/>
  <c r="AG41" i="9"/>
  <c r="AF41" i="9"/>
  <c r="AB67" i="9"/>
  <c r="AA67" i="9"/>
  <c r="Z67" i="9"/>
  <c r="AB65" i="9"/>
  <c r="AA65" i="9"/>
  <c r="Z65" i="9"/>
  <c r="AB63" i="9"/>
  <c r="AA63" i="9"/>
  <c r="Z63" i="9"/>
  <c r="AB62" i="9"/>
  <c r="AA62" i="9"/>
  <c r="Z62" i="9"/>
  <c r="AB61" i="9"/>
  <c r="AA61" i="9"/>
  <c r="Z61" i="9"/>
  <c r="AB60" i="9"/>
  <c r="AA60" i="9"/>
  <c r="Z60" i="9"/>
  <c r="AB59" i="9"/>
  <c r="AA59" i="9"/>
  <c r="Z59" i="9"/>
  <c r="AB58" i="9"/>
  <c r="AA58" i="9"/>
  <c r="Z58" i="9"/>
  <c r="AB57" i="9"/>
  <c r="AA57" i="9"/>
  <c r="Z57" i="9"/>
  <c r="AB56" i="9"/>
  <c r="AA56" i="9"/>
  <c r="Z56" i="9"/>
  <c r="AB55" i="9"/>
  <c r="AA55" i="9"/>
  <c r="Z55" i="9"/>
  <c r="AB54" i="9"/>
  <c r="AA54" i="9"/>
  <c r="Z54" i="9"/>
  <c r="AB53" i="9"/>
  <c r="AA53" i="9"/>
  <c r="Z53" i="9"/>
  <c r="AB52" i="9"/>
  <c r="AA52" i="9"/>
  <c r="Z52" i="9"/>
  <c r="AB51" i="9"/>
  <c r="AA51" i="9"/>
  <c r="Z51" i="9"/>
  <c r="AB50" i="9"/>
  <c r="AA50" i="9"/>
  <c r="Z50" i="9"/>
  <c r="AB49" i="9"/>
  <c r="AA49" i="9"/>
  <c r="Z49" i="9"/>
  <c r="AB48" i="9"/>
  <c r="AA48" i="9"/>
  <c r="Z48" i="9"/>
  <c r="AB47" i="9"/>
  <c r="AA47" i="9"/>
  <c r="Z47" i="9"/>
  <c r="AB46" i="9"/>
  <c r="AA46" i="9"/>
  <c r="Z46" i="9"/>
  <c r="AB45" i="9"/>
  <c r="AA45" i="9"/>
  <c r="Z45" i="9"/>
  <c r="AB44" i="9"/>
  <c r="AA44" i="9"/>
  <c r="Z44" i="9"/>
  <c r="AB43" i="9"/>
  <c r="AA43" i="9"/>
  <c r="Z43" i="9"/>
  <c r="AB42" i="9"/>
  <c r="AA42" i="9"/>
  <c r="Z42" i="9"/>
  <c r="AB41" i="9"/>
  <c r="AA41" i="9"/>
  <c r="Z41" i="9"/>
  <c r="V67" i="9"/>
  <c r="U67" i="9"/>
  <c r="T67" i="9"/>
  <c r="S67" i="9"/>
  <c r="V65" i="9"/>
  <c r="U65" i="9"/>
  <c r="T65" i="9"/>
  <c r="S65" i="9"/>
  <c r="V63" i="9"/>
  <c r="U63" i="9"/>
  <c r="T63" i="9"/>
  <c r="S63" i="9"/>
  <c r="V62" i="9"/>
  <c r="U62" i="9"/>
  <c r="T62" i="9"/>
  <c r="S62" i="9"/>
  <c r="V61" i="9"/>
  <c r="U61" i="9"/>
  <c r="T61" i="9"/>
  <c r="S61" i="9"/>
  <c r="V60" i="9"/>
  <c r="U60" i="9"/>
  <c r="T60" i="9"/>
  <c r="S60" i="9"/>
  <c r="V59" i="9"/>
  <c r="U59" i="9"/>
  <c r="T59" i="9"/>
  <c r="S59" i="9"/>
  <c r="V58" i="9"/>
  <c r="U58" i="9"/>
  <c r="T58" i="9"/>
  <c r="S58" i="9"/>
  <c r="V57" i="9"/>
  <c r="U57" i="9"/>
  <c r="T57" i="9"/>
  <c r="S57" i="9"/>
  <c r="V56" i="9"/>
  <c r="U56" i="9"/>
  <c r="T56" i="9"/>
  <c r="S56" i="9"/>
  <c r="V55" i="9"/>
  <c r="U55" i="9"/>
  <c r="T55" i="9"/>
  <c r="S55" i="9"/>
  <c r="V54" i="9"/>
  <c r="U54" i="9"/>
  <c r="T54" i="9"/>
  <c r="S54" i="9"/>
  <c r="V53" i="9"/>
  <c r="U53" i="9"/>
  <c r="T53" i="9"/>
  <c r="S53" i="9"/>
  <c r="V52" i="9"/>
  <c r="U52" i="9"/>
  <c r="T52" i="9"/>
  <c r="S52" i="9"/>
  <c r="V51" i="9"/>
  <c r="U51" i="9"/>
  <c r="T51" i="9"/>
  <c r="S51" i="9"/>
  <c r="V50" i="9"/>
  <c r="U50" i="9"/>
  <c r="T50" i="9"/>
  <c r="S50" i="9"/>
  <c r="V49" i="9"/>
  <c r="U49" i="9"/>
  <c r="T49" i="9"/>
  <c r="S49" i="9"/>
  <c r="V48" i="9"/>
  <c r="U48" i="9"/>
  <c r="T48" i="9"/>
  <c r="S48" i="9"/>
  <c r="V47" i="9"/>
  <c r="U47" i="9"/>
  <c r="T47" i="9"/>
  <c r="S47" i="9"/>
  <c r="V46" i="9"/>
  <c r="U46" i="9"/>
  <c r="T46" i="9"/>
  <c r="S46" i="9"/>
  <c r="V45" i="9"/>
  <c r="U45" i="9"/>
  <c r="T45" i="9"/>
  <c r="S45" i="9"/>
  <c r="V44" i="9"/>
  <c r="U44" i="9"/>
  <c r="T44" i="9"/>
  <c r="S44" i="9"/>
  <c r="V43" i="9"/>
  <c r="U43" i="9"/>
  <c r="T43" i="9"/>
  <c r="S43" i="9"/>
  <c r="V42" i="9"/>
  <c r="U42" i="9"/>
  <c r="T42" i="9"/>
  <c r="S42" i="9"/>
  <c r="V41" i="9"/>
  <c r="V64" i="9" s="1"/>
  <c r="V68" i="9" s="1"/>
  <c r="U41" i="9"/>
  <c r="T41" i="9"/>
  <c r="T64" i="9" s="1"/>
  <c r="S41" i="9"/>
  <c r="BG35" i="9"/>
  <c r="BI67" i="9" s="1"/>
  <c r="BG33" i="9"/>
  <c r="BG31" i="9"/>
  <c r="BI63" i="9" s="1"/>
  <c r="BG30" i="9"/>
  <c r="BI62" i="9" s="1"/>
  <c r="BG29" i="9"/>
  <c r="BG28" i="9"/>
  <c r="BI60" i="9" s="1"/>
  <c r="BG27" i="9"/>
  <c r="BI59" i="9" s="1"/>
  <c r="BG26" i="9"/>
  <c r="BG25" i="9"/>
  <c r="BI57" i="9" s="1"/>
  <c r="BG24" i="9"/>
  <c r="BI56" i="9" s="1"/>
  <c r="BG23" i="9"/>
  <c r="BG22" i="9"/>
  <c r="BG21" i="9"/>
  <c r="BI53" i="9" s="1"/>
  <c r="BG20" i="9"/>
  <c r="BI52" i="9" s="1"/>
  <c r="BG19" i="9"/>
  <c r="BI51" i="9" s="1"/>
  <c r="BG18" i="9"/>
  <c r="BG17" i="9"/>
  <c r="BI49" i="9" s="1"/>
  <c r="BG16" i="9"/>
  <c r="BI48" i="9" s="1"/>
  <c r="BG15" i="9"/>
  <c r="BI47" i="9" s="1"/>
  <c r="BG14" i="9"/>
  <c r="BG13" i="9"/>
  <c r="BI45" i="9" s="1"/>
  <c r="BG12" i="9"/>
  <c r="BI44" i="9" s="1"/>
  <c r="BG11" i="9"/>
  <c r="BG10" i="9"/>
  <c r="BI42" i="9" s="1"/>
  <c r="BG9" i="9"/>
  <c r="BI41" i="9" s="1"/>
  <c r="BA35" i="9"/>
  <c r="BC67" i="9" s="1"/>
  <c r="BA33" i="9"/>
  <c r="BC65" i="9" s="1"/>
  <c r="BA31" i="9"/>
  <c r="AU31" i="9"/>
  <c r="AW63" i="9" s="1"/>
  <c r="BA30" i="9"/>
  <c r="BC62" i="9" s="1"/>
  <c r="BA29" i="9"/>
  <c r="BC61" i="9" s="1"/>
  <c r="BA28" i="9"/>
  <c r="BA27" i="9"/>
  <c r="BC59" i="9" s="1"/>
  <c r="BA26" i="9"/>
  <c r="BC58" i="9" s="1"/>
  <c r="BA25" i="9"/>
  <c r="BC57" i="9" s="1"/>
  <c r="BA24" i="9"/>
  <c r="BC56" i="9" s="1"/>
  <c r="BA23" i="9"/>
  <c r="BC55" i="9" s="1"/>
  <c r="BA22" i="9"/>
  <c r="BC54" i="9" s="1"/>
  <c r="BA21" i="9"/>
  <c r="BA20" i="9"/>
  <c r="BC52" i="9" s="1"/>
  <c r="BA19" i="9"/>
  <c r="BC51" i="9" s="1"/>
  <c r="BA18" i="9"/>
  <c r="BA17" i="9"/>
  <c r="BC49" i="9" s="1"/>
  <c r="BA16" i="9"/>
  <c r="BC48" i="9" s="1"/>
  <c r="BA15" i="9"/>
  <c r="BC47" i="9" s="1"/>
  <c r="BA14" i="9"/>
  <c r="BA13" i="9"/>
  <c r="BA12" i="9"/>
  <c r="BC44" i="9" s="1"/>
  <c r="BA11" i="9"/>
  <c r="BC43" i="9" s="1"/>
  <c r="BA10" i="9"/>
  <c r="BC42" i="9" s="1"/>
  <c r="BA9" i="9"/>
  <c r="BC41" i="9" s="1"/>
  <c r="AU35" i="9"/>
  <c r="AU33" i="9"/>
  <c r="AW65" i="9" s="1"/>
  <c r="AU30" i="9"/>
  <c r="AW62" i="9" s="1"/>
  <c r="AU29" i="9"/>
  <c r="AW61" i="9" s="1"/>
  <c r="AU28" i="9"/>
  <c r="AW60" i="9" s="1"/>
  <c r="AU27" i="9"/>
  <c r="AU26" i="9"/>
  <c r="AU25" i="9"/>
  <c r="AU24" i="9"/>
  <c r="AW56" i="9" s="1"/>
  <c r="AU23" i="9"/>
  <c r="BA55" i="9" s="1"/>
  <c r="AU22" i="9"/>
  <c r="AW54" i="9" s="1"/>
  <c r="AU21" i="9"/>
  <c r="AW53" i="9" s="1"/>
  <c r="AU20" i="9"/>
  <c r="AW52" i="9" s="1"/>
  <c r="AU19" i="9"/>
  <c r="AU18" i="9"/>
  <c r="AW50" i="9" s="1"/>
  <c r="AU17" i="9"/>
  <c r="AW49" i="9" s="1"/>
  <c r="AU16" i="9"/>
  <c r="AU15" i="9"/>
  <c r="BA47" i="9" s="1"/>
  <c r="AU14" i="9"/>
  <c r="AW46" i="9" s="1"/>
  <c r="AU13" i="9"/>
  <c r="AU12" i="9"/>
  <c r="AW44" i="9" s="1"/>
  <c r="AU11" i="9"/>
  <c r="AW43" i="9" s="1"/>
  <c r="AU10" i="9"/>
  <c r="AW42" i="9" s="1"/>
  <c r="AU9" i="9"/>
  <c r="AW41" i="9" s="1"/>
  <c r="AO35" i="9"/>
  <c r="AO33" i="9"/>
  <c r="AQ65" i="9" s="1"/>
  <c r="AO31" i="9"/>
  <c r="AQ63" i="9" s="1"/>
  <c r="AO30" i="9"/>
  <c r="AQ62" i="9" s="1"/>
  <c r="AO29" i="9"/>
  <c r="AQ61" i="9" s="1"/>
  <c r="AO28" i="9"/>
  <c r="AQ60" i="9" s="1"/>
  <c r="AO27" i="9"/>
  <c r="AO26" i="9"/>
  <c r="AQ58" i="9" s="1"/>
  <c r="AO25" i="9"/>
  <c r="AO24" i="9"/>
  <c r="AO23" i="9"/>
  <c r="AQ55" i="9" s="1"/>
  <c r="AO22" i="9"/>
  <c r="AQ54" i="9" s="1"/>
  <c r="AO21" i="9"/>
  <c r="AO20" i="9"/>
  <c r="AO19" i="9"/>
  <c r="AQ51" i="9" s="1"/>
  <c r="AO18" i="9"/>
  <c r="AQ50" i="9" s="1"/>
  <c r="AO17" i="9"/>
  <c r="AO16" i="9"/>
  <c r="AQ48" i="9" s="1"/>
  <c r="AO15" i="9"/>
  <c r="AQ47" i="9" s="1"/>
  <c r="AO14" i="9"/>
  <c r="AQ46" i="9" s="1"/>
  <c r="AO13" i="9"/>
  <c r="AQ45" i="9" s="1"/>
  <c r="AO12" i="9"/>
  <c r="AO11" i="9"/>
  <c r="AO10" i="9"/>
  <c r="AO9" i="9"/>
  <c r="AQ41" i="9" s="1"/>
  <c r="AI35" i="9"/>
  <c r="AK67" i="9" s="1"/>
  <c r="AI33" i="9"/>
  <c r="AK65" i="9" s="1"/>
  <c r="AI31" i="9"/>
  <c r="AI30" i="9"/>
  <c r="AK62" i="9" s="1"/>
  <c r="AC30" i="9"/>
  <c r="AE62" i="9" s="1"/>
  <c r="AI29" i="9"/>
  <c r="AK61" i="9" s="1"/>
  <c r="AI28" i="9"/>
  <c r="AK60" i="9" s="1"/>
  <c r="AI27" i="9"/>
  <c r="AK59" i="9" s="1"/>
  <c r="AI26" i="9"/>
  <c r="AK58" i="9" s="1"/>
  <c r="AI25" i="9"/>
  <c r="AK57" i="9" s="1"/>
  <c r="AI24" i="9"/>
  <c r="AK56" i="9" s="1"/>
  <c r="AI23" i="9"/>
  <c r="AI22" i="9"/>
  <c r="AI21" i="9"/>
  <c r="AK53" i="9" s="1"/>
  <c r="AI20" i="9"/>
  <c r="AK52" i="9" s="1"/>
  <c r="AI19" i="9"/>
  <c r="AK51" i="9" s="1"/>
  <c r="AI18" i="9"/>
  <c r="AK50" i="9" s="1"/>
  <c r="AI17" i="9"/>
  <c r="AK49" i="9" s="1"/>
  <c r="AI16" i="9"/>
  <c r="AI15" i="9"/>
  <c r="AI14" i="9"/>
  <c r="AI13" i="9"/>
  <c r="AK45" i="9" s="1"/>
  <c r="AI12" i="9"/>
  <c r="AK44" i="9" s="1"/>
  <c r="AI11" i="9"/>
  <c r="AK43" i="9" s="1"/>
  <c r="AI10" i="9"/>
  <c r="AI9" i="9"/>
  <c r="AK41" i="9" s="1"/>
  <c r="AC35" i="9"/>
  <c r="AE67" i="9" s="1"/>
  <c r="AC33" i="9"/>
  <c r="AE65" i="9" s="1"/>
  <c r="AC31" i="9"/>
  <c r="AE63" i="9" s="1"/>
  <c r="AC29" i="9"/>
  <c r="AE61" i="9" s="1"/>
  <c r="AC28" i="9"/>
  <c r="AE60" i="9" s="1"/>
  <c r="AC27" i="9"/>
  <c r="AE59" i="9" s="1"/>
  <c r="AC26" i="9"/>
  <c r="AE58" i="9" s="1"/>
  <c r="AC25" i="9"/>
  <c r="AE57" i="9" s="1"/>
  <c r="AC24" i="9"/>
  <c r="AC23" i="9"/>
  <c r="AE55" i="9" s="1"/>
  <c r="AC22" i="9"/>
  <c r="AC21" i="9"/>
  <c r="AE53" i="9" s="1"/>
  <c r="AC20" i="9"/>
  <c r="AC19" i="9"/>
  <c r="AC18" i="9"/>
  <c r="AC17" i="9"/>
  <c r="AC16" i="9"/>
  <c r="AE48" i="9" s="1"/>
  <c r="AC15" i="9"/>
  <c r="AC14" i="9"/>
  <c r="AE46" i="9" s="1"/>
  <c r="AC13" i="9"/>
  <c r="AE45" i="9" s="1"/>
  <c r="AC12" i="9"/>
  <c r="AE44" i="9" s="1"/>
  <c r="AC11" i="9"/>
  <c r="AC10" i="9"/>
  <c r="AE42" i="9" s="1"/>
  <c r="AC9" i="9"/>
  <c r="AE41" i="9" s="1"/>
  <c r="W35" i="9"/>
  <c r="W67" i="9" s="1"/>
  <c r="W33" i="9"/>
  <c r="W31" i="9"/>
  <c r="Y63" i="9" s="1"/>
  <c r="W30" i="9"/>
  <c r="Y62" i="9" s="1"/>
  <c r="W29" i="9"/>
  <c r="W28" i="9"/>
  <c r="W60" i="9" s="1"/>
  <c r="W27" i="9"/>
  <c r="W59" i="9" s="1"/>
  <c r="W26" i="9"/>
  <c r="W25" i="9"/>
  <c r="W57" i="9" s="1"/>
  <c r="W24" i="9"/>
  <c r="W23" i="9"/>
  <c r="Y55" i="9" s="1"/>
  <c r="W22" i="9"/>
  <c r="W54" i="9" s="1"/>
  <c r="W21" i="9"/>
  <c r="W53" i="9" s="1"/>
  <c r="W20" i="9"/>
  <c r="W19" i="9"/>
  <c r="Y51" i="9" s="1"/>
  <c r="W18" i="9"/>
  <c r="W50" i="9" s="1"/>
  <c r="W17" i="9"/>
  <c r="W16" i="9"/>
  <c r="Y48" i="9" s="1"/>
  <c r="W15" i="9"/>
  <c r="Y47" i="9" s="1"/>
  <c r="W14" i="9"/>
  <c r="Y46" i="9" s="1"/>
  <c r="W13" i="9"/>
  <c r="Y45" i="9" s="1"/>
  <c r="W12" i="9"/>
  <c r="Y44" i="9" s="1"/>
  <c r="W11" i="9"/>
  <c r="W10" i="9"/>
  <c r="Y42" i="9" s="1"/>
  <c r="W9" i="9"/>
  <c r="BF32" i="9"/>
  <c r="BE32" i="9"/>
  <c r="BE36" i="9" s="1"/>
  <c r="BE37" i="9" s="1"/>
  <c r="BD32" i="9"/>
  <c r="BD36" i="9" s="1"/>
  <c r="BD37" i="9" s="1"/>
  <c r="BC32" i="9"/>
  <c r="BC34" i="9" s="1"/>
  <c r="AZ32" i="9"/>
  <c r="AZ34" i="9" s="1"/>
  <c r="AZ38" i="9" s="1"/>
  <c r="AY32" i="9"/>
  <c r="AY36" i="9" s="1"/>
  <c r="AY37" i="9" s="1"/>
  <c r="AX32" i="9"/>
  <c r="AX36" i="9" s="1"/>
  <c r="AX37" i="9" s="1"/>
  <c r="AW32" i="9"/>
  <c r="AW34" i="9" s="1"/>
  <c r="AT32" i="9"/>
  <c r="AT34" i="9" s="1"/>
  <c r="AT38" i="9" s="1"/>
  <c r="AS32" i="9"/>
  <c r="AS36" i="9" s="1"/>
  <c r="AS37" i="9" s="1"/>
  <c r="AR32" i="9"/>
  <c r="AR34" i="9" s="1"/>
  <c r="AR38" i="9" s="1"/>
  <c r="AQ32" i="9"/>
  <c r="AQ34" i="9" s="1"/>
  <c r="AN32" i="9"/>
  <c r="AN36" i="9" s="1"/>
  <c r="AN37" i="9" s="1"/>
  <c r="AM32" i="9"/>
  <c r="AM36" i="9" s="1"/>
  <c r="AM37" i="9" s="1"/>
  <c r="AL32" i="9"/>
  <c r="AL36" i="9" s="1"/>
  <c r="AL37" i="9" s="1"/>
  <c r="AK32" i="9"/>
  <c r="AK36" i="9" s="1"/>
  <c r="AK37" i="9" s="1"/>
  <c r="AH32" i="9"/>
  <c r="AG32" i="9"/>
  <c r="AG36" i="9" s="1"/>
  <c r="AF32" i="9"/>
  <c r="AF36" i="9" s="1"/>
  <c r="AF37" i="9" s="1"/>
  <c r="AE32" i="9"/>
  <c r="AE34" i="9" s="1"/>
  <c r="AE38" i="9" s="1"/>
  <c r="AB32" i="9"/>
  <c r="AB36" i="9" s="1"/>
  <c r="AA32" i="9"/>
  <c r="AA36" i="9" s="1"/>
  <c r="AA37" i="9" s="1"/>
  <c r="Z32" i="9"/>
  <c r="Y32" i="9"/>
  <c r="Y36" i="9" s="1"/>
  <c r="V32" i="9"/>
  <c r="V36" i="9" s="1"/>
  <c r="U32" i="9"/>
  <c r="U34" i="9" s="1"/>
  <c r="U38" i="9" s="1"/>
  <c r="T32" i="9"/>
  <c r="T36" i="9" s="1"/>
  <c r="S32" i="9"/>
  <c r="S36" i="9" s="1"/>
  <c r="Q32" i="9"/>
  <c r="O32" i="9"/>
  <c r="O36" i="9" s="1"/>
  <c r="M32" i="9"/>
  <c r="M36" i="9" s="1"/>
  <c r="K32" i="9"/>
  <c r="I32" i="9"/>
  <c r="I36" i="9" s="1"/>
  <c r="G32" i="9"/>
  <c r="G34" i="9" s="1"/>
  <c r="G38" i="9" s="1"/>
  <c r="E32" i="9"/>
  <c r="E36" i="9" s="1"/>
  <c r="BI15" i="9"/>
  <c r="BW35" i="9"/>
  <c r="BX35" i="9" s="1"/>
  <c r="BY35" i="9" s="1"/>
  <c r="BS35" i="9"/>
  <c r="AR7" i="9"/>
  <c r="AX7" i="9" s="1"/>
  <c r="BD7" i="9" s="1"/>
  <c r="BJ7" i="9" s="1"/>
  <c r="BP7" i="9" s="1"/>
  <c r="BV7" i="9" s="1"/>
  <c r="CB7" i="9" s="1"/>
  <c r="CH7" i="9" s="1"/>
  <c r="CN7" i="9" s="1"/>
  <c r="AQ7" i="9"/>
  <c r="AW7" i="9" s="1"/>
  <c r="BC7" i="9" s="1"/>
  <c r="BI7" i="9" s="1"/>
  <c r="BO7" i="9" s="1"/>
  <c r="BU7" i="9" s="1"/>
  <c r="CA7" i="9" s="1"/>
  <c r="CG7" i="9" s="1"/>
  <c r="CM7" i="9" s="1"/>
  <c r="AN7" i="9"/>
  <c r="AT7" i="9" s="1"/>
  <c r="AZ7" i="9" s="1"/>
  <c r="BF7" i="9" s="1"/>
  <c r="BL7" i="9" s="1"/>
  <c r="BR7" i="9" s="1"/>
  <c r="BX7" i="9" s="1"/>
  <c r="CD7" i="9" s="1"/>
  <c r="CJ7" i="9" s="1"/>
  <c r="CP7" i="9" s="1"/>
  <c r="AM7" i="9"/>
  <c r="AS7" i="9" s="1"/>
  <c r="AY7" i="9" s="1"/>
  <c r="BE7" i="9" s="1"/>
  <c r="BK7" i="9" s="1"/>
  <c r="BQ7" i="9" s="1"/>
  <c r="BW7" i="9" s="1"/>
  <c r="CC7" i="9" s="1"/>
  <c r="CI7" i="9" s="1"/>
  <c r="CO7" i="9" s="1"/>
  <c r="AC6" i="9"/>
  <c r="AI6" i="9" s="1"/>
  <c r="AO6" i="9" s="1"/>
  <c r="AU6" i="9" s="1"/>
  <c r="BA6" i="9" s="1"/>
  <c r="BG6" i="9" s="1"/>
  <c r="BM6" i="9" s="1"/>
  <c r="BS6" i="9" s="1"/>
  <c r="BY6" i="9" s="1"/>
  <c r="CE6" i="9" s="1"/>
  <c r="CK6" i="9" s="1"/>
  <c r="CQ6" i="9" s="1"/>
  <c r="Y6" i="9"/>
  <c r="AE6" i="9" s="1"/>
  <c r="AK6" i="9" s="1"/>
  <c r="AQ6" i="9" s="1"/>
  <c r="AW6" i="9" s="1"/>
  <c r="BC6" i="9" s="1"/>
  <c r="BI6" i="9" s="1"/>
  <c r="G6" i="9"/>
  <c r="I6" i="9" s="1"/>
  <c r="K6" i="9" s="1"/>
  <c r="M6" i="9" s="1"/>
  <c r="O6" i="9" s="1"/>
  <c r="Q6" i="9" s="1"/>
  <c r="AK46" i="9"/>
  <c r="Q70" i="9"/>
  <c r="M70" i="9"/>
  <c r="I70" i="9"/>
  <c r="E70" i="9"/>
  <c r="BC70" i="9"/>
  <c r="AY70" i="9"/>
  <c r="AQ70" i="9"/>
  <c r="AM70" i="9"/>
  <c r="AE70" i="9"/>
  <c r="AA70" i="9"/>
  <c r="S70" i="9"/>
  <c r="BF70" i="9"/>
  <c r="AX70" i="9"/>
  <c r="AT70" i="9"/>
  <c r="AR70" i="9"/>
  <c r="AS70" i="9"/>
  <c r="AL70" i="9"/>
  <c r="AH70" i="9"/>
  <c r="Z70" i="9"/>
  <c r="V70" i="9"/>
  <c r="O70" i="9"/>
  <c r="K70" i="9"/>
  <c r="G70" i="9"/>
  <c r="BE70" i="9"/>
  <c r="AW70" i="9"/>
  <c r="AZ70" i="9"/>
  <c r="AK70" i="9"/>
  <c r="AG70" i="9"/>
  <c r="Y70" i="9"/>
  <c r="U70" i="9"/>
  <c r="AN70" i="9"/>
  <c r="AF70" i="9"/>
  <c r="AB70" i="9"/>
  <c r="T70" i="9"/>
  <c r="AQ52" i="9"/>
  <c r="BI55" i="9"/>
  <c r="BM89" i="4"/>
  <c r="BO88" i="4" s="1"/>
  <c r="BS88" i="4" s="1"/>
  <c r="BM88" i="4"/>
  <c r="BG89" i="4"/>
  <c r="BG88" i="4"/>
  <c r="BA89" i="4"/>
  <c r="BA88" i="4"/>
  <c r="AU89" i="4"/>
  <c r="AU88" i="4"/>
  <c r="AO89" i="4"/>
  <c r="AO88" i="4"/>
  <c r="BX86" i="4"/>
  <c r="BU86" i="4"/>
  <c r="BR86" i="4"/>
  <c r="BQ86" i="4"/>
  <c r="BP86" i="4"/>
  <c r="BO86" i="4"/>
  <c r="BL86" i="4"/>
  <c r="BK86" i="4"/>
  <c r="BJ86" i="4"/>
  <c r="BI86" i="4"/>
  <c r="BF86" i="4"/>
  <c r="BE86" i="4"/>
  <c r="BD86" i="4"/>
  <c r="BC86" i="4"/>
  <c r="AZ86" i="4"/>
  <c r="AY86" i="4"/>
  <c r="AX86" i="4"/>
  <c r="AW86" i="4"/>
  <c r="AT86" i="4"/>
  <c r="AS86" i="4"/>
  <c r="AR86" i="4"/>
  <c r="AQ86" i="4"/>
  <c r="AN86" i="4"/>
  <c r="AM86" i="4"/>
  <c r="AL86" i="4"/>
  <c r="AK86" i="4"/>
  <c r="AH86" i="4"/>
  <c r="AG86" i="4"/>
  <c r="AF86" i="4"/>
  <c r="AE86" i="4"/>
  <c r="AB86" i="4"/>
  <c r="AA86" i="4"/>
  <c r="Z86" i="4"/>
  <c r="Y86" i="4"/>
  <c r="Q84" i="4"/>
  <c r="Q85" i="4" s="1"/>
  <c r="Q83" i="4"/>
  <c r="O84" i="4"/>
  <c r="O85" i="4" s="1"/>
  <c r="O86" i="4" s="1"/>
  <c r="M86" i="4"/>
  <c r="K86" i="4"/>
  <c r="I86" i="4"/>
  <c r="G86" i="4"/>
  <c r="E86" i="4"/>
  <c r="CB85" i="4"/>
  <c r="CH86" i="4" s="1"/>
  <c r="BV85" i="4"/>
  <c r="BV86" i="4" s="1"/>
  <c r="CA85" i="4"/>
  <c r="CA86" i="4" s="1"/>
  <c r="BS84" i="4"/>
  <c r="BS83" i="4"/>
  <c r="BM84" i="4"/>
  <c r="BM83" i="4"/>
  <c r="BG84" i="4"/>
  <c r="BG83" i="4"/>
  <c r="BA83" i="4"/>
  <c r="AU83" i="4"/>
  <c r="AI83" i="4"/>
  <c r="AC83" i="4"/>
  <c r="CQ84" i="4"/>
  <c r="BV84" i="4"/>
  <c r="BW84" i="4" s="1"/>
  <c r="BX84" i="4" s="1"/>
  <c r="AW84" i="4"/>
  <c r="BA84" i="4" s="1"/>
  <c r="AQ84" i="4"/>
  <c r="AU84" i="4" s="1"/>
  <c r="AM84" i="4"/>
  <c r="AL84" i="4"/>
  <c r="AK84" i="4"/>
  <c r="AH84" i="4"/>
  <c r="AG84" i="4"/>
  <c r="Z84" i="4"/>
  <c r="Y84" i="4"/>
  <c r="W84" i="4"/>
  <c r="W83" i="4"/>
  <c r="AN83" i="4"/>
  <c r="CA80" i="4"/>
  <c r="BU80" i="4"/>
  <c r="BO80" i="4"/>
  <c r="BI80" i="4"/>
  <c r="BC80" i="4"/>
  <c r="AX80" i="4"/>
  <c r="AU80" i="4"/>
  <c r="AK80" i="4"/>
  <c r="AE80" i="4"/>
  <c r="Y80" i="4"/>
  <c r="S80" i="4"/>
  <c r="Q80" i="4"/>
  <c r="O80" i="4"/>
  <c r="M80" i="4"/>
  <c r="K80" i="4"/>
  <c r="I80" i="4"/>
  <c r="I78" i="4"/>
  <c r="I77" i="4"/>
  <c r="I76" i="4"/>
  <c r="CB74" i="4"/>
  <c r="CA74" i="4"/>
  <c r="BX74" i="4"/>
  <c r="BW74" i="4"/>
  <c r="BV74" i="4"/>
  <c r="BU74" i="4"/>
  <c r="BR74" i="4"/>
  <c r="BQ74" i="4"/>
  <c r="BP74" i="4"/>
  <c r="BO74" i="4"/>
  <c r="BL74" i="4"/>
  <c r="BK74" i="4"/>
  <c r="BJ74" i="4"/>
  <c r="BI74" i="4"/>
  <c r="BE74" i="4"/>
  <c r="BD74" i="4"/>
  <c r="BC74" i="4"/>
  <c r="BA74" i="4"/>
  <c r="AM74" i="4"/>
  <c r="AL74" i="4"/>
  <c r="AK74" i="4"/>
  <c r="AG74" i="4"/>
  <c r="AF74" i="4"/>
  <c r="AE74" i="4"/>
  <c r="AA74" i="4"/>
  <c r="Z74" i="4"/>
  <c r="Y74" i="4"/>
  <c r="Q74" i="4"/>
  <c r="O74" i="4"/>
  <c r="M74" i="4"/>
  <c r="K74" i="4"/>
  <c r="I74" i="4"/>
  <c r="BY73" i="4"/>
  <c r="CE74" i="4" s="1"/>
  <c r="BS73" i="4"/>
  <c r="BM73" i="4"/>
  <c r="BG73" i="4"/>
  <c r="AZ73" i="4"/>
  <c r="BF74" i="4" s="1"/>
  <c r="V73" i="4"/>
  <c r="W73" i="4" s="1"/>
  <c r="W74" i="4" s="1"/>
  <c r="G72" i="4"/>
  <c r="AN73" i="4"/>
  <c r="AH73" i="4"/>
  <c r="AI73" i="4" s="1"/>
  <c r="AB73" i="4"/>
  <c r="BY65" i="4"/>
  <c r="BY41" i="1" s="1"/>
  <c r="CQ53" i="4"/>
  <c r="CK53" i="4"/>
  <c r="CQ49" i="4"/>
  <c r="CK49" i="4"/>
  <c r="BV49" i="4"/>
  <c r="BW49" i="4" s="1"/>
  <c r="BX49" i="4" s="1"/>
  <c r="BU47" i="4"/>
  <c r="BO47" i="4"/>
  <c r="BL47" i="4"/>
  <c r="BK47" i="4"/>
  <c r="BI47" i="4"/>
  <c r="BC47" i="4"/>
  <c r="AW47" i="4"/>
  <c r="AQ47" i="4"/>
  <c r="AK47" i="4"/>
  <c r="S47" i="4"/>
  <c r="CQ46" i="4"/>
  <c r="CQ45" i="4"/>
  <c r="CQ44" i="4"/>
  <c r="CQ43" i="4"/>
  <c r="CQ40" i="4"/>
  <c r="CK46" i="4"/>
  <c r="CK45" i="4"/>
  <c r="CK44" i="4"/>
  <c r="CK43" i="4"/>
  <c r="CK40" i="4"/>
  <c r="BX46" i="4"/>
  <c r="BV45" i="4"/>
  <c r="BW45" i="4" s="1"/>
  <c r="BX45" i="4" s="1"/>
  <c r="BV44" i="4"/>
  <c r="BW44" i="4" s="1"/>
  <c r="BV43" i="4"/>
  <c r="BW43" i="4" s="1"/>
  <c r="BX43" i="4" s="1"/>
  <c r="BV41" i="4"/>
  <c r="BV40" i="4"/>
  <c r="BW40" i="4" s="1"/>
  <c r="BV39" i="4"/>
  <c r="BW39" i="4" s="1"/>
  <c r="BX39" i="4" s="1"/>
  <c r="BX38" i="4"/>
  <c r="CP36" i="4"/>
  <c r="CO36" i="4"/>
  <c r="CN36" i="4"/>
  <c r="CM36" i="4"/>
  <c r="BV37" i="4"/>
  <c r="BW37" i="4" s="1"/>
  <c r="BX37" i="4" s="1"/>
  <c r="BV36" i="4"/>
  <c r="BW36" i="4" s="1"/>
  <c r="BO33" i="4"/>
  <c r="BL33" i="4"/>
  <c r="BK33" i="4"/>
  <c r="BC33" i="4"/>
  <c r="AW33" i="4"/>
  <c r="AQ33" i="4"/>
  <c r="AK33" i="4"/>
  <c r="CQ32" i="4"/>
  <c r="CQ29" i="4"/>
  <c r="BU32" i="4"/>
  <c r="CP31" i="4"/>
  <c r="CO31" i="4"/>
  <c r="CN31" i="4"/>
  <c r="CM31" i="4"/>
  <c r="BV31" i="4"/>
  <c r="BV29" i="4"/>
  <c r="BW29" i="4" s="1"/>
  <c r="BW125" i="3" s="1"/>
  <c r="BU25" i="4"/>
  <c r="BV25" i="4"/>
  <c r="BK20" i="4"/>
  <c r="BJ14" i="4"/>
  <c r="BM14" i="4" s="1"/>
  <c r="BV24" i="4"/>
  <c r="BW24" i="4" s="1"/>
  <c r="BV23" i="4"/>
  <c r="BW23" i="4" s="1"/>
  <c r="BX23" i="4" s="1"/>
  <c r="BV22" i="4"/>
  <c r="BW22" i="4" s="1"/>
  <c r="BV21" i="4"/>
  <c r="BW21" i="4" s="1"/>
  <c r="BX21" i="4" s="1"/>
  <c r="BU20" i="4"/>
  <c r="BO20" i="4"/>
  <c r="BO26" i="4" s="1"/>
  <c r="BO59" i="4" s="1"/>
  <c r="BC20" i="4"/>
  <c r="AW20" i="4"/>
  <c r="AW26" i="4" s="1"/>
  <c r="AQ20" i="4"/>
  <c r="AK20" i="4"/>
  <c r="AK26" i="4" s="1"/>
  <c r="AE20" i="4"/>
  <c r="AE26" i="4" s="1"/>
  <c r="CQ19" i="4"/>
  <c r="CQ18" i="4"/>
  <c r="CQ16" i="4"/>
  <c r="CQ15" i="4"/>
  <c r="CK19" i="4"/>
  <c r="CK18" i="4"/>
  <c r="CK16" i="4"/>
  <c r="CK15" i="4"/>
  <c r="CB14" i="4"/>
  <c r="BV19" i="4"/>
  <c r="BW19" i="4" s="1"/>
  <c r="BV18" i="4"/>
  <c r="BV17" i="4"/>
  <c r="BV171" i="3" s="1"/>
  <c r="BV16" i="4"/>
  <c r="BW16" i="4" s="1"/>
  <c r="BV15" i="4"/>
  <c r="BW15" i="4" s="1"/>
  <c r="BX15" i="4" s="1"/>
  <c r="BV14" i="4"/>
  <c r="BV119" i="3" s="1"/>
  <c r="AB14" i="4"/>
  <c r="Y119" i="3"/>
  <c r="Z119" i="3"/>
  <c r="AA119" i="3"/>
  <c r="V14" i="4"/>
  <c r="V119" i="3" s="1"/>
  <c r="G14" i="4"/>
  <c r="G119" i="3" s="1"/>
  <c r="E14" i="4"/>
  <c r="E119" i="3" s="1"/>
  <c r="E122" i="3"/>
  <c r="G117" i="3" s="1"/>
  <c r="C122" i="3"/>
  <c r="E117" i="3" s="1"/>
  <c r="C14" i="4"/>
  <c r="C22" i="1" s="1"/>
  <c r="CA13" i="4"/>
  <c r="CA21" i="1" s="1"/>
  <c r="BY13" i="4"/>
  <c r="BU13" i="4"/>
  <c r="BU107" i="3" s="1"/>
  <c r="BO13" i="4"/>
  <c r="BL13" i="4"/>
  <c r="BL107" i="3" s="1"/>
  <c r="BK13" i="4"/>
  <c r="BI13" i="4"/>
  <c r="BC13" i="4"/>
  <c r="BC21" i="1" s="1"/>
  <c r="AW13" i="4"/>
  <c r="AW21" i="1" s="1"/>
  <c r="AQ13" i="4"/>
  <c r="AQ107" i="3" s="1"/>
  <c r="AK13" i="4"/>
  <c r="AK107" i="3" s="1"/>
  <c r="AE13" i="4"/>
  <c r="AE107" i="3" s="1"/>
  <c r="AC13" i="4"/>
  <c r="AC21" i="1" s="1"/>
  <c r="W13" i="4"/>
  <c r="W21" i="1" s="1"/>
  <c r="W95" i="1" s="1"/>
  <c r="Q13" i="4"/>
  <c r="Q21" i="1" s="1"/>
  <c r="Q95" i="1" s="1"/>
  <c r="O13" i="4"/>
  <c r="O21" i="1" s="1"/>
  <c r="O95" i="1" s="1"/>
  <c r="M13" i="4"/>
  <c r="M107" i="3" s="1"/>
  <c r="M114" i="3" s="1"/>
  <c r="K13" i="4"/>
  <c r="K107" i="3" s="1"/>
  <c r="K114" i="3" s="1"/>
  <c r="I13" i="4"/>
  <c r="I107" i="3" s="1"/>
  <c r="BV12" i="4"/>
  <c r="BP14" i="4"/>
  <c r="BP119" i="3" s="1"/>
  <c r="BD14" i="4"/>
  <c r="BE14" i="4" s="1"/>
  <c r="AX14" i="4"/>
  <c r="AY14" i="4" s="1"/>
  <c r="AR14" i="4"/>
  <c r="AL14" i="4"/>
  <c r="AL119" i="3" s="1"/>
  <c r="AH14" i="4"/>
  <c r="AH119" i="3" s="1"/>
  <c r="AA12" i="4"/>
  <c r="AA13" i="4"/>
  <c r="AA107" i="3" s="1"/>
  <c r="S12" i="4"/>
  <c r="T12" i="4" s="1"/>
  <c r="U12" i="4" s="1"/>
  <c r="U13" i="4" s="1"/>
  <c r="BV10" i="4"/>
  <c r="BJ8" i="4"/>
  <c r="BP8" i="4" s="1"/>
  <c r="BV8" i="4" s="1"/>
  <c r="CB8" i="4" s="1"/>
  <c r="CH8" i="4" s="1"/>
  <c r="CN8" i="4" s="1"/>
  <c r="CT8" i="4" s="1"/>
  <c r="CZ8" i="4" s="1"/>
  <c r="DF8" i="4" s="1"/>
  <c r="BI8" i="4"/>
  <c r="BO8" i="4" s="1"/>
  <c r="BU8" i="4" s="1"/>
  <c r="CA8" i="4" s="1"/>
  <c r="CG8" i="4" s="1"/>
  <c r="CM8" i="4" s="1"/>
  <c r="CS8" i="4" s="1"/>
  <c r="CY8" i="4" s="1"/>
  <c r="DE8" i="4" s="1"/>
  <c r="BF8" i="4"/>
  <c r="BL8" i="4" s="1"/>
  <c r="BR8" i="4" s="1"/>
  <c r="BX8" i="4" s="1"/>
  <c r="CD8" i="4" s="1"/>
  <c r="CJ8" i="4" s="1"/>
  <c r="CP8" i="4" s="1"/>
  <c r="CV8" i="4" s="1"/>
  <c r="DB8" i="4" s="1"/>
  <c r="DH8" i="4" s="1"/>
  <c r="BE8" i="4"/>
  <c r="BK8" i="4" s="1"/>
  <c r="BQ8" i="4" s="1"/>
  <c r="BW8" i="4" s="1"/>
  <c r="CC8" i="4" s="1"/>
  <c r="CI8" i="4" s="1"/>
  <c r="CO8" i="4" s="1"/>
  <c r="CU8" i="4" s="1"/>
  <c r="DA8" i="4" s="1"/>
  <c r="DG8" i="4" s="1"/>
  <c r="AE7" i="4"/>
  <c r="AK7" i="4" s="1"/>
  <c r="AQ7" i="4" s="1"/>
  <c r="AW7" i="4" s="1"/>
  <c r="BC7" i="4" s="1"/>
  <c r="BI7" i="4" s="1"/>
  <c r="BO7" i="4" s="1"/>
  <c r="BU7" i="4" s="1"/>
  <c r="CA7" i="4" s="1"/>
  <c r="E7" i="4"/>
  <c r="G7" i="4" s="1"/>
  <c r="I7" i="4" s="1"/>
  <c r="K7" i="4" s="1"/>
  <c r="M7" i="4" s="1"/>
  <c r="O7" i="4" s="1"/>
  <c r="Q7" i="4" s="1"/>
  <c r="W7" i="4" s="1"/>
  <c r="AC7" i="4" s="1"/>
  <c r="AI7" i="4" s="1"/>
  <c r="AO7" i="4" s="1"/>
  <c r="AU7" i="4" s="1"/>
  <c r="BA7" i="4" s="1"/>
  <c r="BG7" i="4" s="1"/>
  <c r="BM7" i="4" s="1"/>
  <c r="BS7" i="4" s="1"/>
  <c r="BY7" i="4" s="1"/>
  <c r="CE7" i="4" s="1"/>
  <c r="CK7" i="4" s="1"/>
  <c r="CQ7" i="4" s="1"/>
  <c r="CW7" i="4" s="1"/>
  <c r="DC7" i="4" s="1"/>
  <c r="DI7" i="4" s="1"/>
  <c r="Q171" i="3"/>
  <c r="Q162" i="3"/>
  <c r="O171" i="3"/>
  <c r="O162" i="3"/>
  <c r="M171" i="3"/>
  <c r="M162" i="3"/>
  <c r="K171" i="3"/>
  <c r="K162" i="3"/>
  <c r="I171" i="3"/>
  <c r="I166" i="3"/>
  <c r="I162" i="3"/>
  <c r="G171" i="3"/>
  <c r="G166" i="3"/>
  <c r="G162" i="3"/>
  <c r="E171" i="3"/>
  <c r="E166" i="3"/>
  <c r="E162" i="3"/>
  <c r="C171" i="3"/>
  <c r="C166" i="3"/>
  <c r="C162" i="3"/>
  <c r="CA171" i="3"/>
  <c r="CB166" i="3"/>
  <c r="CA166" i="3"/>
  <c r="CB162" i="3"/>
  <c r="CA162" i="3"/>
  <c r="BY171" i="3"/>
  <c r="BU171" i="3"/>
  <c r="BV166" i="3"/>
  <c r="BY162" i="3"/>
  <c r="BX162" i="3"/>
  <c r="BW162" i="3"/>
  <c r="BV162" i="3"/>
  <c r="BU162" i="3"/>
  <c r="BO171" i="3"/>
  <c r="BP166" i="3"/>
  <c r="BS162" i="3"/>
  <c r="BR162" i="3"/>
  <c r="BQ162" i="3"/>
  <c r="BP162" i="3"/>
  <c r="BO162" i="3"/>
  <c r="BL171" i="3"/>
  <c r="BK171" i="3"/>
  <c r="BI171" i="3"/>
  <c r="BK166" i="3"/>
  <c r="BM162" i="3"/>
  <c r="BL162" i="3"/>
  <c r="BK162" i="3"/>
  <c r="BJ162" i="3"/>
  <c r="BI162" i="3"/>
  <c r="BC171" i="3"/>
  <c r="BD166" i="3"/>
  <c r="BG162" i="3"/>
  <c r="BF162" i="3"/>
  <c r="BE162" i="3"/>
  <c r="BD162" i="3"/>
  <c r="BC162" i="3"/>
  <c r="AW171" i="3"/>
  <c r="BA162" i="3"/>
  <c r="AZ162" i="3"/>
  <c r="AY162" i="3"/>
  <c r="AX162" i="3"/>
  <c r="AW162" i="3"/>
  <c r="AQ171" i="3"/>
  <c r="AU162" i="3"/>
  <c r="AT162" i="3"/>
  <c r="AS162" i="3"/>
  <c r="AR162" i="3"/>
  <c r="AQ162" i="3"/>
  <c r="AK171" i="3"/>
  <c r="AO162" i="3"/>
  <c r="AN162" i="3"/>
  <c r="AM162" i="3"/>
  <c r="AL162" i="3"/>
  <c r="AK162" i="3"/>
  <c r="AE171" i="3"/>
  <c r="AI162" i="3"/>
  <c r="AH162" i="3"/>
  <c r="AG162" i="3"/>
  <c r="AF162" i="3"/>
  <c r="AE162" i="3"/>
  <c r="AC171" i="3"/>
  <c r="AB171" i="3"/>
  <c r="AA171" i="3"/>
  <c r="Z171" i="3"/>
  <c r="Y171" i="3"/>
  <c r="AC162" i="3"/>
  <c r="AB162" i="3"/>
  <c r="AA162" i="3"/>
  <c r="Z162" i="3"/>
  <c r="Y162" i="3"/>
  <c r="W171" i="3"/>
  <c r="V171" i="3"/>
  <c r="U171" i="3"/>
  <c r="T171" i="3"/>
  <c r="S171" i="3"/>
  <c r="W162" i="3"/>
  <c r="V162" i="3"/>
  <c r="U162" i="3"/>
  <c r="T162" i="3"/>
  <c r="S162" i="3"/>
  <c r="Q152" i="3"/>
  <c r="Q151" i="3"/>
  <c r="O152" i="3"/>
  <c r="O151" i="3"/>
  <c r="M152" i="3"/>
  <c r="M151" i="3"/>
  <c r="K152" i="3"/>
  <c r="K151" i="3"/>
  <c r="I152" i="3"/>
  <c r="I151" i="3"/>
  <c r="G152" i="3"/>
  <c r="G151" i="3"/>
  <c r="E152" i="3"/>
  <c r="E151" i="3"/>
  <c r="C152" i="3"/>
  <c r="C151" i="3"/>
  <c r="CB154" i="3"/>
  <c r="CA154" i="3"/>
  <c r="CB153" i="3"/>
  <c r="CA153" i="3"/>
  <c r="CB152" i="3"/>
  <c r="CA152" i="3"/>
  <c r="CA151" i="3"/>
  <c r="CB151" i="3"/>
  <c r="BW154" i="3"/>
  <c r="BV154" i="3"/>
  <c r="BU154" i="3"/>
  <c r="BX153" i="3"/>
  <c r="BW153" i="3"/>
  <c r="BV153" i="3"/>
  <c r="BU153" i="3"/>
  <c r="BX152" i="3"/>
  <c r="BW152" i="3"/>
  <c r="BV152" i="3"/>
  <c r="BU152" i="3"/>
  <c r="BX151" i="3"/>
  <c r="BW151" i="3"/>
  <c r="BW155" i="3" s="1"/>
  <c r="BV151" i="3"/>
  <c r="BV155" i="3" s="1"/>
  <c r="BU151" i="3"/>
  <c r="BQ154" i="3"/>
  <c r="BP154" i="3"/>
  <c r="BO154" i="3"/>
  <c r="BQ153" i="3"/>
  <c r="BP153" i="3"/>
  <c r="BO153" i="3"/>
  <c r="BR152" i="3"/>
  <c r="BQ152" i="3"/>
  <c r="BP152" i="3"/>
  <c r="BO152" i="3"/>
  <c r="BR151" i="3"/>
  <c r="BQ151" i="3"/>
  <c r="BP151" i="3"/>
  <c r="BO151" i="3"/>
  <c r="BL154" i="3"/>
  <c r="BK154" i="3"/>
  <c r="BJ154" i="3"/>
  <c r="BI154" i="3"/>
  <c r="BK153" i="3"/>
  <c r="BJ153" i="3"/>
  <c r="BI153" i="3"/>
  <c r="BL152" i="3"/>
  <c r="BK152" i="3"/>
  <c r="BJ152" i="3"/>
  <c r="BI152" i="3"/>
  <c r="BL151" i="3"/>
  <c r="BK151" i="3"/>
  <c r="BJ151" i="3"/>
  <c r="BI151" i="3"/>
  <c r="BF154" i="3"/>
  <c r="BE154" i="3"/>
  <c r="BD154" i="3"/>
  <c r="BC154" i="3"/>
  <c r="BF153" i="3"/>
  <c r="BE153" i="3"/>
  <c r="BD153" i="3"/>
  <c r="BC153" i="3"/>
  <c r="BF152" i="3"/>
  <c r="BE152" i="3"/>
  <c r="BD152" i="3"/>
  <c r="BC152" i="3"/>
  <c r="BF151" i="3"/>
  <c r="BF155" i="3" s="1"/>
  <c r="BE151" i="3"/>
  <c r="BE155" i="3" s="1"/>
  <c r="BD151" i="3"/>
  <c r="BD155" i="3" s="1"/>
  <c r="BC151" i="3"/>
  <c r="BC155" i="3" s="1"/>
  <c r="AY154" i="3"/>
  <c r="AX154" i="3"/>
  <c r="AW154" i="3"/>
  <c r="AY153" i="3"/>
  <c r="AX153" i="3"/>
  <c r="AW153" i="3"/>
  <c r="AZ152" i="3"/>
  <c r="AY152" i="3"/>
  <c r="AX152" i="3"/>
  <c r="AW152" i="3"/>
  <c r="AW151" i="3"/>
  <c r="AZ151" i="3"/>
  <c r="AY151" i="3"/>
  <c r="AX151" i="3"/>
  <c r="AS154" i="3"/>
  <c r="AR154" i="3"/>
  <c r="AQ154" i="3"/>
  <c r="AS153" i="3"/>
  <c r="AR153" i="3"/>
  <c r="AQ153" i="3"/>
  <c r="AT152" i="3"/>
  <c r="AS152" i="3"/>
  <c r="AR152" i="3"/>
  <c r="AQ152" i="3"/>
  <c r="AT151" i="3"/>
  <c r="AS151" i="3"/>
  <c r="AR151" i="3"/>
  <c r="AQ151" i="3"/>
  <c r="AM154" i="3"/>
  <c r="AL154" i="3"/>
  <c r="AK154" i="3"/>
  <c r="AM153" i="3"/>
  <c r="AL153" i="3"/>
  <c r="AK153" i="3"/>
  <c r="AN152" i="3"/>
  <c r="AM152" i="3"/>
  <c r="AL152" i="3"/>
  <c r="AK152" i="3"/>
  <c r="AN151" i="3"/>
  <c r="AM151" i="3"/>
  <c r="AL151" i="3"/>
  <c r="AK151" i="3"/>
  <c r="AG153" i="3"/>
  <c r="AF153" i="3"/>
  <c r="AE153" i="3"/>
  <c r="AH152" i="3"/>
  <c r="AG152" i="3"/>
  <c r="AF152" i="3"/>
  <c r="AE152" i="3"/>
  <c r="AH151" i="3"/>
  <c r="AG151" i="3"/>
  <c r="AF151" i="3"/>
  <c r="AE151" i="3"/>
  <c r="AA154" i="3"/>
  <c r="Z154" i="3"/>
  <c r="Y154" i="3"/>
  <c r="AB153" i="3"/>
  <c r="AB152" i="3"/>
  <c r="AA152" i="3"/>
  <c r="Z152" i="3"/>
  <c r="Y152" i="3"/>
  <c r="AB151" i="3"/>
  <c r="AA151" i="3"/>
  <c r="Z151" i="3"/>
  <c r="Y151" i="3"/>
  <c r="U154" i="3"/>
  <c r="T154" i="3"/>
  <c r="S154" i="3"/>
  <c r="V152" i="3"/>
  <c r="U152" i="3"/>
  <c r="T152" i="3"/>
  <c r="S152" i="3"/>
  <c r="V151" i="3"/>
  <c r="U151" i="3"/>
  <c r="T151" i="3"/>
  <c r="S151" i="3"/>
  <c r="Q148" i="3"/>
  <c r="Q146" i="3"/>
  <c r="Q144" i="3"/>
  <c r="Q143" i="3"/>
  <c r="O148" i="3"/>
  <c r="O146" i="3"/>
  <c r="O144" i="3"/>
  <c r="O143" i="3"/>
  <c r="O139" i="3"/>
  <c r="M148" i="3"/>
  <c r="M146" i="3"/>
  <c r="M144" i="3"/>
  <c r="M143" i="3"/>
  <c r="K146" i="3"/>
  <c r="K145" i="3"/>
  <c r="K144" i="3"/>
  <c r="K143" i="3"/>
  <c r="I148" i="3"/>
  <c r="I147" i="3"/>
  <c r="I146" i="3"/>
  <c r="I145" i="3"/>
  <c r="I144" i="3"/>
  <c r="I143" i="3"/>
  <c r="G148" i="3"/>
  <c r="G147" i="3"/>
  <c r="G146" i="3"/>
  <c r="G144" i="3"/>
  <c r="G143" i="3"/>
  <c r="G139" i="3"/>
  <c r="E148" i="3"/>
  <c r="E147" i="3"/>
  <c r="E146" i="3"/>
  <c r="E144" i="3"/>
  <c r="E143" i="3"/>
  <c r="C148" i="3"/>
  <c r="C147" i="3"/>
  <c r="C146" i="3"/>
  <c r="C144" i="3"/>
  <c r="C143" i="3"/>
  <c r="C139" i="3"/>
  <c r="CB148" i="3"/>
  <c r="CA148" i="3"/>
  <c r="CB146" i="3"/>
  <c r="CA146" i="3"/>
  <c r="CB145" i="3"/>
  <c r="CA145" i="3"/>
  <c r="CB144" i="3"/>
  <c r="CA144" i="3"/>
  <c r="CB143" i="3"/>
  <c r="CA143" i="3"/>
  <c r="BX148" i="3"/>
  <c r="BW148" i="3"/>
  <c r="BV148" i="3"/>
  <c r="BU148" i="3"/>
  <c r="BX146" i="3"/>
  <c r="BW146" i="3"/>
  <c r="BV146" i="3"/>
  <c r="BU146" i="3"/>
  <c r="BX145" i="3"/>
  <c r="BW145" i="3"/>
  <c r="BV145" i="3"/>
  <c r="BU145" i="3"/>
  <c r="BX144" i="3"/>
  <c r="BW144" i="3"/>
  <c r="BV144" i="3"/>
  <c r="BU144" i="3"/>
  <c r="BX143" i="3"/>
  <c r="BW143" i="3"/>
  <c r="BV143" i="3"/>
  <c r="BU143" i="3"/>
  <c r="BR148" i="3"/>
  <c r="BQ148" i="3"/>
  <c r="BP148" i="3"/>
  <c r="BO148" i="3"/>
  <c r="BR146" i="3"/>
  <c r="BQ146" i="3"/>
  <c r="BP146" i="3"/>
  <c r="BO146" i="3"/>
  <c r="BQ145" i="3"/>
  <c r="BP145" i="3"/>
  <c r="BO145" i="3"/>
  <c r="BR144" i="3"/>
  <c r="BQ144" i="3"/>
  <c r="BP144" i="3"/>
  <c r="BO144" i="3"/>
  <c r="BR143" i="3"/>
  <c r="BQ143" i="3"/>
  <c r="BP143" i="3"/>
  <c r="BO143" i="3"/>
  <c r="BL148" i="3"/>
  <c r="BK148" i="3"/>
  <c r="BJ148" i="3"/>
  <c r="BI148" i="3"/>
  <c r="BL146" i="3"/>
  <c r="BK146" i="3"/>
  <c r="BJ146" i="3"/>
  <c r="BI146" i="3"/>
  <c r="BK145" i="3"/>
  <c r="BJ145" i="3"/>
  <c r="BI145" i="3"/>
  <c r="BL144" i="3"/>
  <c r="BK144" i="3"/>
  <c r="BJ144" i="3"/>
  <c r="BI144" i="3"/>
  <c r="BL143" i="3"/>
  <c r="BK143" i="3"/>
  <c r="BJ143" i="3"/>
  <c r="BI143" i="3"/>
  <c r="BF148" i="3"/>
  <c r="BE148" i="3"/>
  <c r="BD148" i="3"/>
  <c r="BC148" i="3"/>
  <c r="BF146" i="3"/>
  <c r="BE146" i="3"/>
  <c r="BD146" i="3"/>
  <c r="BC146" i="3"/>
  <c r="BF145" i="3"/>
  <c r="BE145" i="3"/>
  <c r="BD145" i="3"/>
  <c r="BC145" i="3"/>
  <c r="BF144" i="3"/>
  <c r="BE144" i="3"/>
  <c r="BD144" i="3"/>
  <c r="BC144" i="3"/>
  <c r="BF143" i="3"/>
  <c r="BE143" i="3"/>
  <c r="BD143" i="3"/>
  <c r="BC143" i="3"/>
  <c r="AZ148" i="3"/>
  <c r="AY148" i="3"/>
  <c r="AX148" i="3"/>
  <c r="AW148" i="3"/>
  <c r="AZ146" i="3"/>
  <c r="AY146" i="3"/>
  <c r="AX146" i="3"/>
  <c r="AW146" i="3"/>
  <c r="AY145" i="3"/>
  <c r="AX145" i="3"/>
  <c r="AW145" i="3"/>
  <c r="AZ144" i="3"/>
  <c r="AY144" i="3"/>
  <c r="AX144" i="3"/>
  <c r="AW144" i="3"/>
  <c r="AZ143" i="3"/>
  <c r="AY143" i="3"/>
  <c r="AX143" i="3"/>
  <c r="AW143" i="3"/>
  <c r="AT148" i="3"/>
  <c r="AS148" i="3"/>
  <c r="AR148" i="3"/>
  <c r="AQ148" i="3"/>
  <c r="AT146" i="3"/>
  <c r="AS146" i="3"/>
  <c r="AR146" i="3"/>
  <c r="AQ146" i="3"/>
  <c r="AS145" i="3"/>
  <c r="AR145" i="3"/>
  <c r="AQ145" i="3"/>
  <c r="AT144" i="3"/>
  <c r="AS144" i="3"/>
  <c r="AR144" i="3"/>
  <c r="AQ144" i="3"/>
  <c r="AT143" i="3"/>
  <c r="AS143" i="3"/>
  <c r="AR143" i="3"/>
  <c r="AQ143" i="3"/>
  <c r="AN148" i="3"/>
  <c r="AM148" i="3"/>
  <c r="AL148" i="3"/>
  <c r="AK148" i="3"/>
  <c r="AN146" i="3"/>
  <c r="AM146" i="3"/>
  <c r="AL146" i="3"/>
  <c r="AK146" i="3"/>
  <c r="AM145" i="3"/>
  <c r="AL145" i="3"/>
  <c r="AK145" i="3"/>
  <c r="AN144" i="3"/>
  <c r="AM144" i="3"/>
  <c r="AL144" i="3"/>
  <c r="AK144" i="3"/>
  <c r="AN143" i="3"/>
  <c r="AM143" i="3"/>
  <c r="AL143" i="3"/>
  <c r="AK143" i="3"/>
  <c r="AH148" i="3"/>
  <c r="AG148" i="3"/>
  <c r="AF148" i="3"/>
  <c r="AE148" i="3"/>
  <c r="AH146" i="3"/>
  <c r="AG146" i="3"/>
  <c r="AF146" i="3"/>
  <c r="AE146" i="3"/>
  <c r="AG145" i="3"/>
  <c r="AF145" i="3"/>
  <c r="AE145" i="3"/>
  <c r="AH144" i="3"/>
  <c r="AG144" i="3"/>
  <c r="AF144" i="3"/>
  <c r="AE144" i="3"/>
  <c r="AH143" i="3"/>
  <c r="AG143" i="3"/>
  <c r="AF143" i="3"/>
  <c r="AE143" i="3"/>
  <c r="AB148" i="3"/>
  <c r="AA148" i="3"/>
  <c r="Z148" i="3"/>
  <c r="Y148" i="3"/>
  <c r="AB147" i="3"/>
  <c r="AB146" i="3"/>
  <c r="AA146" i="3"/>
  <c r="Z146" i="3"/>
  <c r="Y146" i="3"/>
  <c r="AB145" i="3"/>
  <c r="AB144" i="3"/>
  <c r="AA144" i="3"/>
  <c r="Z144" i="3"/>
  <c r="Y144" i="3"/>
  <c r="AB143" i="3"/>
  <c r="AA143" i="3"/>
  <c r="Z143" i="3"/>
  <c r="Y143" i="3"/>
  <c r="V148" i="3"/>
  <c r="U148" i="3"/>
  <c r="T148" i="3"/>
  <c r="S148" i="3"/>
  <c r="V146" i="3"/>
  <c r="U146" i="3"/>
  <c r="T146" i="3"/>
  <c r="S146" i="3"/>
  <c r="V144" i="3"/>
  <c r="U144" i="3"/>
  <c r="T144" i="3"/>
  <c r="S144" i="3"/>
  <c r="V143" i="3"/>
  <c r="U143" i="3"/>
  <c r="T143" i="3"/>
  <c r="S143" i="3"/>
  <c r="CP133" i="3"/>
  <c r="CP102" i="3" s="1"/>
  <c r="CO133" i="3"/>
  <c r="CO102" i="3" s="1"/>
  <c r="CN133" i="3"/>
  <c r="CN102" i="3" s="1"/>
  <c r="CM133" i="3"/>
  <c r="CM102" i="3" s="1"/>
  <c r="CB127" i="3"/>
  <c r="CC124" i="3" s="1"/>
  <c r="CA127" i="3"/>
  <c r="CB124" i="3" s="1"/>
  <c r="Q127" i="3"/>
  <c r="S124" i="3" s="1"/>
  <c r="O127" i="3"/>
  <c r="Q124" i="3" s="1"/>
  <c r="O125" i="3"/>
  <c r="M127" i="3"/>
  <c r="O124" i="3" s="1"/>
  <c r="M125" i="3"/>
  <c r="K125" i="3"/>
  <c r="I127" i="3"/>
  <c r="K124" i="3" s="1"/>
  <c r="I125" i="3"/>
  <c r="G127" i="3"/>
  <c r="I124" i="3" s="1"/>
  <c r="G125" i="3"/>
  <c r="E127" i="3"/>
  <c r="G124" i="3" s="1"/>
  <c r="E125" i="3"/>
  <c r="C127" i="3"/>
  <c r="E124" i="3" s="1"/>
  <c r="CQ126" i="3"/>
  <c r="CP125" i="3"/>
  <c r="CO125" i="3"/>
  <c r="CN125" i="3"/>
  <c r="CM125" i="3"/>
  <c r="CA125" i="3"/>
  <c r="BX127" i="3"/>
  <c r="BW127" i="3"/>
  <c r="BX124" i="3" s="1"/>
  <c r="BV127" i="3"/>
  <c r="BU127" i="3"/>
  <c r="BV124" i="3" s="1"/>
  <c r="BU125" i="3"/>
  <c r="BR127" i="3"/>
  <c r="BQ127" i="3"/>
  <c r="BR124" i="3" s="1"/>
  <c r="BP127" i="3"/>
  <c r="BQ124" i="3" s="1"/>
  <c r="BO127" i="3"/>
  <c r="BP124" i="3" s="1"/>
  <c r="BO125" i="3"/>
  <c r="BL127" i="3"/>
  <c r="BK127" i="3"/>
  <c r="BL124" i="3" s="1"/>
  <c r="BJ127" i="3"/>
  <c r="BK124" i="3" s="1"/>
  <c r="BI127" i="3"/>
  <c r="BJ124" i="3" s="1"/>
  <c r="BL125" i="3"/>
  <c r="BK125" i="3"/>
  <c r="BF127" i="3"/>
  <c r="BE127" i="3"/>
  <c r="BF124" i="3" s="1"/>
  <c r="BD127" i="3"/>
  <c r="BE124" i="3" s="1"/>
  <c r="BC127" i="3"/>
  <c r="BD124" i="3" s="1"/>
  <c r="AZ127" i="3"/>
  <c r="AY127" i="3"/>
  <c r="AZ124" i="3" s="1"/>
  <c r="AX127" i="3"/>
  <c r="AY124" i="3" s="1"/>
  <c r="AW127" i="3"/>
  <c r="AX124" i="3" s="1"/>
  <c r="AW125" i="3"/>
  <c r="AT127" i="3"/>
  <c r="AS127" i="3"/>
  <c r="AT124" i="3" s="1"/>
  <c r="AR127" i="3"/>
  <c r="AS124" i="3" s="1"/>
  <c r="AQ127" i="3"/>
  <c r="AR124" i="3" s="1"/>
  <c r="AQ125" i="3"/>
  <c r="AN127" i="3"/>
  <c r="AM127" i="3"/>
  <c r="AN124" i="3" s="1"/>
  <c r="AL127" i="3"/>
  <c r="AM124" i="3" s="1"/>
  <c r="AK127" i="3"/>
  <c r="AL124" i="3" s="1"/>
  <c r="AK125" i="3"/>
  <c r="AH127" i="3"/>
  <c r="AG127" i="3"/>
  <c r="AH124" i="3" s="1"/>
  <c r="AF127" i="3"/>
  <c r="AG124" i="3" s="1"/>
  <c r="AE127" i="3"/>
  <c r="AF124" i="3" s="1"/>
  <c r="AE125" i="3"/>
  <c r="AB127" i="3"/>
  <c r="AA127" i="3"/>
  <c r="AB124" i="3" s="1"/>
  <c r="Z127" i="3"/>
  <c r="AA124" i="3" s="1"/>
  <c r="Y127" i="3"/>
  <c r="Z124" i="3" s="1"/>
  <c r="Y125" i="3"/>
  <c r="V127" i="3"/>
  <c r="U127" i="3"/>
  <c r="V124" i="3" s="1"/>
  <c r="T127" i="3"/>
  <c r="U124" i="3" s="1"/>
  <c r="S127" i="3"/>
  <c r="T124" i="3" s="1"/>
  <c r="S125" i="3"/>
  <c r="CB122" i="3"/>
  <c r="CC117" i="3" s="1"/>
  <c r="CA122" i="3"/>
  <c r="CB117" i="3" s="1"/>
  <c r="Q122" i="3"/>
  <c r="Q119" i="3"/>
  <c r="Q118" i="3"/>
  <c r="Q125" i="3" s="1"/>
  <c r="O122" i="3"/>
  <c r="Q117" i="3" s="1"/>
  <c r="O119" i="3"/>
  <c r="M122" i="3"/>
  <c r="O117" i="3" s="1"/>
  <c r="M119" i="3"/>
  <c r="K122" i="3"/>
  <c r="M117" i="3" s="1"/>
  <c r="K119" i="3"/>
  <c r="I122" i="3"/>
  <c r="K117" i="3" s="1"/>
  <c r="I119" i="3"/>
  <c r="G122" i="3"/>
  <c r="I117" i="3" s="1"/>
  <c r="CQ121" i="3"/>
  <c r="CA119" i="3"/>
  <c r="BX122" i="3"/>
  <c r="BW122" i="3"/>
  <c r="BX117" i="3" s="1"/>
  <c r="BV122" i="3"/>
  <c r="BW117" i="3" s="1"/>
  <c r="BU122" i="3"/>
  <c r="BV117" i="3" s="1"/>
  <c r="BU119" i="3"/>
  <c r="BR122" i="3"/>
  <c r="BQ122" i="3"/>
  <c r="BR117" i="3" s="1"/>
  <c r="BP122" i="3"/>
  <c r="BQ117" i="3" s="1"/>
  <c r="BO122" i="3"/>
  <c r="BP117" i="3" s="1"/>
  <c r="BO119" i="3"/>
  <c r="BL122" i="3"/>
  <c r="BK122" i="3"/>
  <c r="BL117" i="3" s="1"/>
  <c r="BJ122" i="3"/>
  <c r="BK117" i="3" s="1"/>
  <c r="BI122" i="3"/>
  <c r="BJ117" i="3" s="1"/>
  <c r="BL119" i="3"/>
  <c r="BK119" i="3"/>
  <c r="BI119" i="3"/>
  <c r="BF122" i="3"/>
  <c r="BE122" i="3"/>
  <c r="BF117" i="3" s="1"/>
  <c r="BD122" i="3"/>
  <c r="BE117" i="3" s="1"/>
  <c r="BC122" i="3"/>
  <c r="BD117" i="3" s="1"/>
  <c r="BC119" i="3"/>
  <c r="AZ122" i="3"/>
  <c r="AY122" i="3"/>
  <c r="AZ117" i="3" s="1"/>
  <c r="AX122" i="3"/>
  <c r="AY117" i="3" s="1"/>
  <c r="AW122" i="3"/>
  <c r="AX117" i="3" s="1"/>
  <c r="AW119" i="3"/>
  <c r="AT122" i="3"/>
  <c r="AS122" i="3"/>
  <c r="AT117" i="3" s="1"/>
  <c r="AR122" i="3"/>
  <c r="AS117" i="3" s="1"/>
  <c r="AQ122" i="3"/>
  <c r="AR117" i="3" s="1"/>
  <c r="AQ119" i="3"/>
  <c r="AN122" i="3"/>
  <c r="AM122" i="3"/>
  <c r="AN117" i="3" s="1"/>
  <c r="AL122" i="3"/>
  <c r="AM117" i="3" s="1"/>
  <c r="AK122" i="3"/>
  <c r="AL117" i="3" s="1"/>
  <c r="AK119" i="3"/>
  <c r="AH122" i="3"/>
  <c r="AG122" i="3"/>
  <c r="AH117" i="3" s="1"/>
  <c r="AF122" i="3"/>
  <c r="AG117" i="3" s="1"/>
  <c r="AG119" i="3"/>
  <c r="AE122" i="3"/>
  <c r="AF117" i="3" s="1"/>
  <c r="AF119" i="3"/>
  <c r="AE119" i="3"/>
  <c r="AB122" i="3"/>
  <c r="AA122" i="3"/>
  <c r="AB117" i="3" s="1"/>
  <c r="Z122" i="3"/>
  <c r="AA117" i="3" s="1"/>
  <c r="Y122" i="3"/>
  <c r="Z117" i="3" s="1"/>
  <c r="V122" i="3"/>
  <c r="U122" i="3"/>
  <c r="V117" i="3" s="1"/>
  <c r="T122" i="3"/>
  <c r="U117" i="3" s="1"/>
  <c r="S122" i="3"/>
  <c r="T117" i="3" s="1"/>
  <c r="U119" i="3"/>
  <c r="T119" i="3"/>
  <c r="S119" i="3"/>
  <c r="BY118" i="3"/>
  <c r="BS118" i="3"/>
  <c r="BI118" i="3"/>
  <c r="BM118" i="3" s="1"/>
  <c r="BC118" i="3"/>
  <c r="BG118" i="3" s="1"/>
  <c r="AX118" i="3"/>
  <c r="AR118" i="3"/>
  <c r="AO118" i="3"/>
  <c r="AI118" i="3"/>
  <c r="AC118" i="3"/>
  <c r="W118" i="3"/>
  <c r="CP118" i="3"/>
  <c r="CO118" i="3"/>
  <c r="CN118" i="3"/>
  <c r="CM118" i="3"/>
  <c r="AZ118" i="3"/>
  <c r="AT118" i="3"/>
  <c r="CB112" i="3"/>
  <c r="CA112" i="3"/>
  <c r="BX112" i="3"/>
  <c r="BW112" i="3"/>
  <c r="BV112" i="3"/>
  <c r="BU112" i="3"/>
  <c r="BR112" i="3"/>
  <c r="BQ112" i="3"/>
  <c r="BP112" i="3"/>
  <c r="BO112" i="3"/>
  <c r="BL112" i="3"/>
  <c r="BK112" i="3"/>
  <c r="BJ112" i="3"/>
  <c r="BI112" i="3"/>
  <c r="BF112" i="3"/>
  <c r="BE112" i="3"/>
  <c r="BD112" i="3"/>
  <c r="BC112" i="3"/>
  <c r="AZ112" i="3"/>
  <c r="AY112" i="3"/>
  <c r="AX112" i="3"/>
  <c r="AW112" i="3"/>
  <c r="AT112" i="3"/>
  <c r="AS112" i="3"/>
  <c r="AR112" i="3"/>
  <c r="AQ112" i="3"/>
  <c r="AN112" i="3"/>
  <c r="AM112" i="3"/>
  <c r="AL112" i="3"/>
  <c r="AK112" i="3"/>
  <c r="AH112" i="3"/>
  <c r="AG112" i="3"/>
  <c r="AF112" i="3"/>
  <c r="AE112" i="3"/>
  <c r="AB112" i="3"/>
  <c r="AA112" i="3"/>
  <c r="Z112" i="3"/>
  <c r="Y112" i="3"/>
  <c r="V112" i="3"/>
  <c r="U112" i="3"/>
  <c r="T112" i="3"/>
  <c r="S112" i="3"/>
  <c r="Q112" i="3"/>
  <c r="O112" i="3"/>
  <c r="M112" i="3"/>
  <c r="K112" i="3"/>
  <c r="I112" i="3"/>
  <c r="G112" i="3"/>
  <c r="E112" i="3"/>
  <c r="C112" i="3"/>
  <c r="W106" i="3"/>
  <c r="CQ109" i="3"/>
  <c r="Q106" i="3"/>
  <c r="O106" i="3"/>
  <c r="M106" i="3"/>
  <c r="K106" i="3"/>
  <c r="I106" i="3"/>
  <c r="G107" i="3"/>
  <c r="G115" i="3" s="1"/>
  <c r="G106" i="3"/>
  <c r="E107" i="3"/>
  <c r="E115" i="3" s="1"/>
  <c r="E106" i="3"/>
  <c r="C107" i="3"/>
  <c r="C114" i="3" s="1"/>
  <c r="CN108" i="3"/>
  <c r="CO108" i="3" s="1"/>
  <c r="CP108" i="3" s="1"/>
  <c r="S106" i="3"/>
  <c r="CQ103" i="3"/>
  <c r="Q100" i="3"/>
  <c r="Q99" i="3"/>
  <c r="O100" i="3"/>
  <c r="O99" i="3"/>
  <c r="M100" i="3"/>
  <c r="M99" i="3"/>
  <c r="K100" i="3"/>
  <c r="K99" i="3"/>
  <c r="I100" i="3"/>
  <c r="I99" i="3"/>
  <c r="G100" i="3"/>
  <c r="G99" i="3"/>
  <c r="E100" i="3"/>
  <c r="E99" i="3"/>
  <c r="C100" i="3"/>
  <c r="Q92" i="3"/>
  <c r="O92" i="3"/>
  <c r="M92" i="3"/>
  <c r="K92" i="3"/>
  <c r="I92" i="3"/>
  <c r="G92" i="3"/>
  <c r="E92" i="3"/>
  <c r="CQ93" i="3"/>
  <c r="CQ91" i="3"/>
  <c r="CK91" i="3"/>
  <c r="CB92" i="3"/>
  <c r="BX92" i="3"/>
  <c r="BW92" i="3"/>
  <c r="BV92" i="3"/>
  <c r="BR92" i="3"/>
  <c r="BQ92" i="3"/>
  <c r="BP92" i="3"/>
  <c r="BL92" i="3"/>
  <c r="BK92" i="3"/>
  <c r="BJ92" i="3"/>
  <c r="BF92" i="3"/>
  <c r="BE92" i="3"/>
  <c r="BD92" i="3"/>
  <c r="BY91" i="3"/>
  <c r="BS91" i="3"/>
  <c r="BM91" i="3"/>
  <c r="BG91" i="3"/>
  <c r="BA91" i="3"/>
  <c r="AU91" i="3"/>
  <c r="AO91" i="3"/>
  <c r="AI91" i="3"/>
  <c r="AC91" i="3"/>
  <c r="W91" i="3"/>
  <c r="Q89" i="3"/>
  <c r="O89" i="3"/>
  <c r="M89" i="3"/>
  <c r="K89" i="3"/>
  <c r="I89" i="3"/>
  <c r="G89" i="3"/>
  <c r="E89" i="3"/>
  <c r="I49" i="3"/>
  <c r="I50" i="3" s="1"/>
  <c r="G49" i="3"/>
  <c r="G50" i="3" s="1"/>
  <c r="G61" i="3" s="1"/>
  <c r="E49" i="3"/>
  <c r="E50" i="3" s="1"/>
  <c r="E51" i="3" s="1"/>
  <c r="C49" i="3"/>
  <c r="C50" i="3" s="1"/>
  <c r="C51" i="3" s="1"/>
  <c r="CB49" i="3"/>
  <c r="CA49" i="3"/>
  <c r="BX49" i="3"/>
  <c r="BW49" i="3"/>
  <c r="BV49" i="3"/>
  <c r="BU49" i="3"/>
  <c r="BR49" i="3"/>
  <c r="BQ49" i="3"/>
  <c r="BP49" i="3"/>
  <c r="BO49" i="3"/>
  <c r="BL49" i="3"/>
  <c r="BK49" i="3"/>
  <c r="BJ49" i="3"/>
  <c r="BI49" i="3"/>
  <c r="BF49" i="3"/>
  <c r="BF185" i="3" s="1"/>
  <c r="BE49" i="3"/>
  <c r="BD49" i="3"/>
  <c r="BC49" i="3"/>
  <c r="AZ49" i="3"/>
  <c r="AS49" i="3"/>
  <c r="AR49" i="3"/>
  <c r="AG49" i="3"/>
  <c r="AF49" i="3"/>
  <c r="AE49" i="3"/>
  <c r="AA49" i="3"/>
  <c r="Z49" i="3"/>
  <c r="Y49" i="3"/>
  <c r="U49" i="3"/>
  <c r="U50" i="3" s="1"/>
  <c r="U51" i="3" s="1"/>
  <c r="T49" i="3"/>
  <c r="T50" i="3" s="1"/>
  <c r="S49" i="3"/>
  <c r="S50" i="3" s="1"/>
  <c r="BY41" i="3"/>
  <c r="BY190" i="3" s="1"/>
  <c r="BY39" i="3"/>
  <c r="CA92" i="3" s="1"/>
  <c r="BY37" i="3"/>
  <c r="BY36" i="3"/>
  <c r="BY35" i="3"/>
  <c r="BS41" i="3"/>
  <c r="BS190" i="3" s="1"/>
  <c r="BS39" i="3"/>
  <c r="BU92" i="3" s="1"/>
  <c r="BS37" i="3"/>
  <c r="BS36" i="3"/>
  <c r="BS35" i="3"/>
  <c r="BM41" i="3"/>
  <c r="BM190" i="3" s="1"/>
  <c r="BM39" i="3"/>
  <c r="BO92" i="3" s="1"/>
  <c r="BM37" i="3"/>
  <c r="BM36" i="3"/>
  <c r="BM35" i="3"/>
  <c r="BG41" i="3"/>
  <c r="BG190" i="3" s="1"/>
  <c r="BG39" i="3"/>
  <c r="BI92" i="3" s="1"/>
  <c r="BG36" i="3"/>
  <c r="BG35" i="3"/>
  <c r="BA41" i="3"/>
  <c r="BA190" i="3" s="1"/>
  <c r="BA39" i="3"/>
  <c r="BC92" i="3" s="1"/>
  <c r="BA38" i="3"/>
  <c r="BA37" i="3"/>
  <c r="BA36" i="3"/>
  <c r="BA35" i="3"/>
  <c r="AU41" i="3"/>
  <c r="AU190" i="3" s="1"/>
  <c r="AU39" i="3"/>
  <c r="AW39" i="3" s="1"/>
  <c r="AU38" i="3"/>
  <c r="AU37" i="3"/>
  <c r="AU36" i="3"/>
  <c r="AU35" i="3"/>
  <c r="AO41" i="3"/>
  <c r="AO190" i="3" s="1"/>
  <c r="AO39" i="3"/>
  <c r="AQ39" i="3" s="1"/>
  <c r="AO38" i="3"/>
  <c r="AO37" i="3"/>
  <c r="AO36" i="3"/>
  <c r="AO35" i="3"/>
  <c r="AI41" i="3"/>
  <c r="AI190" i="3" s="1"/>
  <c r="AI39" i="3"/>
  <c r="AK39" i="3" s="1"/>
  <c r="AK92" i="3" s="1"/>
  <c r="AI38" i="3"/>
  <c r="AI37" i="3"/>
  <c r="AI36" i="3"/>
  <c r="AI35" i="3"/>
  <c r="AC41" i="3"/>
  <c r="AC190" i="3" s="1"/>
  <c r="AC39" i="3"/>
  <c r="AE39" i="3" s="1"/>
  <c r="AC38" i="3"/>
  <c r="AC37" i="3"/>
  <c r="AC36" i="3"/>
  <c r="AC35" i="3"/>
  <c r="W41" i="3"/>
  <c r="W39" i="3"/>
  <c r="Y39" i="3" s="1"/>
  <c r="Y92" i="3" s="1"/>
  <c r="W38" i="3"/>
  <c r="W37" i="3"/>
  <c r="W36" i="3"/>
  <c r="W35" i="3"/>
  <c r="AZ40" i="3"/>
  <c r="AZ42" i="3" s="1"/>
  <c r="AT40" i="3"/>
  <c r="AT42" i="3" s="1"/>
  <c r="AN40" i="3"/>
  <c r="AN42" i="3" s="1"/>
  <c r="AN192" i="3" s="1"/>
  <c r="AH40" i="3"/>
  <c r="AH42" i="3" s="1"/>
  <c r="AB40" i="3"/>
  <c r="AB42" i="3" s="1"/>
  <c r="V40" i="3"/>
  <c r="V42" i="3" s="1"/>
  <c r="V23" i="3"/>
  <c r="Q40" i="3"/>
  <c r="Q42" i="3" s="1"/>
  <c r="O40" i="3"/>
  <c r="O42" i="3" s="1"/>
  <c r="M40" i="3"/>
  <c r="M42" i="3" s="1"/>
  <c r="K40" i="3"/>
  <c r="K42" i="3" s="1"/>
  <c r="I40" i="3"/>
  <c r="I42" i="3" s="1"/>
  <c r="G40" i="3"/>
  <c r="G42" i="3" s="1"/>
  <c r="G62" i="3" s="1"/>
  <c r="E40" i="3"/>
  <c r="E42" i="3" s="1"/>
  <c r="C40" i="3"/>
  <c r="BE37" i="3"/>
  <c r="BE40" i="3" s="1"/>
  <c r="BE42" i="3" s="1"/>
  <c r="BE192" i="3" s="1"/>
  <c r="BD37" i="3"/>
  <c r="BD40" i="3" s="1"/>
  <c r="BD42" i="3" s="1"/>
  <c r="BD192" i="3" s="1"/>
  <c r="S39" i="3"/>
  <c r="S92" i="3" s="1"/>
  <c r="CE41" i="3"/>
  <c r="CE39" i="3"/>
  <c r="CE36" i="3"/>
  <c r="CE35" i="3"/>
  <c r="CK35" i="3" s="1"/>
  <c r="CM35" i="3" s="1"/>
  <c r="CN35" i="3" s="1"/>
  <c r="CO35" i="3" s="1"/>
  <c r="CP35" i="3" s="1"/>
  <c r="CQ35" i="3" s="1"/>
  <c r="CS35" i="3" s="1"/>
  <c r="CT35" i="3" s="1"/>
  <c r="CU35" i="3" s="1"/>
  <c r="CV35" i="3" s="1"/>
  <c r="CW35" i="3" s="1"/>
  <c r="CY35" i="3" s="1"/>
  <c r="CZ35" i="3" s="1"/>
  <c r="DA35" i="3" s="1"/>
  <c r="DB35" i="3" s="1"/>
  <c r="DC35" i="3" s="1"/>
  <c r="DE35" i="3" s="1"/>
  <c r="DF35" i="3" s="1"/>
  <c r="DG35" i="3" s="1"/>
  <c r="DH35" i="3" s="1"/>
  <c r="DI35" i="3" s="1"/>
  <c r="BY32" i="3"/>
  <c r="BY191" i="3" s="1"/>
  <c r="BY29" i="3"/>
  <c r="BS32" i="3"/>
  <c r="BS191" i="3" s="1"/>
  <c r="BS29" i="3"/>
  <c r="BM32" i="3"/>
  <c r="BM30" i="3"/>
  <c r="BM29" i="3"/>
  <c r="BG32" i="3"/>
  <c r="BG191" i="3" s="1"/>
  <c r="BG30" i="3"/>
  <c r="BG29" i="3"/>
  <c r="BA32" i="3"/>
  <c r="BA191" i="3" s="1"/>
  <c r="BA29" i="3"/>
  <c r="AU32" i="3"/>
  <c r="AU191" i="3" s="1"/>
  <c r="AU29" i="3"/>
  <c r="AO32" i="3"/>
  <c r="AO191" i="3" s="1"/>
  <c r="AO29" i="3"/>
  <c r="AI32" i="3"/>
  <c r="AI191" i="3" s="1"/>
  <c r="AI29" i="3"/>
  <c r="AC32" i="3"/>
  <c r="AC191" i="3" s="1"/>
  <c r="AC29" i="3"/>
  <c r="W32" i="3"/>
  <c r="W29" i="3"/>
  <c r="Q30" i="3"/>
  <c r="Q154" i="3" s="1"/>
  <c r="O30" i="3"/>
  <c r="O154" i="3" s="1"/>
  <c r="M30" i="3"/>
  <c r="M154" i="3" s="1"/>
  <c r="K30" i="3"/>
  <c r="K154" i="3" s="1"/>
  <c r="I30" i="3"/>
  <c r="I154" i="3" s="1"/>
  <c r="G30" i="3"/>
  <c r="G154" i="3" s="1"/>
  <c r="E30" i="3"/>
  <c r="E154" i="3" s="1"/>
  <c r="C30" i="3"/>
  <c r="C154" i="3" s="1"/>
  <c r="BX30" i="3"/>
  <c r="BX154" i="3" s="1"/>
  <c r="BR30" i="3"/>
  <c r="BR154" i="3" s="1"/>
  <c r="AZ30" i="3"/>
  <c r="AT30" i="3"/>
  <c r="AN30" i="3"/>
  <c r="AN154" i="3" s="1"/>
  <c r="AH30" i="3"/>
  <c r="AH154" i="3" s="1"/>
  <c r="AG30" i="3"/>
  <c r="AF30" i="3"/>
  <c r="AF154" i="3" s="1"/>
  <c r="AE30" i="3"/>
  <c r="AE154" i="3" s="1"/>
  <c r="AB30" i="3"/>
  <c r="V30" i="3"/>
  <c r="V154" i="3" s="1"/>
  <c r="CE32" i="3"/>
  <c r="CB27" i="3"/>
  <c r="CA27" i="3"/>
  <c r="BX27" i="3"/>
  <c r="BW27" i="3"/>
  <c r="BW67" i="3" s="1"/>
  <c r="BV27" i="3"/>
  <c r="BU27" i="3"/>
  <c r="BQ27" i="3"/>
  <c r="BP27" i="3"/>
  <c r="BP67" i="3" s="1"/>
  <c r="BO27" i="3"/>
  <c r="BK27" i="3"/>
  <c r="BK31" i="3" s="1"/>
  <c r="BJ27" i="3"/>
  <c r="BJ67" i="3" s="1"/>
  <c r="BI27" i="3"/>
  <c r="BF27" i="3"/>
  <c r="BE27" i="3"/>
  <c r="BD27" i="3"/>
  <c r="BC27" i="3"/>
  <c r="BC66" i="3" s="1"/>
  <c r="AS27" i="3"/>
  <c r="AR27" i="3"/>
  <c r="AG27" i="3"/>
  <c r="AF27" i="3"/>
  <c r="AE27" i="3"/>
  <c r="Q26" i="3"/>
  <c r="Q153" i="3" s="1"/>
  <c r="O26" i="3"/>
  <c r="O153" i="3" s="1"/>
  <c r="M26" i="3"/>
  <c r="M153" i="3" s="1"/>
  <c r="K26" i="3"/>
  <c r="K153" i="3" s="1"/>
  <c r="I26" i="3"/>
  <c r="I27" i="3" s="1"/>
  <c r="I67" i="3" s="1"/>
  <c r="G26" i="3"/>
  <c r="E26" i="3"/>
  <c r="E27" i="3" s="1"/>
  <c r="E66" i="3" s="1"/>
  <c r="C26" i="3"/>
  <c r="C27" i="3" s="1"/>
  <c r="BY26" i="3"/>
  <c r="BY153" i="3" s="1"/>
  <c r="BY25" i="3"/>
  <c r="BY152" i="3" s="1"/>
  <c r="BY24" i="3"/>
  <c r="BY151" i="3" s="1"/>
  <c r="BY23" i="3"/>
  <c r="BR26" i="3"/>
  <c r="BR27" i="3" s="1"/>
  <c r="BR66" i="3" s="1"/>
  <c r="BL26" i="3"/>
  <c r="BM26" i="3" s="1"/>
  <c r="BM153" i="3" s="1"/>
  <c r="BG26" i="3"/>
  <c r="BG153" i="3" s="1"/>
  <c r="BG25" i="3"/>
  <c r="BG152" i="3" s="1"/>
  <c r="BG24" i="3"/>
  <c r="BG23" i="3"/>
  <c r="AZ26" i="3"/>
  <c r="BA26" i="3" s="1"/>
  <c r="BA153" i="3" s="1"/>
  <c r="AT26" i="3"/>
  <c r="AU26" i="3" s="1"/>
  <c r="AU153" i="3" s="1"/>
  <c r="AN26" i="3"/>
  <c r="AH26" i="3"/>
  <c r="AI26" i="3" s="1"/>
  <c r="AI153" i="3" s="1"/>
  <c r="AC26" i="3"/>
  <c r="AC153" i="3" s="1"/>
  <c r="AC25" i="3"/>
  <c r="AC152" i="3" s="1"/>
  <c r="AC24" i="3"/>
  <c r="AA26" i="3"/>
  <c r="Z26" i="3"/>
  <c r="Z27" i="3" s="1"/>
  <c r="Y26" i="3"/>
  <c r="Y27" i="3" s="1"/>
  <c r="Y31" i="3" s="1"/>
  <c r="V26" i="3"/>
  <c r="U26" i="3"/>
  <c r="U153" i="3" s="1"/>
  <c r="T26" i="3"/>
  <c r="S26" i="3"/>
  <c r="S27" i="3" s="1"/>
  <c r="S66" i="3" s="1"/>
  <c r="BS25" i="3"/>
  <c r="BS152" i="3" s="1"/>
  <c r="BS24" i="3"/>
  <c r="BS23" i="3"/>
  <c r="BM25" i="3"/>
  <c r="BM152" i="3" s="1"/>
  <c r="BM24" i="3"/>
  <c r="BM151" i="3" s="1"/>
  <c r="BM23" i="3"/>
  <c r="BA25" i="3"/>
  <c r="BA24" i="3"/>
  <c r="BA23" i="3"/>
  <c r="AU25" i="3"/>
  <c r="AU152" i="3" s="1"/>
  <c r="AU24" i="3"/>
  <c r="AO25" i="3"/>
  <c r="AO152" i="3" s="1"/>
  <c r="AO24" i="3"/>
  <c r="AO151" i="3" s="1"/>
  <c r="AI25" i="3"/>
  <c r="AI152" i="3" s="1"/>
  <c r="AI24" i="3"/>
  <c r="AI151" i="3" s="1"/>
  <c r="W25" i="3"/>
  <c r="W152" i="3" s="1"/>
  <c r="W24" i="3"/>
  <c r="W151" i="3" s="1"/>
  <c r="AY23" i="3"/>
  <c r="AX23" i="3"/>
  <c r="AX27" i="3" s="1"/>
  <c r="AX31" i="3" s="1"/>
  <c r="AW23" i="3"/>
  <c r="AT23" i="3"/>
  <c r="AU23" i="3" s="1"/>
  <c r="AQ23" i="3"/>
  <c r="AN23" i="3"/>
  <c r="AM23" i="3"/>
  <c r="AM27" i="3" s="1"/>
  <c r="AM66" i="3" s="1"/>
  <c r="AL23" i="3"/>
  <c r="AL49" i="3" s="1"/>
  <c r="AK23" i="3"/>
  <c r="AH23" i="3"/>
  <c r="AB23" i="3"/>
  <c r="Q23" i="3"/>
  <c r="Q49" i="3" s="1"/>
  <c r="Q50" i="3" s="1"/>
  <c r="Q61" i="3" s="1"/>
  <c r="O23" i="3"/>
  <c r="M23" i="3"/>
  <c r="K23" i="3"/>
  <c r="K49" i="3" s="1"/>
  <c r="K50" i="3" s="1"/>
  <c r="K61" i="3" s="1"/>
  <c r="Q19" i="3"/>
  <c r="Q147" i="3" s="1"/>
  <c r="O19" i="3"/>
  <c r="O147" i="3" s="1"/>
  <c r="M19" i="3"/>
  <c r="M147" i="3" s="1"/>
  <c r="K19" i="3"/>
  <c r="K147" i="3" s="1"/>
  <c r="CB19" i="3"/>
  <c r="CB147" i="3" s="1"/>
  <c r="CA19" i="3"/>
  <c r="BX19" i="3"/>
  <c r="BW19" i="3"/>
  <c r="BW147" i="3" s="1"/>
  <c r="BV19" i="3"/>
  <c r="BV147" i="3" s="1"/>
  <c r="BU19" i="3"/>
  <c r="BR19" i="3"/>
  <c r="BQ19" i="3"/>
  <c r="BQ147" i="3" s="1"/>
  <c r="BP19" i="3"/>
  <c r="BP147" i="3" s="1"/>
  <c r="BO19" i="3"/>
  <c r="BO147" i="3" s="1"/>
  <c r="BL19" i="3"/>
  <c r="BM19" i="3" s="1"/>
  <c r="BM147" i="3" s="1"/>
  <c r="BK19" i="3"/>
  <c r="BK147" i="3" s="1"/>
  <c r="BJ19" i="3"/>
  <c r="BJ147" i="3" s="1"/>
  <c r="BI19" i="3"/>
  <c r="BF19" i="3"/>
  <c r="BG19" i="3" s="1"/>
  <c r="BG147" i="3" s="1"/>
  <c r="BE19" i="3"/>
  <c r="BE147" i="3" s="1"/>
  <c r="BD19" i="3"/>
  <c r="BD147" i="3" s="1"/>
  <c r="BC19" i="3"/>
  <c r="BC147" i="3" s="1"/>
  <c r="AZ19" i="3"/>
  <c r="BA19" i="3" s="1"/>
  <c r="BA147" i="3" s="1"/>
  <c r="AY19" i="3"/>
  <c r="AX19" i="3"/>
  <c r="AX147" i="3" s="1"/>
  <c r="AW19" i="3"/>
  <c r="AW147" i="3" s="1"/>
  <c r="AT19" i="3"/>
  <c r="AS19" i="3"/>
  <c r="AS147" i="3" s="1"/>
  <c r="AR19" i="3"/>
  <c r="AR147" i="3" s="1"/>
  <c r="AQ19" i="3"/>
  <c r="AN19" i="3"/>
  <c r="AO19" i="3" s="1"/>
  <c r="AO147" i="3" s="1"/>
  <c r="AM19" i="3"/>
  <c r="AM147" i="3" s="1"/>
  <c r="AL19" i="3"/>
  <c r="AL147" i="3" s="1"/>
  <c r="AK19" i="3"/>
  <c r="AK147" i="3" s="1"/>
  <c r="AH19" i="3"/>
  <c r="AG19" i="3"/>
  <c r="AG147" i="3" s="1"/>
  <c r="AF19" i="3"/>
  <c r="AF147" i="3" s="1"/>
  <c r="AE19" i="3"/>
  <c r="AE147" i="3" s="1"/>
  <c r="AC19" i="3"/>
  <c r="AC147" i="3" s="1"/>
  <c r="AC18" i="3"/>
  <c r="AC17" i="3"/>
  <c r="AC197" i="3" s="1"/>
  <c r="AC16" i="3"/>
  <c r="AC14" i="3"/>
  <c r="AC145" i="3" s="1"/>
  <c r="AC13" i="3"/>
  <c r="AC12" i="3"/>
  <c r="AC143" i="3" s="1"/>
  <c r="AC11" i="3"/>
  <c r="AC10" i="3"/>
  <c r="AA19" i="3"/>
  <c r="AA147" i="3" s="1"/>
  <c r="Z19" i="3"/>
  <c r="Z147" i="3" s="1"/>
  <c r="Y19" i="3"/>
  <c r="Y147" i="3" s="1"/>
  <c r="V19" i="3"/>
  <c r="V147" i="3" s="1"/>
  <c r="U19" i="3"/>
  <c r="T19" i="3"/>
  <c r="T147" i="3" s="1"/>
  <c r="S19" i="3"/>
  <c r="S147" i="3" s="1"/>
  <c r="BY18" i="3"/>
  <c r="BY17" i="3"/>
  <c r="BY197" i="3" s="1"/>
  <c r="BY16" i="3"/>
  <c r="BY14" i="3"/>
  <c r="BY145" i="3" s="1"/>
  <c r="BY13" i="3"/>
  <c r="BY12" i="3"/>
  <c r="BY11" i="3"/>
  <c r="BY10" i="3"/>
  <c r="BI73" i="9" s="1"/>
  <c r="BS18" i="3"/>
  <c r="BS17" i="3"/>
  <c r="BS197" i="3" s="1"/>
  <c r="BS16" i="3"/>
  <c r="BS146" i="3" s="1"/>
  <c r="BS13" i="3"/>
  <c r="BS12" i="3"/>
  <c r="BS11" i="3"/>
  <c r="BS10" i="3"/>
  <c r="BM18" i="3"/>
  <c r="BM17" i="3"/>
  <c r="BM197" i="3" s="1"/>
  <c r="BM16" i="3"/>
  <c r="BM13" i="3"/>
  <c r="BM12" i="3"/>
  <c r="BM143" i="3" s="1"/>
  <c r="BM11" i="3"/>
  <c r="BM10" i="3"/>
  <c r="AW73" i="9" s="1"/>
  <c r="BG18" i="3"/>
  <c r="BG17" i="3"/>
  <c r="BG197" i="3" s="1"/>
  <c r="BG16" i="3"/>
  <c r="BG146" i="3" s="1"/>
  <c r="BG14" i="3"/>
  <c r="BG145" i="3" s="1"/>
  <c r="BG13" i="3"/>
  <c r="BG12" i="3"/>
  <c r="BG11" i="3"/>
  <c r="BA18" i="3"/>
  <c r="BA17" i="3"/>
  <c r="BA197" i="3" s="1"/>
  <c r="BA16" i="3"/>
  <c r="BA13" i="3"/>
  <c r="BA12" i="3"/>
  <c r="BA11" i="3"/>
  <c r="BA10" i="3"/>
  <c r="AU18" i="3"/>
  <c r="AU17" i="3"/>
  <c r="AU197" i="3" s="1"/>
  <c r="AU16" i="3"/>
  <c r="AU146" i="3" s="1"/>
  <c r="AU13" i="3"/>
  <c r="AU12" i="3"/>
  <c r="AU11" i="3"/>
  <c r="AU10" i="3"/>
  <c r="AO18" i="3"/>
  <c r="AO17" i="3"/>
  <c r="AO197" i="3" s="1"/>
  <c r="AO16" i="3"/>
  <c r="AO13" i="3"/>
  <c r="AO144" i="3" s="1"/>
  <c r="AO12" i="3"/>
  <c r="AO11" i="3"/>
  <c r="AO10" i="3"/>
  <c r="AI18" i="3"/>
  <c r="AI17" i="3"/>
  <c r="AI197" i="3" s="1"/>
  <c r="AI16" i="3"/>
  <c r="AI146" i="3" s="1"/>
  <c r="AI13" i="3"/>
  <c r="AI12" i="3"/>
  <c r="AI143" i="3" s="1"/>
  <c r="AI11" i="3"/>
  <c r="AI10" i="3"/>
  <c r="W18" i="3"/>
  <c r="W17" i="3"/>
  <c r="W16" i="3"/>
  <c r="W146" i="3" s="1"/>
  <c r="W13" i="3"/>
  <c r="W144" i="3" s="1"/>
  <c r="W12" i="3"/>
  <c r="W143" i="3" s="1"/>
  <c r="W11" i="3"/>
  <c r="W10" i="3"/>
  <c r="O73" i="9" s="1"/>
  <c r="K17" i="3"/>
  <c r="K148" i="3" s="1"/>
  <c r="CB15" i="3"/>
  <c r="CA15" i="3"/>
  <c r="BX15" i="3"/>
  <c r="BW15" i="3"/>
  <c r="BV15" i="3"/>
  <c r="BU15" i="3"/>
  <c r="BQ15" i="3"/>
  <c r="BP15" i="3"/>
  <c r="BO15" i="3"/>
  <c r="BK15" i="3"/>
  <c r="BJ15" i="3"/>
  <c r="BI15" i="3"/>
  <c r="BE15" i="3"/>
  <c r="BD15" i="3"/>
  <c r="BC15" i="3"/>
  <c r="AY15" i="3"/>
  <c r="AX15" i="3"/>
  <c r="AW15" i="3"/>
  <c r="AS15" i="3"/>
  <c r="AR15" i="3"/>
  <c r="AQ15" i="3"/>
  <c r="AM15" i="3"/>
  <c r="AL15" i="3"/>
  <c r="AK15" i="3"/>
  <c r="AG15" i="3"/>
  <c r="AF15" i="3"/>
  <c r="AE15" i="3"/>
  <c r="AB15" i="3"/>
  <c r="Q14" i="3"/>
  <c r="O14" i="3"/>
  <c r="M14" i="3"/>
  <c r="M145" i="3" s="1"/>
  <c r="K15" i="3"/>
  <c r="I15" i="3"/>
  <c r="G14" i="3"/>
  <c r="G15" i="3" s="1"/>
  <c r="G20" i="3" s="1"/>
  <c r="E14" i="3"/>
  <c r="E15" i="3" s="1"/>
  <c r="C14" i="3"/>
  <c r="BR14" i="3"/>
  <c r="BL14" i="3"/>
  <c r="BL15" i="3" s="1"/>
  <c r="AZ14" i="3"/>
  <c r="AT14" i="3"/>
  <c r="AT145" i="3" s="1"/>
  <c r="AN14" i="3"/>
  <c r="AH14" i="3"/>
  <c r="AH15" i="3" s="1"/>
  <c r="AA14" i="3"/>
  <c r="AA145" i="3" s="1"/>
  <c r="Z14" i="3"/>
  <c r="Z15" i="3" s="1"/>
  <c r="Y14" i="3"/>
  <c r="V14" i="3"/>
  <c r="V15" i="3" s="1"/>
  <c r="U14" i="3"/>
  <c r="U145" i="3" s="1"/>
  <c r="T14" i="3"/>
  <c r="T15" i="3" s="1"/>
  <c r="S14" i="3"/>
  <c r="CE11" i="3"/>
  <c r="CK11" i="3" s="1"/>
  <c r="CM11" i="3" s="1"/>
  <c r="CN11" i="3" s="1"/>
  <c r="CO11" i="3" s="1"/>
  <c r="CP11" i="3" s="1"/>
  <c r="CQ11" i="3" s="1"/>
  <c r="CS11" i="3" s="1"/>
  <c r="CT11" i="3" s="1"/>
  <c r="CU11" i="3" s="1"/>
  <c r="CV11" i="3" s="1"/>
  <c r="CW11" i="3" s="1"/>
  <c r="CY11" i="3" s="1"/>
  <c r="CZ11" i="3" s="1"/>
  <c r="DA11" i="3" s="1"/>
  <c r="DB11" i="3" s="1"/>
  <c r="DC11" i="3" s="1"/>
  <c r="DE11" i="3" s="1"/>
  <c r="DF11" i="3" s="1"/>
  <c r="DG11" i="3" s="1"/>
  <c r="DH11" i="3" s="1"/>
  <c r="DI11" i="3" s="1"/>
  <c r="BF10" i="3"/>
  <c r="BJ8" i="3"/>
  <c r="BP8" i="3" s="1"/>
  <c r="BV8" i="3" s="1"/>
  <c r="CB8" i="3" s="1"/>
  <c r="CH8" i="3" s="1"/>
  <c r="CN8" i="3" s="1"/>
  <c r="CT8" i="3" s="1"/>
  <c r="CZ8" i="3" s="1"/>
  <c r="DF8" i="3" s="1"/>
  <c r="BI8" i="3"/>
  <c r="BO8" i="3" s="1"/>
  <c r="BU8" i="3" s="1"/>
  <c r="CA8" i="3" s="1"/>
  <c r="CG8" i="3" s="1"/>
  <c r="CM8" i="3" s="1"/>
  <c r="CS8" i="3" s="1"/>
  <c r="CY8" i="3" s="1"/>
  <c r="DE8" i="3" s="1"/>
  <c r="BF8" i="3"/>
  <c r="BL8" i="3" s="1"/>
  <c r="BR8" i="3" s="1"/>
  <c r="BX8" i="3" s="1"/>
  <c r="CD8" i="3" s="1"/>
  <c r="CJ8" i="3" s="1"/>
  <c r="CP8" i="3" s="1"/>
  <c r="CV8" i="3" s="1"/>
  <c r="DB8" i="3" s="1"/>
  <c r="DH8" i="3" s="1"/>
  <c r="BE8" i="3"/>
  <c r="BK8" i="3" s="1"/>
  <c r="BQ8" i="3" s="1"/>
  <c r="BW8" i="3" s="1"/>
  <c r="CC8" i="3" s="1"/>
  <c r="CI8" i="3" s="1"/>
  <c r="CO8" i="3" s="1"/>
  <c r="CU8" i="3" s="1"/>
  <c r="DA8" i="3" s="1"/>
  <c r="DG8" i="3" s="1"/>
  <c r="AE7" i="3"/>
  <c r="AK7" i="3" s="1"/>
  <c r="AQ7" i="3" s="1"/>
  <c r="AW7" i="3" s="1"/>
  <c r="BC7" i="3" s="1"/>
  <c r="BI7" i="3" s="1"/>
  <c r="BO7" i="3" s="1"/>
  <c r="BU7" i="3" s="1"/>
  <c r="CA7" i="3" s="1"/>
  <c r="E7" i="3"/>
  <c r="G7" i="3" s="1"/>
  <c r="I7" i="3" s="1"/>
  <c r="K7" i="3" s="1"/>
  <c r="M7" i="3" s="1"/>
  <c r="O7" i="3" s="1"/>
  <c r="Q7" i="3" s="1"/>
  <c r="W7" i="3" s="1"/>
  <c r="AC7" i="3" s="1"/>
  <c r="AI7" i="3" s="1"/>
  <c r="AO7" i="3" s="1"/>
  <c r="AU7" i="3" s="1"/>
  <c r="BA7" i="3" s="1"/>
  <c r="BG7" i="3" s="1"/>
  <c r="BM7" i="3" s="1"/>
  <c r="BS7" i="3" s="1"/>
  <c r="BY7" i="3" s="1"/>
  <c r="CE7" i="3" s="1"/>
  <c r="CK7" i="3" s="1"/>
  <c r="CQ7" i="3" s="1"/>
  <c r="CW7" i="3" s="1"/>
  <c r="DC7" i="3" s="1"/>
  <c r="DI7" i="3" s="1"/>
  <c r="W50" i="8"/>
  <c r="Q50" i="8"/>
  <c r="O50" i="8"/>
  <c r="M50" i="8"/>
  <c r="K50" i="8"/>
  <c r="I50" i="8"/>
  <c r="G50" i="8"/>
  <c r="E50" i="8"/>
  <c r="W47" i="8"/>
  <c r="W46" i="8"/>
  <c r="Q47" i="8"/>
  <c r="Q46" i="8"/>
  <c r="O47" i="8"/>
  <c r="O46" i="8"/>
  <c r="M47" i="8"/>
  <c r="M46" i="8"/>
  <c r="K47" i="8"/>
  <c r="K46" i="8"/>
  <c r="I47" i="8"/>
  <c r="I46" i="8"/>
  <c r="G47" i="8"/>
  <c r="G46" i="8"/>
  <c r="E47" i="8"/>
  <c r="E46" i="8"/>
  <c r="CQ52" i="8"/>
  <c r="CP52" i="8"/>
  <c r="CO52" i="8"/>
  <c r="CN52" i="8"/>
  <c r="CM52" i="8"/>
  <c r="CQ51" i="8"/>
  <c r="CP51" i="8"/>
  <c r="CO51" i="8"/>
  <c r="CN51" i="8"/>
  <c r="CM51" i="8"/>
  <c r="CQ49" i="8"/>
  <c r="CP49" i="8"/>
  <c r="CO49" i="8"/>
  <c r="CN49" i="8"/>
  <c r="CM49" i="8"/>
  <c r="CQ48" i="8"/>
  <c r="CP48" i="8"/>
  <c r="CO48" i="8"/>
  <c r="CN48" i="8"/>
  <c r="CM48" i="8"/>
  <c r="CK52" i="8"/>
  <c r="CJ52" i="8"/>
  <c r="CI52" i="8"/>
  <c r="CH52" i="8"/>
  <c r="CG52" i="8"/>
  <c r="CK51" i="8"/>
  <c r="CJ51" i="8"/>
  <c r="CI51" i="8"/>
  <c r="CH51" i="8"/>
  <c r="CG51" i="8"/>
  <c r="CK49" i="8"/>
  <c r="CJ49" i="8"/>
  <c r="CI49" i="8"/>
  <c r="CH49" i="8"/>
  <c r="CG49" i="8"/>
  <c r="CK48" i="8"/>
  <c r="CJ48" i="8"/>
  <c r="CI48" i="8"/>
  <c r="CH48" i="8"/>
  <c r="CG48" i="8"/>
  <c r="CC52" i="8"/>
  <c r="CC51" i="8"/>
  <c r="CC49" i="8"/>
  <c r="CC48" i="8"/>
  <c r="AH52" i="8"/>
  <c r="AG52" i="8"/>
  <c r="AF52" i="8"/>
  <c r="AE52" i="8"/>
  <c r="AH51" i="8"/>
  <c r="AG51" i="8"/>
  <c r="AF51" i="8"/>
  <c r="AE51" i="8"/>
  <c r="AH50" i="8"/>
  <c r="AG50" i="8"/>
  <c r="AF50" i="8"/>
  <c r="AE50" i="8"/>
  <c r="AH49" i="8"/>
  <c r="AG49" i="8"/>
  <c r="AF49" i="8"/>
  <c r="AE49" i="8"/>
  <c r="AH48" i="8"/>
  <c r="AG48" i="8"/>
  <c r="AF48" i="8"/>
  <c r="AE48" i="8"/>
  <c r="AH47" i="8"/>
  <c r="AG47" i="8"/>
  <c r="AF47" i="8"/>
  <c r="AE47" i="8"/>
  <c r="AC52" i="8"/>
  <c r="AB52" i="8"/>
  <c r="AA52" i="8"/>
  <c r="Z52" i="8"/>
  <c r="Y52" i="8"/>
  <c r="AC51" i="8"/>
  <c r="AB51" i="8"/>
  <c r="AA51" i="8"/>
  <c r="Z51" i="8"/>
  <c r="Y51" i="8"/>
  <c r="AC50" i="8"/>
  <c r="AB50" i="8"/>
  <c r="AA50" i="8"/>
  <c r="Z50" i="8"/>
  <c r="Y50" i="8"/>
  <c r="AC49" i="8"/>
  <c r="AB49" i="8"/>
  <c r="AA49" i="8"/>
  <c r="Z49" i="8"/>
  <c r="Y49" i="8"/>
  <c r="AC48" i="8"/>
  <c r="AB48" i="8"/>
  <c r="AA48" i="8"/>
  <c r="Z48" i="8"/>
  <c r="Y48" i="8"/>
  <c r="AC47" i="8"/>
  <c r="AB47" i="8"/>
  <c r="AA47" i="8"/>
  <c r="Z47" i="8"/>
  <c r="Y47" i="8"/>
  <c r="AC46" i="8"/>
  <c r="AB46" i="8"/>
  <c r="AA46" i="8"/>
  <c r="Z46" i="8"/>
  <c r="Y46" i="8"/>
  <c r="CJ41" i="8"/>
  <c r="CI41" i="8"/>
  <c r="CH41" i="8"/>
  <c r="CG41" i="8"/>
  <c r="CD41" i="8"/>
  <c r="CC41" i="8"/>
  <c r="CB41" i="8"/>
  <c r="CA41" i="8"/>
  <c r="AH41" i="8"/>
  <c r="AC43" i="8"/>
  <c r="AB43" i="8"/>
  <c r="AA43" i="8"/>
  <c r="Z43" i="8"/>
  <c r="Y43" i="8"/>
  <c r="W43" i="8"/>
  <c r="V43" i="8"/>
  <c r="U43" i="8"/>
  <c r="T43" i="8"/>
  <c r="S43" i="8"/>
  <c r="T41" i="8"/>
  <c r="S41" i="8"/>
  <c r="V40" i="8"/>
  <c r="U40" i="8"/>
  <c r="T40" i="8"/>
  <c r="S40" i="8"/>
  <c r="CJ36" i="8"/>
  <c r="CI36" i="8"/>
  <c r="CH36" i="8"/>
  <c r="CG36" i="8"/>
  <c r="CD36" i="8"/>
  <c r="CC36" i="8"/>
  <c r="CB36" i="8"/>
  <c r="CA36" i="8"/>
  <c r="CB35" i="8"/>
  <c r="BW34" i="8"/>
  <c r="DL24" i="8"/>
  <c r="A22" i="8"/>
  <c r="A35" i="8" s="1"/>
  <c r="EF18" i="8"/>
  <c r="EE18" i="8"/>
  <c r="ED18" i="8"/>
  <c r="EC18" i="8"/>
  <c r="EB18" i="8"/>
  <c r="EA18" i="8"/>
  <c r="DZ18" i="8"/>
  <c r="DY18" i="8"/>
  <c r="DX18" i="8"/>
  <c r="DW18" i="8"/>
  <c r="DV18" i="8"/>
  <c r="DU18" i="8"/>
  <c r="DT18" i="8"/>
  <c r="DS18" i="8"/>
  <c r="DR18" i="8"/>
  <c r="DQ18" i="8"/>
  <c r="DP18" i="8"/>
  <c r="DO18" i="8"/>
  <c r="DN18" i="8"/>
  <c r="DM18" i="8"/>
  <c r="A18" i="8"/>
  <c r="A34" i="8" s="1"/>
  <c r="DL12" i="8"/>
  <c r="DL23" i="8"/>
  <c r="DL11" i="8"/>
  <c r="DL22" i="8" s="1"/>
  <c r="DL10" i="8"/>
  <c r="DL21" i="8"/>
  <c r="DL9" i="8"/>
  <c r="DL20" i="8" s="1"/>
  <c r="DL8" i="8"/>
  <c r="DL19" i="8"/>
  <c r="BG13" i="8"/>
  <c r="BF13" i="8"/>
  <c r="BE13" i="8"/>
  <c r="BD13" i="8"/>
  <c r="W10" i="36" s="1"/>
  <c r="BC13" i="8"/>
  <c r="V10" i="36" s="1"/>
  <c r="BG12" i="8"/>
  <c r="BE12" i="8"/>
  <c r="BD12" i="8"/>
  <c r="W9" i="36" s="1"/>
  <c r="BC12" i="8"/>
  <c r="BA13" i="8"/>
  <c r="AZ13" i="8"/>
  <c r="AY13" i="8"/>
  <c r="T10" i="36" s="1"/>
  <c r="AX13" i="8"/>
  <c r="AW13" i="8"/>
  <c r="BA12" i="8"/>
  <c r="AZ12" i="8"/>
  <c r="U9" i="36" s="1"/>
  <c r="AY12" i="8"/>
  <c r="T9" i="36" s="1"/>
  <c r="AX12" i="8"/>
  <c r="AW12" i="8"/>
  <c r="AU13" i="8"/>
  <c r="AT13" i="8"/>
  <c r="AS13" i="8"/>
  <c r="P10" i="36" s="1"/>
  <c r="AR13" i="8"/>
  <c r="AQ13" i="8"/>
  <c r="AU12" i="8"/>
  <c r="AT12" i="8"/>
  <c r="AS12" i="8"/>
  <c r="AR12" i="8"/>
  <c r="AQ12" i="8"/>
  <c r="N9" i="36" s="1"/>
  <c r="AO13" i="8"/>
  <c r="AN13" i="8"/>
  <c r="AM13" i="8"/>
  <c r="AL13" i="8"/>
  <c r="AK13" i="8"/>
  <c r="AO12" i="8"/>
  <c r="AN12" i="8"/>
  <c r="M9" i="36" s="1"/>
  <c r="AM12" i="8"/>
  <c r="L9" i="36" s="1"/>
  <c r="AL12" i="8"/>
  <c r="AK12" i="8"/>
  <c r="AH13" i="8"/>
  <c r="I10" i="36" s="1"/>
  <c r="I21" i="36" s="1"/>
  <c r="AG13" i="8"/>
  <c r="AF13" i="8"/>
  <c r="AE13" i="8"/>
  <c r="AI12" i="8"/>
  <c r="AH12" i="8"/>
  <c r="I9" i="36" s="1"/>
  <c r="I20" i="36" s="1"/>
  <c r="AG12" i="8"/>
  <c r="H9" i="36" s="1"/>
  <c r="H20" i="36" s="1"/>
  <c r="AF12" i="8"/>
  <c r="AE12" i="8"/>
  <c r="DP11" i="8"/>
  <c r="DO11" i="8"/>
  <c r="DN11" i="8"/>
  <c r="DM11" i="8"/>
  <c r="DP10" i="8"/>
  <c r="DO10" i="8"/>
  <c r="DN10" i="8"/>
  <c r="DM10" i="8"/>
  <c r="DP9" i="8"/>
  <c r="DO9" i="8"/>
  <c r="DN9" i="8"/>
  <c r="DM9" i="8"/>
  <c r="CM12" i="8"/>
  <c r="EK12" i="8" s="1"/>
  <c r="CM11" i="8"/>
  <c r="CM10" i="8"/>
  <c r="BY13" i="8"/>
  <c r="BX13" i="8"/>
  <c r="BX14" i="8" s="1"/>
  <c r="BW13" i="8"/>
  <c r="BW14" i="8" s="1"/>
  <c r="BV13" i="8"/>
  <c r="BV14" i="8" s="1"/>
  <c r="BU13" i="8"/>
  <c r="BU14" i="8" s="1"/>
  <c r="BY12" i="8"/>
  <c r="BX12" i="8"/>
  <c r="AK9" i="36" s="1"/>
  <c r="BW12" i="8"/>
  <c r="AJ9" i="36" s="1"/>
  <c r="BV12" i="8"/>
  <c r="AI9" i="36" s="1"/>
  <c r="BU12" i="8"/>
  <c r="BY11" i="8"/>
  <c r="BW11" i="8"/>
  <c r="AJ8" i="36" s="1"/>
  <c r="BV11" i="8"/>
  <c r="AI8" i="36" s="1"/>
  <c r="BU11" i="8"/>
  <c r="AH8" i="36" s="1"/>
  <c r="BY10" i="8"/>
  <c r="BW10" i="8"/>
  <c r="AJ7" i="36" s="1"/>
  <c r="BV10" i="8"/>
  <c r="AI7" i="36" s="1"/>
  <c r="BU10" i="8"/>
  <c r="AH7" i="36" s="1"/>
  <c r="BY9" i="8"/>
  <c r="BY15" i="8" s="1"/>
  <c r="BW9" i="8"/>
  <c r="BV9" i="8"/>
  <c r="BX8" i="8"/>
  <c r="AK5" i="36" s="1"/>
  <c r="BW8" i="8"/>
  <c r="BV8" i="8"/>
  <c r="BU8" i="8"/>
  <c r="BS13" i="8"/>
  <c r="BS14" i="8" s="1"/>
  <c r="BR13" i="8"/>
  <c r="BR14" i="8" s="1"/>
  <c r="BQ13" i="8"/>
  <c r="BQ14" i="8" s="1"/>
  <c r="BP13" i="8"/>
  <c r="BP14" i="8" s="1"/>
  <c r="BO13" i="8"/>
  <c r="BO14" i="8" s="1"/>
  <c r="BR12" i="8"/>
  <c r="AG9" i="36" s="1"/>
  <c r="BQ12" i="8"/>
  <c r="AF9" i="36" s="1"/>
  <c r="BP12" i="8"/>
  <c r="AE9" i="36" s="1"/>
  <c r="BO12" i="8"/>
  <c r="AD9" i="36" s="1"/>
  <c r="BS8" i="8"/>
  <c r="BR8" i="8"/>
  <c r="BQ8" i="8"/>
  <c r="BP8" i="8"/>
  <c r="BO8" i="8"/>
  <c r="BM13" i="8"/>
  <c r="BL13" i="8"/>
  <c r="BL14" i="8" s="1"/>
  <c r="BK13" i="8"/>
  <c r="BK14" i="8" s="1"/>
  <c r="BJ13" i="8"/>
  <c r="BJ14" i="8" s="1"/>
  <c r="BI13" i="8"/>
  <c r="BI14" i="8" s="1"/>
  <c r="BM12" i="8"/>
  <c r="BL12" i="8"/>
  <c r="BK12" i="8"/>
  <c r="BJ12" i="8"/>
  <c r="BI12" i="8"/>
  <c r="Z9" i="36" s="1"/>
  <c r="BM8" i="8"/>
  <c r="BL8" i="8"/>
  <c r="BK8" i="8"/>
  <c r="BJ8" i="8"/>
  <c r="BI8" i="8"/>
  <c r="BG8" i="8"/>
  <c r="BF8" i="8"/>
  <c r="Y5" i="36" s="1"/>
  <c r="BE8" i="8"/>
  <c r="BD8" i="8"/>
  <c r="BC8" i="8"/>
  <c r="BA8" i="8"/>
  <c r="AZ8" i="8"/>
  <c r="AT8" i="8"/>
  <c r="Q5" i="36" s="1"/>
  <c r="AY8" i="8"/>
  <c r="AX8" i="8"/>
  <c r="AW8" i="8"/>
  <c r="R5" i="36" s="1"/>
  <c r="AU8" i="8"/>
  <c r="AS8" i="8"/>
  <c r="AR8" i="8"/>
  <c r="AQ8" i="8"/>
  <c r="AO8" i="8"/>
  <c r="AN8" i="8"/>
  <c r="AM8" i="8"/>
  <c r="AL8" i="8"/>
  <c r="K5" i="36" s="1"/>
  <c r="AK8" i="8"/>
  <c r="AI8" i="8"/>
  <c r="AH8" i="8"/>
  <c r="AG8" i="8"/>
  <c r="AF8" i="8"/>
  <c r="AE8" i="8"/>
  <c r="BJ6" i="8"/>
  <c r="BP6" i="8"/>
  <c r="BV6" i="8" s="1"/>
  <c r="CB6" i="8" s="1"/>
  <c r="CH6" i="8" s="1"/>
  <c r="CN6" i="8" s="1"/>
  <c r="CT6" i="8" s="1"/>
  <c r="CZ6" i="8" s="1"/>
  <c r="DF6" i="8" s="1"/>
  <c r="BI6" i="8"/>
  <c r="BO6" i="8" s="1"/>
  <c r="BU6" i="8" s="1"/>
  <c r="CA6" i="8" s="1"/>
  <c r="CG6" i="8" s="1"/>
  <c r="CM6" i="8" s="1"/>
  <c r="CS6" i="8" s="1"/>
  <c r="CY6" i="8" s="1"/>
  <c r="DE6" i="8" s="1"/>
  <c r="BF6" i="8"/>
  <c r="BL6" i="8" s="1"/>
  <c r="BR6" i="8" s="1"/>
  <c r="BX6" i="8" s="1"/>
  <c r="CD6" i="8" s="1"/>
  <c r="CJ6" i="8" s="1"/>
  <c r="CP6" i="8" s="1"/>
  <c r="CV6" i="8" s="1"/>
  <c r="DB6" i="8" s="1"/>
  <c r="DH6" i="8" s="1"/>
  <c r="BE6" i="8"/>
  <c r="BK6" i="8" s="1"/>
  <c r="BQ6" i="8" s="1"/>
  <c r="BW6" i="8" s="1"/>
  <c r="CC6" i="8" s="1"/>
  <c r="CI6" i="8" s="1"/>
  <c r="CO6" i="8" s="1"/>
  <c r="CU6" i="8" s="1"/>
  <c r="DA6" i="8" s="1"/>
  <c r="DG6" i="8" s="1"/>
  <c r="AE5" i="8"/>
  <c r="AK5" i="8" s="1"/>
  <c r="AQ5" i="8" s="1"/>
  <c r="AW5" i="8" s="1"/>
  <c r="BC5" i="8" s="1"/>
  <c r="BI5" i="8" s="1"/>
  <c r="BO5" i="8" s="1"/>
  <c r="BU5" i="8" s="1"/>
  <c r="CA5" i="8" s="1"/>
  <c r="E5" i="8"/>
  <c r="G5" i="8" s="1"/>
  <c r="I5" i="8" s="1"/>
  <c r="K5" i="8" s="1"/>
  <c r="M5" i="8" s="1"/>
  <c r="O5" i="8" s="1"/>
  <c r="Q5" i="8" s="1"/>
  <c r="W5" i="8" s="1"/>
  <c r="AC5" i="8" s="1"/>
  <c r="AI5" i="8" s="1"/>
  <c r="AO5" i="8" s="1"/>
  <c r="AU5" i="8" s="1"/>
  <c r="BA5" i="8" s="1"/>
  <c r="BG5" i="8" s="1"/>
  <c r="BM5" i="8" s="1"/>
  <c r="BS5" i="8" s="1"/>
  <c r="BY5" i="8" s="1"/>
  <c r="CE5" i="8" s="1"/>
  <c r="CK5" i="8" s="1"/>
  <c r="CQ5" i="8" s="1"/>
  <c r="CW5" i="8" s="1"/>
  <c r="DC5" i="8" s="1"/>
  <c r="DI5" i="8" s="1"/>
  <c r="AK381" i="7"/>
  <c r="AK382" i="7" s="1"/>
  <c r="Q381" i="7"/>
  <c r="Q382" i="7" s="1"/>
  <c r="O382" i="7"/>
  <c r="M381" i="7"/>
  <c r="C382" i="7"/>
  <c r="AA381" i="7"/>
  <c r="Z381" i="7"/>
  <c r="Y381" i="7"/>
  <c r="Y382" i="7" s="1"/>
  <c r="U381" i="7"/>
  <c r="T381" i="7"/>
  <c r="S381" i="7"/>
  <c r="AG381" i="7"/>
  <c r="AG382" i="7" s="1"/>
  <c r="AF381" i="7"/>
  <c r="AE381" i="7"/>
  <c r="AE376" i="7"/>
  <c r="AK380" i="7" s="1"/>
  <c r="AF376" i="7"/>
  <c r="AF380" i="7" s="1"/>
  <c r="AA376" i="7"/>
  <c r="AG380" i="7" s="1"/>
  <c r="AK374" i="7"/>
  <c r="AG374" i="7"/>
  <c r="AF374" i="7"/>
  <c r="AE374" i="7"/>
  <c r="AH370" i="7"/>
  <c r="AI370" i="7" s="1"/>
  <c r="AB370" i="7"/>
  <c r="AC370" i="7" s="1"/>
  <c r="S364" i="7"/>
  <c r="Y368" i="7" s="1"/>
  <c r="AB364" i="7"/>
  <c r="AC364" i="7" s="1"/>
  <c r="U364" i="7"/>
  <c r="AA368" i="7" s="1"/>
  <c r="T364" i="7"/>
  <c r="Z368" i="7" s="1"/>
  <c r="Q362" i="7"/>
  <c r="M358" i="7"/>
  <c r="O362" i="7" s="1"/>
  <c r="K358" i="7"/>
  <c r="K382" i="7" s="1"/>
  <c r="I358" i="7"/>
  <c r="I382" i="7" s="1"/>
  <c r="G358" i="7"/>
  <c r="G382" i="7" s="1"/>
  <c r="E358" i="7"/>
  <c r="E382" i="7" s="1"/>
  <c r="AA362" i="7"/>
  <c r="Z362" i="7"/>
  <c r="Y362" i="7"/>
  <c r="AB358" i="7"/>
  <c r="AC358" i="7" s="1"/>
  <c r="V358" i="7"/>
  <c r="Q356" i="7"/>
  <c r="M352" i="7"/>
  <c r="M356" i="7" s="1"/>
  <c r="AA356" i="7"/>
  <c r="Z356" i="7"/>
  <c r="Y356" i="7"/>
  <c r="AB352" i="7"/>
  <c r="AC352" i="7" s="1"/>
  <c r="V352" i="7"/>
  <c r="W352" i="7" s="1"/>
  <c r="W356" i="7" s="1"/>
  <c r="O343" i="7"/>
  <c r="O342" i="7"/>
  <c r="O341" i="7"/>
  <c r="M343" i="7"/>
  <c r="M342" i="7"/>
  <c r="M341" i="7"/>
  <c r="M340" i="7"/>
  <c r="M339" i="7"/>
  <c r="M338" i="7"/>
  <c r="M336" i="7"/>
  <c r="M335" i="7"/>
  <c r="K343" i="7"/>
  <c r="K342" i="7"/>
  <c r="K341" i="7"/>
  <c r="K340" i="7"/>
  <c r="K339" i="7"/>
  <c r="K338" i="7"/>
  <c r="K336" i="7"/>
  <c r="K335" i="7"/>
  <c r="K334" i="7"/>
  <c r="I343" i="7"/>
  <c r="I342" i="7"/>
  <c r="I341" i="7"/>
  <c r="I340" i="7"/>
  <c r="I339" i="7"/>
  <c r="I338" i="7"/>
  <c r="I336" i="7"/>
  <c r="I335" i="7"/>
  <c r="I334" i="7"/>
  <c r="G343" i="7"/>
  <c r="G342" i="7"/>
  <c r="G341" i="7"/>
  <c r="G340" i="7"/>
  <c r="G339" i="7"/>
  <c r="G338" i="7"/>
  <c r="G336" i="7"/>
  <c r="G335" i="7"/>
  <c r="G334" i="7"/>
  <c r="E343" i="7"/>
  <c r="E342" i="7"/>
  <c r="E341" i="7"/>
  <c r="E340" i="7"/>
  <c r="E339" i="7"/>
  <c r="E338" i="7"/>
  <c r="E336" i="7"/>
  <c r="E335" i="7"/>
  <c r="E334" i="7"/>
  <c r="AB334" i="7"/>
  <c r="T312" i="7"/>
  <c r="S312" i="7"/>
  <c r="Q312" i="7"/>
  <c r="K312" i="7"/>
  <c r="I312" i="7"/>
  <c r="G312" i="7"/>
  <c r="E312" i="7"/>
  <c r="V309" i="7"/>
  <c r="V41" i="8" s="1"/>
  <c r="U309" i="7"/>
  <c r="K306" i="7"/>
  <c r="K304" i="7" s="1"/>
  <c r="I306" i="7"/>
  <c r="I304" i="7" s="1"/>
  <c r="G306" i="7"/>
  <c r="E306" i="7"/>
  <c r="AC309" i="7"/>
  <c r="AC312" i="7" s="1"/>
  <c r="AB309" i="7"/>
  <c r="AB41" i="8" s="1"/>
  <c r="AA309" i="7"/>
  <c r="AA312" i="7" s="1"/>
  <c r="Z309" i="7"/>
  <c r="Z41" i="8" s="1"/>
  <c r="Y309" i="7"/>
  <c r="Y41" i="8" s="1"/>
  <c r="C306" i="7"/>
  <c r="C304" i="7" s="1"/>
  <c r="AH303" i="7"/>
  <c r="AI303" i="7" s="1"/>
  <c r="AB303" i="7"/>
  <c r="V303" i="7"/>
  <c r="W303" i="7" s="1"/>
  <c r="W247" i="7" s="1"/>
  <c r="U301" i="7"/>
  <c r="Q297" i="7"/>
  <c r="Q343" i="7" s="1"/>
  <c r="AA297" i="7"/>
  <c r="AA343" i="7" s="1"/>
  <c r="Z297" i="7"/>
  <c r="Z343" i="7" s="1"/>
  <c r="Y297" i="7"/>
  <c r="Y343" i="7" s="1"/>
  <c r="V296" i="7"/>
  <c r="W296" i="7" s="1"/>
  <c r="Q294" i="7"/>
  <c r="Q298" i="7" s="1"/>
  <c r="Q299" i="7" s="1"/>
  <c r="Q341" i="7" s="1"/>
  <c r="AB296" i="7"/>
  <c r="AC296" i="7" s="1"/>
  <c r="AA294" i="7"/>
  <c r="AA298" i="7" s="1"/>
  <c r="AA241" i="7" s="1"/>
  <c r="AA365" i="7" s="1"/>
  <c r="Z294" i="7"/>
  <c r="Y294" i="7"/>
  <c r="S294" i="7"/>
  <c r="S298" i="7" s="1"/>
  <c r="S241" i="7" s="1"/>
  <c r="U294" i="7"/>
  <c r="T294" i="7"/>
  <c r="T298" i="7" s="1"/>
  <c r="T241" i="7" s="1"/>
  <c r="U291" i="7"/>
  <c r="T291" i="7"/>
  <c r="S291" i="7"/>
  <c r="M291" i="7"/>
  <c r="Q287" i="7"/>
  <c r="Q340" i="7" s="1"/>
  <c r="K289" i="7"/>
  <c r="K337" i="7" s="1"/>
  <c r="I289" i="7"/>
  <c r="I337" i="7" s="1"/>
  <c r="G289" i="7"/>
  <c r="G337" i="7" s="1"/>
  <c r="E289" i="7"/>
  <c r="E337" i="7" s="1"/>
  <c r="AA287" i="7"/>
  <c r="AA340" i="7" s="1"/>
  <c r="Z287" i="7"/>
  <c r="Z340" i="7" s="1"/>
  <c r="Y287" i="7"/>
  <c r="Y340" i="7" s="1"/>
  <c r="V286" i="7"/>
  <c r="W286" i="7" s="1"/>
  <c r="W287" i="7" s="1"/>
  <c r="W340" i="7" s="1"/>
  <c r="AA285" i="7"/>
  <c r="AA339" i="7" s="1"/>
  <c r="Z285" i="7"/>
  <c r="Z339" i="7" s="1"/>
  <c r="Y285" i="7"/>
  <c r="Y339" i="7" s="1"/>
  <c r="Q285" i="7"/>
  <c r="Q339" i="7" s="1"/>
  <c r="O285" i="7"/>
  <c r="O339" i="7" s="1"/>
  <c r="V284" i="7"/>
  <c r="W284" i="7" s="1"/>
  <c r="Q282" i="7"/>
  <c r="Q288" i="7" s="1"/>
  <c r="Q239" i="7" s="1"/>
  <c r="O282" i="7"/>
  <c r="O288" i="7" s="1"/>
  <c r="O239" i="7" s="1"/>
  <c r="AB286" i="7"/>
  <c r="AB284" i="7"/>
  <c r="AB285" i="7" s="1"/>
  <c r="AB339" i="7" s="1"/>
  <c r="AA282" i="7"/>
  <c r="AA288" i="7" s="1"/>
  <c r="AA239" i="7" s="1"/>
  <c r="AA359" i="7" s="1"/>
  <c r="Z282" i="7"/>
  <c r="Z288" i="7" s="1"/>
  <c r="Z239" i="7" s="1"/>
  <c r="Z359" i="7" s="1"/>
  <c r="Y282" i="7"/>
  <c r="Y288" i="7" s="1"/>
  <c r="Y239" i="7" s="1"/>
  <c r="Y359" i="7" s="1"/>
  <c r="U282" i="7"/>
  <c r="U288" i="7" s="1"/>
  <c r="U239" i="7" s="1"/>
  <c r="T282" i="7"/>
  <c r="T288" i="7" s="1"/>
  <c r="S282" i="7"/>
  <c r="M282" i="7"/>
  <c r="M286" i="7" s="1"/>
  <c r="U279" i="7"/>
  <c r="T279" i="7"/>
  <c r="S279" i="7"/>
  <c r="O275" i="7"/>
  <c r="O336" i="7" s="1"/>
  <c r="M279" i="7"/>
  <c r="M276" i="7"/>
  <c r="Q275" i="7"/>
  <c r="Q336" i="7" s="1"/>
  <c r="AA275" i="7"/>
  <c r="AA336" i="7" s="1"/>
  <c r="Z275" i="7"/>
  <c r="Z336" i="7" s="1"/>
  <c r="Y275" i="7"/>
  <c r="Y336" i="7" s="1"/>
  <c r="AB274" i="7"/>
  <c r="AC274" i="7" s="1"/>
  <c r="V274" i="7"/>
  <c r="W274" i="7" s="1"/>
  <c r="Q272" i="7"/>
  <c r="Q276" i="7" s="1"/>
  <c r="O272" i="7"/>
  <c r="O273" i="7" s="1"/>
  <c r="O335" i="7" s="1"/>
  <c r="AA272" i="7"/>
  <c r="AA276" i="7" s="1"/>
  <c r="Z272" i="7"/>
  <c r="Z276" i="7" s="1"/>
  <c r="Z237" i="7" s="1"/>
  <c r="Y272" i="7"/>
  <c r="Y276" i="7" s="1"/>
  <c r="U272" i="7"/>
  <c r="U276" i="7" s="1"/>
  <c r="U237" i="7" s="1"/>
  <c r="U353" i="7" s="1"/>
  <c r="T272" i="7"/>
  <c r="T276" i="7" s="1"/>
  <c r="T237" i="7" s="1"/>
  <c r="T353" i="7" s="1"/>
  <c r="S272" i="7"/>
  <c r="S276" i="7" s="1"/>
  <c r="S237" i="7" s="1"/>
  <c r="S353" i="7" s="1"/>
  <c r="AK265" i="7"/>
  <c r="AK349" i="7" s="1"/>
  <c r="AG265" i="7"/>
  <c r="AG349" i="7" s="1"/>
  <c r="AF265" i="7"/>
  <c r="AF349" i="7" s="1"/>
  <c r="AE265" i="7"/>
  <c r="AE349" i="7" s="1"/>
  <c r="AB264" i="7"/>
  <c r="AC264" i="7" s="1"/>
  <c r="AK262" i="7"/>
  <c r="AK266" i="7" s="1"/>
  <c r="AK245" i="7" s="1"/>
  <c r="AH264" i="7"/>
  <c r="AG262" i="7"/>
  <c r="AA262" i="7"/>
  <c r="AA266" i="7" s="1"/>
  <c r="AG269" i="7" s="1"/>
  <c r="AF262" i="7"/>
  <c r="AE262" i="7"/>
  <c r="Z262" i="7"/>
  <c r="Z266" i="7" s="1"/>
  <c r="Z245" i="7" s="1"/>
  <c r="Z377" i="7" s="1"/>
  <c r="Y262" i="7"/>
  <c r="Y266" i="7" s="1"/>
  <c r="AE269" i="7" s="1"/>
  <c r="AK255" i="7"/>
  <c r="AK346" i="7" s="1"/>
  <c r="AG255" i="7"/>
  <c r="AG346" i="7" s="1"/>
  <c r="AF255" i="7"/>
  <c r="AF346" i="7" s="1"/>
  <c r="AE255" i="7"/>
  <c r="AE346" i="7" s="1"/>
  <c r="AB254" i="7"/>
  <c r="AC254" i="7" s="1"/>
  <c r="AK252" i="7"/>
  <c r="AK256" i="7" s="1"/>
  <c r="AK243" i="7" s="1"/>
  <c r="AH254" i="7"/>
  <c r="AI254" i="7" s="1"/>
  <c r="AG252" i="7"/>
  <c r="AF252" i="7"/>
  <c r="AF256" i="7" s="1"/>
  <c r="AE252" i="7"/>
  <c r="AA252" i="7"/>
  <c r="Z252" i="7"/>
  <c r="Z256" i="7" s="1"/>
  <c r="AF259" i="7" s="1"/>
  <c r="Y252" i="7"/>
  <c r="Y256" i="7" s="1"/>
  <c r="AK247" i="7"/>
  <c r="Q247" i="7"/>
  <c r="O247" i="7"/>
  <c r="M247" i="7"/>
  <c r="K247" i="7"/>
  <c r="I247" i="7"/>
  <c r="G247" i="7"/>
  <c r="E247" i="7"/>
  <c r="C247" i="7"/>
  <c r="AA247" i="7"/>
  <c r="Z247" i="7"/>
  <c r="Y247" i="7"/>
  <c r="U247" i="7"/>
  <c r="T247" i="7"/>
  <c r="S247" i="7"/>
  <c r="AG247" i="7"/>
  <c r="AF247" i="7"/>
  <c r="AE247" i="7"/>
  <c r="K239" i="7"/>
  <c r="I239" i="7"/>
  <c r="G239" i="7"/>
  <c r="E239" i="7"/>
  <c r="C239" i="7"/>
  <c r="K237" i="7"/>
  <c r="K353" i="7" s="1"/>
  <c r="I237" i="7"/>
  <c r="G237" i="7"/>
  <c r="E237" i="7"/>
  <c r="C237" i="7"/>
  <c r="AK235" i="7"/>
  <c r="AH235" i="7"/>
  <c r="AG235" i="7"/>
  <c r="AF235" i="7"/>
  <c r="AE235" i="7"/>
  <c r="AC235" i="7"/>
  <c r="AB235" i="7"/>
  <c r="AA235" i="7"/>
  <c r="Z235" i="7"/>
  <c r="Y235" i="7"/>
  <c r="W235" i="7"/>
  <c r="V235" i="7"/>
  <c r="U235" i="7"/>
  <c r="T235" i="7"/>
  <c r="S235" i="7"/>
  <c r="C235" i="7"/>
  <c r="BI201" i="7"/>
  <c r="BA201" i="7"/>
  <c r="AU201" i="7"/>
  <c r="AO201" i="7"/>
  <c r="BE200" i="7"/>
  <c r="BF200" i="7" s="1"/>
  <c r="BP195" i="7"/>
  <c r="BO195" i="7"/>
  <c r="BO194" i="7"/>
  <c r="BL194" i="7"/>
  <c r="CB193" i="7"/>
  <c r="BY193" i="7"/>
  <c r="BW193" i="7"/>
  <c r="BV193" i="7"/>
  <c r="CB191" i="7"/>
  <c r="CB190" i="7"/>
  <c r="CA190" i="7"/>
  <c r="BY191" i="7"/>
  <c r="BW191" i="7"/>
  <c r="BV191" i="7"/>
  <c r="BY190" i="7"/>
  <c r="BW190" i="7"/>
  <c r="BV190" i="7"/>
  <c r="BG177" i="7"/>
  <c r="BA177" i="7"/>
  <c r="AU177" i="7"/>
  <c r="AO177" i="7"/>
  <c r="BS158" i="7"/>
  <c r="BS157" i="7"/>
  <c r="BS156" i="7"/>
  <c r="BS155" i="7"/>
  <c r="BM158" i="7"/>
  <c r="BM157" i="7"/>
  <c r="BM156" i="7"/>
  <c r="BM155" i="7"/>
  <c r="BG158" i="7"/>
  <c r="BG157" i="7"/>
  <c r="BG156" i="7"/>
  <c r="BG155" i="7"/>
  <c r="BA158" i="7"/>
  <c r="BA157" i="7"/>
  <c r="BA156" i="7"/>
  <c r="BA155" i="7"/>
  <c r="Q152" i="7"/>
  <c r="Q151" i="7"/>
  <c r="Q150" i="7"/>
  <c r="Q149" i="7"/>
  <c r="Q148" i="7"/>
  <c r="O152" i="7"/>
  <c r="O151" i="7"/>
  <c r="O150" i="7"/>
  <c r="O149" i="7"/>
  <c r="O148" i="7"/>
  <c r="M152" i="7"/>
  <c r="M151" i="7"/>
  <c r="M150" i="7"/>
  <c r="M149" i="7"/>
  <c r="M148" i="7"/>
  <c r="K152" i="7"/>
  <c r="K151" i="7"/>
  <c r="K150" i="7"/>
  <c r="K149" i="7"/>
  <c r="K148" i="7"/>
  <c r="I152" i="7"/>
  <c r="I151" i="7"/>
  <c r="I150" i="7"/>
  <c r="I149" i="7"/>
  <c r="I148" i="7"/>
  <c r="G152" i="7"/>
  <c r="G151" i="7"/>
  <c r="G150" i="7"/>
  <c r="G149" i="7"/>
  <c r="G148" i="7"/>
  <c r="E152" i="7"/>
  <c r="E151" i="7"/>
  <c r="E150" i="7"/>
  <c r="E149" i="7"/>
  <c r="E148" i="7"/>
  <c r="C152" i="7"/>
  <c r="C151" i="7"/>
  <c r="C150" i="7"/>
  <c r="C149" i="7"/>
  <c r="C148" i="7"/>
  <c r="A152" i="7"/>
  <c r="A159" i="7" s="1"/>
  <c r="A151" i="7"/>
  <c r="A158" i="7" s="1"/>
  <c r="A150" i="7"/>
  <c r="A157" i="7" s="1"/>
  <c r="A149" i="7"/>
  <c r="A156" i="7" s="1"/>
  <c r="A148" i="7"/>
  <c r="A155" i="7" s="1"/>
  <c r="AO152" i="7"/>
  <c r="AN152" i="7"/>
  <c r="AM152" i="7"/>
  <c r="AL152" i="7"/>
  <c r="AK152" i="7"/>
  <c r="AO151" i="7"/>
  <c r="AN151" i="7"/>
  <c r="AM151" i="7"/>
  <c r="AL151" i="7"/>
  <c r="AK151" i="7"/>
  <c r="AO150" i="7"/>
  <c r="AN150" i="7"/>
  <c r="AM150" i="7"/>
  <c r="AL150" i="7"/>
  <c r="AK150" i="7"/>
  <c r="AO149" i="7"/>
  <c r="AN149" i="7"/>
  <c r="AM149" i="7"/>
  <c r="AL149" i="7"/>
  <c r="AK149" i="7"/>
  <c r="AO148" i="7"/>
  <c r="AN148" i="7"/>
  <c r="AM148" i="7"/>
  <c r="AL148" i="7"/>
  <c r="AK148" i="7"/>
  <c r="AI152" i="7"/>
  <c r="AH152" i="7"/>
  <c r="AG152" i="7"/>
  <c r="AF152" i="7"/>
  <c r="AE152" i="7"/>
  <c r="AI151" i="7"/>
  <c r="AH151" i="7"/>
  <c r="AG151" i="7"/>
  <c r="AF151" i="7"/>
  <c r="AE151" i="7"/>
  <c r="AI150" i="7"/>
  <c r="AH150" i="7"/>
  <c r="AG150" i="7"/>
  <c r="AF150" i="7"/>
  <c r="AE150" i="7"/>
  <c r="AI149" i="7"/>
  <c r="AH149" i="7"/>
  <c r="AG149" i="7"/>
  <c r="AF149" i="7"/>
  <c r="AE149" i="7"/>
  <c r="AI148" i="7"/>
  <c r="AH148" i="7"/>
  <c r="AG148" i="7"/>
  <c r="AF148" i="7"/>
  <c r="AE148" i="7"/>
  <c r="AC152" i="7"/>
  <c r="AB152" i="7"/>
  <c r="AA152" i="7"/>
  <c r="Z152" i="7"/>
  <c r="Y152" i="7"/>
  <c r="AC151" i="7"/>
  <c r="AB151" i="7"/>
  <c r="AA151" i="7"/>
  <c r="Z151" i="7"/>
  <c r="Y151" i="7"/>
  <c r="AC150" i="7"/>
  <c r="AB150" i="7"/>
  <c r="AA150" i="7"/>
  <c r="Z150" i="7"/>
  <c r="Y150" i="7"/>
  <c r="AC149" i="7"/>
  <c r="AB149" i="7"/>
  <c r="AA149" i="7"/>
  <c r="Z149" i="7"/>
  <c r="Y149" i="7"/>
  <c r="AC148" i="7"/>
  <c r="AB148" i="7"/>
  <c r="AA148" i="7"/>
  <c r="Z148" i="7"/>
  <c r="Y148" i="7"/>
  <c r="W152" i="7"/>
  <c r="V152" i="7"/>
  <c r="U152" i="7"/>
  <c r="T152" i="7"/>
  <c r="S152" i="7"/>
  <c r="W151" i="7"/>
  <c r="V151" i="7"/>
  <c r="U151" i="7"/>
  <c r="T151" i="7"/>
  <c r="S151" i="7"/>
  <c r="W150" i="7"/>
  <c r="V150" i="7"/>
  <c r="U150" i="7"/>
  <c r="T150" i="7"/>
  <c r="S150" i="7"/>
  <c r="W149" i="7"/>
  <c r="V149" i="7"/>
  <c r="U149" i="7"/>
  <c r="T149" i="7"/>
  <c r="S149" i="7"/>
  <c r="W148" i="7"/>
  <c r="V148" i="7"/>
  <c r="U148" i="7"/>
  <c r="T148" i="7"/>
  <c r="S148" i="7"/>
  <c r="BS145" i="7"/>
  <c r="BM145" i="7"/>
  <c r="BG145" i="7"/>
  <c r="BG148" i="7" s="1"/>
  <c r="BA145" i="7"/>
  <c r="BA151" i="7" s="1"/>
  <c r="AU145" i="7"/>
  <c r="AU151" i="7" s="1"/>
  <c r="BY142" i="7"/>
  <c r="BO134" i="7"/>
  <c r="BI134" i="7"/>
  <c r="BF134" i="7"/>
  <c r="BE134" i="7"/>
  <c r="BD134" i="7"/>
  <c r="BC134" i="7"/>
  <c r="AY134" i="7"/>
  <c r="AX134" i="7"/>
  <c r="AW134" i="7"/>
  <c r="AS134" i="7"/>
  <c r="AR134" i="7"/>
  <c r="AQ134" i="7"/>
  <c r="AM134" i="7"/>
  <c r="AL134" i="7"/>
  <c r="AC133" i="7"/>
  <c r="BX133" i="7"/>
  <c r="BX128" i="7"/>
  <c r="BR128" i="7"/>
  <c r="BR133" i="7"/>
  <c r="BL133" i="7"/>
  <c r="BL128" i="7"/>
  <c r="BG133" i="7"/>
  <c r="BG128" i="7"/>
  <c r="AK133" i="7"/>
  <c r="AN133" i="7" s="1"/>
  <c r="AK128" i="7"/>
  <c r="AG133" i="7"/>
  <c r="AG134" i="7" s="1"/>
  <c r="AF133" i="7"/>
  <c r="AE133" i="7"/>
  <c r="BY132" i="7"/>
  <c r="BS132" i="7"/>
  <c r="BK132" i="7"/>
  <c r="BI132" i="7"/>
  <c r="CB132" i="7"/>
  <c r="CA132" i="7"/>
  <c r="BW132" i="7"/>
  <c r="BV132" i="7"/>
  <c r="BU132" i="7"/>
  <c r="BQ132" i="7"/>
  <c r="BP132" i="7"/>
  <c r="BO132" i="7"/>
  <c r="BE132" i="7"/>
  <c r="BD132" i="7"/>
  <c r="BC132" i="7"/>
  <c r="AY132" i="7"/>
  <c r="AX132" i="7"/>
  <c r="AW132" i="7"/>
  <c r="AS132" i="7"/>
  <c r="AR132" i="7"/>
  <c r="AM132" i="7"/>
  <c r="AL132" i="7"/>
  <c r="AZ133" i="7"/>
  <c r="BA133" i="7" s="1"/>
  <c r="AZ128" i="7"/>
  <c r="BF132" i="7" s="1"/>
  <c r="AT133" i="7"/>
  <c r="AU133" i="7" s="1"/>
  <c r="AT128" i="7"/>
  <c r="AH128" i="7"/>
  <c r="AI128" i="7" s="1"/>
  <c r="BO126" i="7"/>
  <c r="BI126" i="7"/>
  <c r="BE126" i="7"/>
  <c r="BD126" i="7"/>
  <c r="BC126" i="7"/>
  <c r="AY126" i="7"/>
  <c r="AX126" i="7"/>
  <c r="AW126" i="7"/>
  <c r="AS126" i="7"/>
  <c r="AR126" i="7"/>
  <c r="AM126" i="7"/>
  <c r="AC122" i="7"/>
  <c r="AC134" i="7" s="1"/>
  <c r="CB122" i="7"/>
  <c r="CA122" i="7"/>
  <c r="CG126" i="7" s="1"/>
  <c r="BY122" i="7"/>
  <c r="BY134" i="7" s="1"/>
  <c r="BW122" i="7"/>
  <c r="BW134" i="7" s="1"/>
  <c r="BV122" i="7"/>
  <c r="BV134" i="7" s="1"/>
  <c r="BU122" i="7"/>
  <c r="BU134" i="7" s="1"/>
  <c r="BS122" i="7"/>
  <c r="BQ122" i="7"/>
  <c r="BQ134" i="7" s="1"/>
  <c r="BP122" i="7"/>
  <c r="BP134" i="7" s="1"/>
  <c r="BM122" i="7"/>
  <c r="BM134" i="7" s="1"/>
  <c r="BK122" i="7"/>
  <c r="BK126" i="7" s="1"/>
  <c r="BJ122" i="7"/>
  <c r="BJ134" i="7" s="1"/>
  <c r="BG122" i="7"/>
  <c r="AZ122" i="7"/>
  <c r="BA122" i="7" s="1"/>
  <c r="AT122" i="7"/>
  <c r="AU122" i="7" s="1"/>
  <c r="AK122" i="7"/>
  <c r="AF122" i="7"/>
  <c r="AE122" i="7"/>
  <c r="BF120" i="7"/>
  <c r="BE120" i="7"/>
  <c r="BC120" i="7"/>
  <c r="AZ120" i="7"/>
  <c r="AY120" i="7"/>
  <c r="AX120" i="7"/>
  <c r="AW120" i="7"/>
  <c r="AS120" i="7"/>
  <c r="AR120" i="7"/>
  <c r="AQ120" i="7"/>
  <c r="AM120" i="7"/>
  <c r="AL120" i="7"/>
  <c r="AK120" i="7"/>
  <c r="AH120" i="7"/>
  <c r="AI120" i="7" s="1"/>
  <c r="BG119" i="7"/>
  <c r="BG117" i="7"/>
  <c r="BA119" i="7"/>
  <c r="BA117" i="7"/>
  <c r="AT119" i="7"/>
  <c r="AT117" i="7"/>
  <c r="AU117" i="7" s="1"/>
  <c r="AN119" i="7"/>
  <c r="AN117" i="7"/>
  <c r="BD114" i="7"/>
  <c r="BD120" i="7" s="1"/>
  <c r="BA114" i="7"/>
  <c r="AT114" i="7"/>
  <c r="AU114" i="7" s="1"/>
  <c r="AN114" i="7"/>
  <c r="AO114" i="7" s="1"/>
  <c r="K105" i="7"/>
  <c r="I105" i="7"/>
  <c r="G105" i="7"/>
  <c r="E105" i="7"/>
  <c r="C105" i="7"/>
  <c r="O102" i="7"/>
  <c r="M102" i="7"/>
  <c r="K102" i="7"/>
  <c r="I102" i="7"/>
  <c r="G102" i="7"/>
  <c r="E102" i="7"/>
  <c r="CB102" i="7"/>
  <c r="CH103" i="7" s="1"/>
  <c r="CA102" i="7"/>
  <c r="CG103" i="7" s="1"/>
  <c r="BW102" i="7"/>
  <c r="CC103" i="7" s="1"/>
  <c r="BV102" i="7"/>
  <c r="BU102" i="7"/>
  <c r="BQ102" i="7"/>
  <c r="BP102" i="7"/>
  <c r="BO102" i="7"/>
  <c r="BK102" i="7"/>
  <c r="BJ102" i="7"/>
  <c r="BI102" i="7"/>
  <c r="BE102" i="7"/>
  <c r="BD102" i="7"/>
  <c r="BC102" i="7"/>
  <c r="AY102" i="7"/>
  <c r="AX102" i="7"/>
  <c r="AW102" i="7"/>
  <c r="AS102" i="7"/>
  <c r="AR102" i="7"/>
  <c r="AQ102" i="7"/>
  <c r="AM102" i="7"/>
  <c r="AL102" i="7"/>
  <c r="AF102" i="7"/>
  <c r="AK102" i="7"/>
  <c r="AG102" i="7"/>
  <c r="AE102" i="7"/>
  <c r="AA102" i="7"/>
  <c r="Z102" i="7"/>
  <c r="Y102" i="7"/>
  <c r="U102" i="7"/>
  <c r="T102" i="7"/>
  <c r="S102" i="7"/>
  <c r="C102" i="7"/>
  <c r="CQ98" i="7"/>
  <c r="CP98" i="7"/>
  <c r="CO98" i="7"/>
  <c r="CN98" i="7"/>
  <c r="CM98" i="7"/>
  <c r="CQ97" i="7"/>
  <c r="CP97" i="7"/>
  <c r="CO97" i="7"/>
  <c r="CN97" i="7"/>
  <c r="CM97" i="7"/>
  <c r="CQ95" i="7"/>
  <c r="CP95" i="7"/>
  <c r="CO95" i="7"/>
  <c r="CN95" i="7"/>
  <c r="CM95" i="7"/>
  <c r="CQ94" i="7"/>
  <c r="CP94" i="7"/>
  <c r="CO94" i="7"/>
  <c r="CN94" i="7"/>
  <c r="CM94" i="7"/>
  <c r="CK98" i="7"/>
  <c r="CJ98" i="7"/>
  <c r="CI98" i="7"/>
  <c r="CG98" i="7"/>
  <c r="CK97" i="7"/>
  <c r="CJ97" i="7"/>
  <c r="CI97" i="7"/>
  <c r="CG97" i="7"/>
  <c r="CK95" i="7"/>
  <c r="CJ95" i="7"/>
  <c r="CI95" i="7"/>
  <c r="CG95" i="7"/>
  <c r="CK94" i="7"/>
  <c r="CJ94" i="7"/>
  <c r="CI94" i="7"/>
  <c r="CG94" i="7"/>
  <c r="BB82" i="7"/>
  <c r="AV82" i="7"/>
  <c r="AP82" i="7"/>
  <c r="AI80" i="7"/>
  <c r="AI13" i="8" s="1"/>
  <c r="AH79" i="7"/>
  <c r="AG79" i="7"/>
  <c r="AF79" i="7"/>
  <c r="AE79" i="7"/>
  <c r="BY72" i="7"/>
  <c r="BY15" i="7" s="1"/>
  <c r="BG72" i="7"/>
  <c r="BG15" i="7" s="1"/>
  <c r="AZ72" i="7"/>
  <c r="AT72" i="7"/>
  <c r="AN72" i="7"/>
  <c r="AN15" i="7" s="1"/>
  <c r="AE72" i="7"/>
  <c r="BU64" i="7"/>
  <c r="CA67" i="7"/>
  <c r="CA64" i="7"/>
  <c r="CA98" i="7" s="1"/>
  <c r="CB64" i="7"/>
  <c r="CB52" i="8" s="1"/>
  <c r="CC35" i="8"/>
  <c r="AG65" i="7"/>
  <c r="AF65" i="7"/>
  <c r="K51" i="36" s="1"/>
  <c r="AC65" i="7"/>
  <c r="BV67" i="7"/>
  <c r="BW64" i="7"/>
  <c r="BW52" i="8" s="1"/>
  <c r="BV64" i="7"/>
  <c r="BV98" i="7" s="1"/>
  <c r="BQ64" i="7"/>
  <c r="BQ98" i="7" s="1"/>
  <c r="BP64" i="7"/>
  <c r="BP52" i="8" s="1"/>
  <c r="BO64" i="7"/>
  <c r="BK64" i="7"/>
  <c r="BK52" i="8" s="1"/>
  <c r="BJ64" i="7"/>
  <c r="BJ52" i="8" s="1"/>
  <c r="BI64" i="7"/>
  <c r="BI98" i="7" s="1"/>
  <c r="BE65" i="7"/>
  <c r="BD65" i="7"/>
  <c r="AA51" i="36" s="1"/>
  <c r="BC65" i="7"/>
  <c r="Z51" i="36" s="1"/>
  <c r="BE64" i="7"/>
  <c r="BD64" i="7"/>
  <c r="BC64" i="7"/>
  <c r="BC98" i="7" s="1"/>
  <c r="AY65" i="7"/>
  <c r="X51" i="36" s="1"/>
  <c r="AX65" i="7"/>
  <c r="AW65" i="7"/>
  <c r="AY64" i="7"/>
  <c r="AY52" i="8" s="1"/>
  <c r="AX64" i="7"/>
  <c r="AX98" i="7" s="1"/>
  <c r="AW64" i="7"/>
  <c r="AW52" i="8" s="1"/>
  <c r="AS65" i="7"/>
  <c r="AR65" i="7"/>
  <c r="S51" i="36" s="1"/>
  <c r="AQ65" i="7"/>
  <c r="R51" i="36" s="1"/>
  <c r="AS64" i="7"/>
  <c r="AR64" i="7"/>
  <c r="AQ64" i="7"/>
  <c r="AM65" i="7"/>
  <c r="P51" i="36" s="1"/>
  <c r="AL65" i="7"/>
  <c r="AK65" i="7"/>
  <c r="AM64" i="7"/>
  <c r="AM98" i="7" s="1"/>
  <c r="AL64" i="7"/>
  <c r="AL98" i="7" s="1"/>
  <c r="BF63" i="7"/>
  <c r="BF61" i="7"/>
  <c r="AE63" i="7"/>
  <c r="CB62" i="7"/>
  <c r="CB97" i="7" s="1"/>
  <c r="CA62" i="7"/>
  <c r="CA51" i="8" s="1"/>
  <c r="BW62" i="7"/>
  <c r="BV62" i="7"/>
  <c r="BU62" i="7"/>
  <c r="BU51" i="8" s="1"/>
  <c r="BQ62" i="7"/>
  <c r="BP62" i="7"/>
  <c r="BP97" i="7" s="1"/>
  <c r="BO62" i="7"/>
  <c r="BK62" i="7"/>
  <c r="BK97" i="7" s="1"/>
  <c r="BJ62" i="7"/>
  <c r="BI62" i="7"/>
  <c r="BE62" i="7"/>
  <c r="BE97" i="7" s="1"/>
  <c r="BD62" i="7"/>
  <c r="BD97" i="7" s="1"/>
  <c r="BC62" i="7"/>
  <c r="AY62" i="7"/>
  <c r="AX62" i="7"/>
  <c r="AX51" i="8" s="1"/>
  <c r="AW62" i="7"/>
  <c r="AW97" i="7" s="1"/>
  <c r="AS62" i="7"/>
  <c r="AR62" i="7"/>
  <c r="AQ62" i="7"/>
  <c r="AQ51" i="8" s="1"/>
  <c r="AM62" i="7"/>
  <c r="AM97" i="7" s="1"/>
  <c r="AL62" i="7"/>
  <c r="AZ63" i="7"/>
  <c r="AZ61" i="7"/>
  <c r="AT63" i="7"/>
  <c r="AT61" i="7"/>
  <c r="AN63" i="7"/>
  <c r="AN61" i="7"/>
  <c r="AE61" i="7"/>
  <c r="CA52" i="7"/>
  <c r="CL56" i="7"/>
  <c r="CF56" i="7"/>
  <c r="BX51" i="7"/>
  <c r="CD52" i="7" s="1"/>
  <c r="CD95" i="7" s="1"/>
  <c r="BX49" i="7"/>
  <c r="CC34" i="8"/>
  <c r="AG53" i="7"/>
  <c r="L47" i="36" s="1"/>
  <c r="AF53" i="7"/>
  <c r="AC53" i="7"/>
  <c r="AI56" i="7" s="1"/>
  <c r="AI34" i="8" s="1"/>
  <c r="CB52" i="7"/>
  <c r="BW52" i="7"/>
  <c r="BV52" i="7"/>
  <c r="BU52" i="7"/>
  <c r="BQ52" i="7"/>
  <c r="BP52" i="7"/>
  <c r="BP95" i="7" s="1"/>
  <c r="BO52" i="7"/>
  <c r="BK52" i="7"/>
  <c r="BK49" i="8" s="1"/>
  <c r="BJ52" i="7"/>
  <c r="BJ49" i="8" s="1"/>
  <c r="BI52" i="7"/>
  <c r="BE53" i="7"/>
  <c r="BD53" i="7"/>
  <c r="AA47" i="36" s="1"/>
  <c r="BC53" i="7"/>
  <c r="Z47" i="36" s="1"/>
  <c r="BE52" i="7"/>
  <c r="BD52" i="7"/>
  <c r="BC52" i="7"/>
  <c r="AY53" i="7"/>
  <c r="X47" i="36" s="1"/>
  <c r="AX53" i="7"/>
  <c r="W47" i="36" s="1"/>
  <c r="AW53" i="7"/>
  <c r="AY52" i="7"/>
  <c r="AX52" i="7"/>
  <c r="AX95" i="7" s="1"/>
  <c r="AW52" i="7"/>
  <c r="AS53" i="7"/>
  <c r="T47" i="36" s="1"/>
  <c r="AR53" i="7"/>
  <c r="S47" i="36" s="1"/>
  <c r="AQ53" i="7"/>
  <c r="R47" i="36" s="1"/>
  <c r="AS52" i="7"/>
  <c r="AR52" i="7"/>
  <c r="AQ52" i="7"/>
  <c r="AM53" i="7"/>
  <c r="AL53" i="7"/>
  <c r="O47" i="36" s="1"/>
  <c r="AK53" i="7"/>
  <c r="N47" i="36" s="1"/>
  <c r="AM52" i="7"/>
  <c r="AM95" i="7" s="1"/>
  <c r="AL52" i="7"/>
  <c r="AE51" i="7"/>
  <c r="AK52" i="7" s="1"/>
  <c r="CB50" i="7"/>
  <c r="CA50" i="7"/>
  <c r="CA48" i="8" s="1"/>
  <c r="BW50" i="7"/>
  <c r="BW94" i="7" s="1"/>
  <c r="BV50" i="7"/>
  <c r="BV48" i="8" s="1"/>
  <c r="BU50" i="7"/>
  <c r="BQ50" i="7"/>
  <c r="BP50" i="7"/>
  <c r="BO50" i="7"/>
  <c r="BO94" i="7" s="1"/>
  <c r="BK50" i="7"/>
  <c r="BJ50" i="7"/>
  <c r="BJ94" i="7" s="1"/>
  <c r="BI50" i="7"/>
  <c r="BE50" i="7"/>
  <c r="BD50" i="7"/>
  <c r="BC50" i="7"/>
  <c r="BC94" i="7" s="1"/>
  <c r="AY50" i="7"/>
  <c r="AX50" i="7"/>
  <c r="AW50" i="7"/>
  <c r="AS50" i="7"/>
  <c r="AS94" i="7" s="1"/>
  <c r="AR50" i="7"/>
  <c r="AQ50" i="7"/>
  <c r="AM50" i="7"/>
  <c r="AL50" i="7"/>
  <c r="AL94" i="7" s="1"/>
  <c r="BF51" i="7"/>
  <c r="BF49" i="7"/>
  <c r="AZ51" i="7"/>
  <c r="AZ49" i="7"/>
  <c r="AT51" i="7"/>
  <c r="AU51" i="7" s="1"/>
  <c r="AN51" i="7"/>
  <c r="AO51" i="7" s="1"/>
  <c r="AT49" i="7"/>
  <c r="AN49" i="7"/>
  <c r="AO49" i="7" s="1"/>
  <c r="AE49" i="7"/>
  <c r="BY42" i="7"/>
  <c r="BY43" i="7" s="1"/>
  <c r="BY34" i="7"/>
  <c r="BY35" i="7" s="1"/>
  <c r="BV26" i="7"/>
  <c r="BY25" i="7"/>
  <c r="BY26" i="7" s="1"/>
  <c r="CC15" i="7"/>
  <c r="CB15" i="7"/>
  <c r="CA15" i="7"/>
  <c r="BX15" i="7"/>
  <c r="BU15" i="7"/>
  <c r="BL15" i="7"/>
  <c r="BK15" i="7"/>
  <c r="BJ15" i="7"/>
  <c r="BI15" i="7"/>
  <c r="BF15" i="7"/>
  <c r="BE15" i="7"/>
  <c r="BD15" i="7"/>
  <c r="BC15" i="7"/>
  <c r="AY15" i="7"/>
  <c r="AX15" i="7"/>
  <c r="AW15" i="7"/>
  <c r="AS15" i="7"/>
  <c r="AR15" i="7"/>
  <c r="AQ15" i="7"/>
  <c r="AM15" i="7"/>
  <c r="AL15" i="7"/>
  <c r="AK15" i="7"/>
  <c r="AG15" i="7"/>
  <c r="AF15" i="7"/>
  <c r="AC15" i="7"/>
  <c r="BJ7" i="7"/>
  <c r="BP7" i="7" s="1"/>
  <c r="BV7" i="7" s="1"/>
  <c r="CB7" i="7" s="1"/>
  <c r="CH7" i="7" s="1"/>
  <c r="CN7" i="7" s="1"/>
  <c r="CT7" i="7" s="1"/>
  <c r="CZ7" i="7" s="1"/>
  <c r="DF7" i="7" s="1"/>
  <c r="BI7" i="7"/>
  <c r="BO7" i="7" s="1"/>
  <c r="BU7" i="7" s="1"/>
  <c r="CA7" i="7" s="1"/>
  <c r="CG7" i="7" s="1"/>
  <c r="CM7" i="7" s="1"/>
  <c r="CS7" i="7" s="1"/>
  <c r="CY7" i="7" s="1"/>
  <c r="DE7" i="7" s="1"/>
  <c r="BF7" i="7"/>
  <c r="BL7" i="7" s="1"/>
  <c r="BR7" i="7" s="1"/>
  <c r="BX7" i="7" s="1"/>
  <c r="CD7" i="7" s="1"/>
  <c r="CJ7" i="7" s="1"/>
  <c r="CP7" i="7" s="1"/>
  <c r="CV7" i="7" s="1"/>
  <c r="DB7" i="7" s="1"/>
  <c r="DH7" i="7" s="1"/>
  <c r="BE7" i="7"/>
  <c r="BK7" i="7" s="1"/>
  <c r="BQ7" i="7" s="1"/>
  <c r="BW7" i="7" s="1"/>
  <c r="CC7" i="7" s="1"/>
  <c r="CI7" i="7" s="1"/>
  <c r="CO7" i="7" s="1"/>
  <c r="CU7" i="7" s="1"/>
  <c r="DA7" i="7" s="1"/>
  <c r="DG7" i="7" s="1"/>
  <c r="AE6" i="7"/>
  <c r="AI235" i="7" s="1"/>
  <c r="E6" i="7"/>
  <c r="E235" i="7" s="1"/>
  <c r="K116" i="1"/>
  <c r="K115" i="1"/>
  <c r="K139" i="3" s="1"/>
  <c r="BY116" i="1"/>
  <c r="BS116" i="1"/>
  <c r="BM116" i="1"/>
  <c r="BG116" i="1"/>
  <c r="BE116" i="1"/>
  <c r="BA116" i="1"/>
  <c r="BA115" i="1"/>
  <c r="BA139" i="3" s="1"/>
  <c r="AU116" i="1"/>
  <c r="AU115" i="1"/>
  <c r="AU139" i="3" s="1"/>
  <c r="AO116" i="1"/>
  <c r="AO115" i="1"/>
  <c r="AI116" i="1"/>
  <c r="AI115" i="1"/>
  <c r="AI139" i="3" s="1"/>
  <c r="AC116" i="1"/>
  <c r="AC115" i="1"/>
  <c r="AC139" i="3" s="1"/>
  <c r="W116" i="1"/>
  <c r="W115" i="1"/>
  <c r="W139" i="3" s="1"/>
  <c r="CE116" i="1"/>
  <c r="CJ116" i="1" s="1"/>
  <c r="CK116" i="1" s="1"/>
  <c r="CM116" i="1" s="1"/>
  <c r="CN116" i="1" s="1"/>
  <c r="CO116" i="1" s="1"/>
  <c r="CP116" i="1" s="1"/>
  <c r="CQ116" i="1" s="1"/>
  <c r="CS116" i="1" s="1"/>
  <c r="CT116" i="1" s="1"/>
  <c r="CU116" i="1" s="1"/>
  <c r="CV116" i="1" s="1"/>
  <c r="CW116" i="1" s="1"/>
  <c r="CY116" i="1" s="1"/>
  <c r="CZ116" i="1" s="1"/>
  <c r="DA116" i="1" s="1"/>
  <c r="DB116" i="1" s="1"/>
  <c r="DC116" i="1" s="1"/>
  <c r="DE116" i="1" s="1"/>
  <c r="DF116" i="1" s="1"/>
  <c r="DG116" i="1" s="1"/>
  <c r="DH116" i="1" s="1"/>
  <c r="DI116" i="1" s="1"/>
  <c r="Q115" i="1"/>
  <c r="Q139" i="3" s="1"/>
  <c r="M115" i="1"/>
  <c r="M139" i="3" s="1"/>
  <c r="I115" i="1"/>
  <c r="I139" i="3" s="1"/>
  <c r="E115" i="1"/>
  <c r="E139" i="3" s="1"/>
  <c r="M106" i="1"/>
  <c r="M105" i="1"/>
  <c r="M104" i="1"/>
  <c r="K105" i="1"/>
  <c r="K104" i="1"/>
  <c r="G106" i="1"/>
  <c r="G105" i="1"/>
  <c r="G104" i="1"/>
  <c r="E106" i="1"/>
  <c r="E105" i="1"/>
  <c r="E104" i="1"/>
  <c r="AF106" i="1"/>
  <c r="AE106" i="1"/>
  <c r="AH106" i="1" s="1"/>
  <c r="AI106" i="1" s="1"/>
  <c r="Q105" i="1"/>
  <c r="Q104" i="1"/>
  <c r="O105" i="1"/>
  <c r="O104" i="1"/>
  <c r="I105" i="1"/>
  <c r="I104" i="1"/>
  <c r="C105" i="1"/>
  <c r="C104" i="1"/>
  <c r="CN106" i="1"/>
  <c r="CO106" i="1" s="1"/>
  <c r="CP106" i="1" s="1"/>
  <c r="CQ106" i="1" s="1"/>
  <c r="CN105" i="1"/>
  <c r="CO105" i="1" s="1"/>
  <c r="CP105" i="1" s="1"/>
  <c r="CQ105" i="1" s="1"/>
  <c r="CN104" i="1"/>
  <c r="CO104" i="1" s="1"/>
  <c r="CB104" i="1"/>
  <c r="BX106" i="1"/>
  <c r="BW106" i="1"/>
  <c r="BV106" i="1"/>
  <c r="BU106" i="1"/>
  <c r="BX104" i="1"/>
  <c r="BW104" i="1"/>
  <c r="BV104" i="1"/>
  <c r="BU104" i="1"/>
  <c r="BR106" i="1"/>
  <c r="BQ106" i="1"/>
  <c r="BP106" i="1"/>
  <c r="BO106" i="1"/>
  <c r="BR104" i="1"/>
  <c r="BQ104" i="1"/>
  <c r="BP104" i="1"/>
  <c r="BO104" i="1"/>
  <c r="BL106" i="1"/>
  <c r="BK106" i="1"/>
  <c r="BJ106" i="1"/>
  <c r="BI106" i="1"/>
  <c r="BL104" i="1"/>
  <c r="BK104" i="1"/>
  <c r="BJ104" i="1"/>
  <c r="BI104" i="1"/>
  <c r="BF106" i="1"/>
  <c r="BG106" i="1" s="1"/>
  <c r="BD105" i="1"/>
  <c r="BE104" i="1"/>
  <c r="BD104" i="1"/>
  <c r="BC104" i="1"/>
  <c r="AY106" i="1"/>
  <c r="AX106" i="1"/>
  <c r="AW106" i="1"/>
  <c r="AY105" i="1"/>
  <c r="AX105" i="1"/>
  <c r="AW105" i="1"/>
  <c r="AY104" i="1"/>
  <c r="AX104" i="1"/>
  <c r="AW104" i="1"/>
  <c r="AS106" i="1"/>
  <c r="AR106" i="1"/>
  <c r="AQ106" i="1"/>
  <c r="AS105" i="1"/>
  <c r="AR105" i="1"/>
  <c r="AQ105" i="1"/>
  <c r="AS104" i="1"/>
  <c r="AR104" i="1"/>
  <c r="AQ104" i="1"/>
  <c r="AN106" i="1"/>
  <c r="AO106" i="1" s="1"/>
  <c r="AM105" i="1"/>
  <c r="AL105" i="1"/>
  <c r="AK105" i="1"/>
  <c r="AM104" i="1"/>
  <c r="AL104" i="1"/>
  <c r="AK104" i="1"/>
  <c r="AH105" i="1"/>
  <c r="AH104" i="1"/>
  <c r="AG105" i="1"/>
  <c r="AF105" i="1"/>
  <c r="AE105" i="1"/>
  <c r="AG104" i="1"/>
  <c r="AF104" i="1"/>
  <c r="AE104" i="1"/>
  <c r="AA106" i="1"/>
  <c r="AB106" i="1"/>
  <c r="AC106" i="1" s="1"/>
  <c r="AB105" i="1"/>
  <c r="AA105" i="1"/>
  <c r="AB104" i="1"/>
  <c r="AA104" i="1"/>
  <c r="Z105" i="1"/>
  <c r="Y105" i="1"/>
  <c r="Z104" i="1"/>
  <c r="Y104" i="1"/>
  <c r="V106" i="1"/>
  <c r="W106" i="1" s="1"/>
  <c r="V105" i="1"/>
  <c r="V104" i="1"/>
  <c r="U105" i="1"/>
  <c r="T105" i="1"/>
  <c r="S105" i="1"/>
  <c r="U104" i="1"/>
  <c r="T104" i="1"/>
  <c r="S104" i="1"/>
  <c r="Q101" i="1"/>
  <c r="Q100" i="1" s="1"/>
  <c r="Q107" i="1" s="1"/>
  <c r="O101" i="1"/>
  <c r="O100" i="1" s="1"/>
  <c r="O107" i="1" s="1"/>
  <c r="C101" i="1"/>
  <c r="C100" i="1" s="1"/>
  <c r="C107" i="1" s="1"/>
  <c r="CB101" i="1"/>
  <c r="CB100" i="1" s="1"/>
  <c r="CB107" i="1" s="1"/>
  <c r="BX101" i="1"/>
  <c r="BX100" i="1" s="1"/>
  <c r="BX107" i="1" s="1"/>
  <c r="BW101" i="1"/>
  <c r="BW100" i="1" s="1"/>
  <c r="BW107" i="1" s="1"/>
  <c r="BV101" i="1"/>
  <c r="BV100" i="1" s="1"/>
  <c r="BV107" i="1" s="1"/>
  <c r="BU101" i="1"/>
  <c r="BU100" i="1" s="1"/>
  <c r="BQ101" i="1"/>
  <c r="BQ100" i="1" s="1"/>
  <c r="BQ107" i="1" s="1"/>
  <c r="BP101" i="1"/>
  <c r="BP100" i="1" s="1"/>
  <c r="BP107" i="1" s="1"/>
  <c r="BO101" i="1"/>
  <c r="BO100" i="1" s="1"/>
  <c r="BO107" i="1" s="1"/>
  <c r="BK101" i="1"/>
  <c r="BK100" i="1" s="1"/>
  <c r="BK107" i="1" s="1"/>
  <c r="BJ101" i="1"/>
  <c r="BJ100" i="1" s="1"/>
  <c r="BJ107" i="1" s="1"/>
  <c r="BI101" i="1"/>
  <c r="BI100" i="1" s="1"/>
  <c r="BI107" i="1" s="1"/>
  <c r="BY99" i="1"/>
  <c r="BS99" i="1"/>
  <c r="BM99" i="1"/>
  <c r="BF99" i="1"/>
  <c r="BG99" i="1" s="1"/>
  <c r="AZ99" i="1"/>
  <c r="BA99" i="1" s="1"/>
  <c r="AT99" i="1"/>
  <c r="AU99" i="1" s="1"/>
  <c r="AN99" i="1"/>
  <c r="AO99" i="1" s="1"/>
  <c r="AH99" i="1"/>
  <c r="AI99" i="1" s="1"/>
  <c r="AB99" i="1"/>
  <c r="AC99" i="1" s="1"/>
  <c r="V99" i="1"/>
  <c r="W99" i="1" s="1"/>
  <c r="Q93" i="1"/>
  <c r="O93" i="1"/>
  <c r="M93" i="1"/>
  <c r="K93" i="1"/>
  <c r="I93" i="1"/>
  <c r="G92" i="1"/>
  <c r="G93" i="1" s="1"/>
  <c r="E93" i="1"/>
  <c r="C93" i="1"/>
  <c r="P95" i="1"/>
  <c r="BE93" i="1"/>
  <c r="BD93" i="1"/>
  <c r="BC93" i="1"/>
  <c r="AM93" i="1"/>
  <c r="AL93" i="1"/>
  <c r="AK93" i="1"/>
  <c r="AG93" i="1"/>
  <c r="Z93" i="1"/>
  <c r="Y93" i="1"/>
  <c r="U93" i="1"/>
  <c r="T93" i="1"/>
  <c r="S93" i="1"/>
  <c r="BV92" i="1"/>
  <c r="BV93" i="1" s="1"/>
  <c r="BX92" i="1"/>
  <c r="BX93" i="1"/>
  <c r="BW92" i="1"/>
  <c r="BW93" i="1" s="1"/>
  <c r="BU92" i="1"/>
  <c r="BU93" i="1" s="1"/>
  <c r="BU11" i="1"/>
  <c r="BU9" i="1" s="1"/>
  <c r="BR92" i="1"/>
  <c r="BR93" i="1" s="1"/>
  <c r="BQ92" i="1"/>
  <c r="BQ93" i="1" s="1"/>
  <c r="BP92" i="1"/>
  <c r="BP93" i="1" s="1"/>
  <c r="BO92" i="1"/>
  <c r="BO93" i="1" s="1"/>
  <c r="BL92" i="1"/>
  <c r="BL93" i="1" s="1"/>
  <c r="BK92" i="1"/>
  <c r="BK93" i="1" s="1"/>
  <c r="BJ92" i="1"/>
  <c r="BJ93" i="1" s="1"/>
  <c r="BI92" i="1"/>
  <c r="BI93" i="1" s="1"/>
  <c r="AY92" i="1"/>
  <c r="AY93" i="1" s="1"/>
  <c r="AX92" i="1"/>
  <c r="AX93" i="1" s="1"/>
  <c r="AW92" i="1"/>
  <c r="AW93" i="1" s="1"/>
  <c r="AW11" i="1"/>
  <c r="AW9" i="1" s="1"/>
  <c r="AS92" i="1"/>
  <c r="AS93" i="1" s="1"/>
  <c r="AR92" i="1"/>
  <c r="AR93" i="1"/>
  <c r="AQ92" i="1"/>
  <c r="AQ93" i="1" s="1"/>
  <c r="AF92" i="1"/>
  <c r="AF93" i="1" s="1"/>
  <c r="AE92" i="1"/>
  <c r="AA92" i="1"/>
  <c r="AB92" i="1" s="1"/>
  <c r="AC92" i="1" s="1"/>
  <c r="V92" i="1"/>
  <c r="W92" i="1" s="1"/>
  <c r="CA90" i="1"/>
  <c r="BY91" i="1"/>
  <c r="BY90" i="1"/>
  <c r="BY89" i="1"/>
  <c r="BS91" i="1"/>
  <c r="BS90" i="1"/>
  <c r="BS89" i="1"/>
  <c r="BM91" i="1"/>
  <c r="BM90" i="1"/>
  <c r="BM89" i="1"/>
  <c r="AI91" i="1"/>
  <c r="AI90" i="1"/>
  <c r="AC91" i="1"/>
  <c r="AC90" i="1"/>
  <c r="W91" i="1"/>
  <c r="W90" i="1"/>
  <c r="BF92" i="1"/>
  <c r="BG92" i="1" s="1"/>
  <c r="BF91" i="1"/>
  <c r="BG91" i="1" s="1"/>
  <c r="BF90" i="1"/>
  <c r="BF89" i="1"/>
  <c r="BG89" i="1" s="1"/>
  <c r="AZ91" i="1"/>
  <c r="BA91" i="1" s="1"/>
  <c r="AZ90" i="1"/>
  <c r="BA90" i="1" s="1"/>
  <c r="AZ89" i="1"/>
  <c r="BA89" i="1" s="1"/>
  <c r="AT91" i="1"/>
  <c r="AU91" i="1" s="1"/>
  <c r="AT90" i="1"/>
  <c r="AU90" i="1" s="1"/>
  <c r="AT89" i="1"/>
  <c r="AU89" i="1" s="1"/>
  <c r="AN92" i="1"/>
  <c r="AN91" i="1"/>
  <c r="AO91" i="1" s="1"/>
  <c r="AN90" i="1"/>
  <c r="AO90" i="1" s="1"/>
  <c r="AN89" i="1"/>
  <c r="AO89" i="1" s="1"/>
  <c r="AH89" i="1"/>
  <c r="AI89" i="1" s="1"/>
  <c r="AB89" i="1"/>
  <c r="AC89" i="1" s="1"/>
  <c r="V89" i="1"/>
  <c r="W89" i="1" s="1"/>
  <c r="BD85" i="1"/>
  <c r="AY84" i="1"/>
  <c r="AX84" i="1"/>
  <c r="AS84" i="1"/>
  <c r="AR84" i="1"/>
  <c r="AQ84" i="1"/>
  <c r="AO84" i="1"/>
  <c r="AH84" i="1"/>
  <c r="AI84" i="1" s="1"/>
  <c r="AB84" i="1"/>
  <c r="AC84" i="1" s="1"/>
  <c r="W84" i="1"/>
  <c r="W83" i="1"/>
  <c r="CA83" i="1"/>
  <c r="CA105" i="1" s="1"/>
  <c r="BX84" i="1"/>
  <c r="BW84" i="1"/>
  <c r="BV84" i="1"/>
  <c r="BU84" i="1"/>
  <c r="BX83" i="1"/>
  <c r="BX85" i="1" s="1"/>
  <c r="BW83" i="1"/>
  <c r="BV83" i="1"/>
  <c r="BV85" i="1" s="1"/>
  <c r="BU83" i="1"/>
  <c r="BU85" i="1" s="1"/>
  <c r="BR84" i="1"/>
  <c r="BQ84" i="1"/>
  <c r="BP84" i="1"/>
  <c r="BO84" i="1"/>
  <c r="BS84" i="1" s="1"/>
  <c r="BR83" i="1"/>
  <c r="BR105" i="1" s="1"/>
  <c r="BQ83" i="1"/>
  <c r="BQ105" i="1" s="1"/>
  <c r="BP83" i="1"/>
  <c r="BP105" i="1" s="1"/>
  <c r="BL84" i="1"/>
  <c r="BK84" i="1"/>
  <c r="BJ84" i="1"/>
  <c r="BI84" i="1"/>
  <c r="BM84" i="1" s="1"/>
  <c r="BL83" i="1"/>
  <c r="BL105" i="1" s="1"/>
  <c r="BK83" i="1"/>
  <c r="BK105" i="1" s="1"/>
  <c r="BJ83" i="1"/>
  <c r="BI83" i="1"/>
  <c r="BI105" i="1" s="1"/>
  <c r="BE83" i="1"/>
  <c r="BC83" i="1"/>
  <c r="AN83" i="1"/>
  <c r="AI83" i="1"/>
  <c r="AC83" i="1"/>
  <c r="BY82" i="1"/>
  <c r="BS82" i="1"/>
  <c r="BM82" i="1"/>
  <c r="BF84" i="1"/>
  <c r="BG84" i="1" s="1"/>
  <c r="BF82" i="1"/>
  <c r="BG82" i="1" s="1"/>
  <c r="AZ83" i="1"/>
  <c r="BA83" i="1" s="1"/>
  <c r="AY82" i="1"/>
  <c r="AX82" i="1"/>
  <c r="AW82" i="1"/>
  <c r="AW85" i="1" s="1"/>
  <c r="AT83" i="1"/>
  <c r="AS82" i="1"/>
  <c r="AS85" i="1" s="1"/>
  <c r="AR82" i="1"/>
  <c r="AR85" i="1" s="1"/>
  <c r="AQ82" i="1"/>
  <c r="AM82" i="1"/>
  <c r="AM85" i="1"/>
  <c r="AM87" i="1" s="1"/>
  <c r="AM17" i="1"/>
  <c r="AL82" i="1"/>
  <c r="AL85" i="1" s="1"/>
  <c r="AL87" i="1" s="1"/>
  <c r="AK82" i="1"/>
  <c r="AK85" i="1" s="1"/>
  <c r="AG82" i="1"/>
  <c r="AG85" i="1" s="1"/>
  <c r="AG87" i="1" s="1"/>
  <c r="AF82" i="1"/>
  <c r="AE82" i="1"/>
  <c r="AH82" i="1" s="1"/>
  <c r="AA82" i="1"/>
  <c r="Z82" i="1"/>
  <c r="Y82" i="1"/>
  <c r="Y85" i="1" s="1"/>
  <c r="Y87" i="1" s="1"/>
  <c r="U82" i="1"/>
  <c r="U85" i="1" s="1"/>
  <c r="T82" i="1"/>
  <c r="T85" i="1"/>
  <c r="S82" i="1"/>
  <c r="S85" i="1" s="1"/>
  <c r="Q82" i="1"/>
  <c r="Q85" i="1" s="1"/>
  <c r="Q87" i="1" s="1"/>
  <c r="Q17" i="1"/>
  <c r="O82" i="1"/>
  <c r="O85" i="1"/>
  <c r="M82" i="1"/>
  <c r="M85" i="1" s="1"/>
  <c r="K82" i="1"/>
  <c r="K85" i="1" s="1"/>
  <c r="K87" i="1" s="1"/>
  <c r="I82" i="1"/>
  <c r="I85" i="1" s="1"/>
  <c r="G82" i="1"/>
  <c r="G85" i="1"/>
  <c r="E82" i="1"/>
  <c r="E85" i="1" s="1"/>
  <c r="C82" i="1"/>
  <c r="C85" i="1" s="1"/>
  <c r="C87" i="1" s="1"/>
  <c r="Q78" i="1"/>
  <c r="O78" i="1"/>
  <c r="CC78" i="1"/>
  <c r="CA78" i="1"/>
  <c r="BK78" i="1"/>
  <c r="BJ78" i="1"/>
  <c r="BI78" i="1"/>
  <c r="BE78" i="1"/>
  <c r="BD78" i="1"/>
  <c r="BC78" i="1"/>
  <c r="AY78" i="1"/>
  <c r="AX78" i="1"/>
  <c r="AW78" i="1"/>
  <c r="AS78" i="1"/>
  <c r="AR78" i="1"/>
  <c r="AQ78" i="1"/>
  <c r="AM78" i="1"/>
  <c r="AL78" i="1"/>
  <c r="AK78" i="1"/>
  <c r="AG78" i="1"/>
  <c r="AF78" i="1"/>
  <c r="AE78" i="1"/>
  <c r="AA78" i="1"/>
  <c r="Z78" i="1"/>
  <c r="Y78" i="1"/>
  <c r="U78" i="1"/>
  <c r="T78" i="1"/>
  <c r="S78" i="1"/>
  <c r="CB78" i="1"/>
  <c r="BX77" i="1"/>
  <c r="BX78" i="1" s="1"/>
  <c r="BW77" i="1"/>
  <c r="BV77" i="1"/>
  <c r="BV78" i="1" s="1"/>
  <c r="BU77" i="1"/>
  <c r="BU78" i="1" s="1"/>
  <c r="BR77" i="1"/>
  <c r="BR78" i="1" s="1"/>
  <c r="BQ77" i="1"/>
  <c r="BQ78" i="1"/>
  <c r="BP77" i="1"/>
  <c r="BP78" i="1" s="1"/>
  <c r="BO77" i="1"/>
  <c r="BL77" i="1"/>
  <c r="BL78" i="1" s="1"/>
  <c r="BG77" i="1"/>
  <c r="AO77" i="1"/>
  <c r="AO76" i="1"/>
  <c r="AI77" i="1"/>
  <c r="AI76" i="1"/>
  <c r="AI75" i="1"/>
  <c r="AC77" i="1"/>
  <c r="AC76" i="1"/>
  <c r="AC75" i="1"/>
  <c r="W77" i="1"/>
  <c r="W76" i="1"/>
  <c r="W75" i="1"/>
  <c r="BY76" i="1"/>
  <c r="BY75" i="1"/>
  <c r="BY74" i="1"/>
  <c r="BS75" i="1"/>
  <c r="BS74" i="1"/>
  <c r="BO76" i="1"/>
  <c r="BO83" i="1"/>
  <c r="BO105" i="1" s="1"/>
  <c r="BM76" i="1"/>
  <c r="BM75" i="1"/>
  <c r="BM74" i="1"/>
  <c r="BF76" i="1"/>
  <c r="BG76" i="1" s="1"/>
  <c r="BF75" i="1"/>
  <c r="BF74" i="1"/>
  <c r="BG74" i="1" s="1"/>
  <c r="AN75" i="1"/>
  <c r="AO75" i="1" s="1"/>
  <c r="AN74" i="1"/>
  <c r="AO74" i="1" s="1"/>
  <c r="AZ77" i="1"/>
  <c r="AZ76" i="1"/>
  <c r="BA76" i="1" s="1"/>
  <c r="AZ75" i="1"/>
  <c r="AZ104" i="1" s="1"/>
  <c r="AZ74" i="1"/>
  <c r="BA74" i="1" s="1"/>
  <c r="AT77" i="1"/>
  <c r="AU77" i="1" s="1"/>
  <c r="AT76" i="1"/>
  <c r="AU76" i="1" s="1"/>
  <c r="AT75" i="1"/>
  <c r="AT104" i="1" s="1"/>
  <c r="AT74" i="1"/>
  <c r="AU74" i="1" s="1"/>
  <c r="AH74" i="1"/>
  <c r="AB74" i="1"/>
  <c r="AC74" i="1" s="1"/>
  <c r="V74" i="1"/>
  <c r="V78" i="1" s="1"/>
  <c r="M74" i="1"/>
  <c r="M78" i="1" s="1"/>
  <c r="K74" i="1"/>
  <c r="K78" i="1" s="1"/>
  <c r="I74" i="1"/>
  <c r="I78" i="1" s="1"/>
  <c r="G74" i="1"/>
  <c r="G78" i="1" s="1"/>
  <c r="E74" i="1"/>
  <c r="E78" i="1" s="1"/>
  <c r="C74" i="1"/>
  <c r="C78" i="1" s="1"/>
  <c r="Q64" i="1"/>
  <c r="O64" i="1"/>
  <c r="M64" i="1"/>
  <c r="K64" i="1"/>
  <c r="I64" i="1"/>
  <c r="G64" i="1"/>
  <c r="E64" i="1"/>
  <c r="CC64" i="1"/>
  <c r="CB64" i="1"/>
  <c r="BW64" i="1"/>
  <c r="BV64" i="1"/>
  <c r="BQ64" i="1"/>
  <c r="BP64" i="1"/>
  <c r="BO64" i="1"/>
  <c r="BK64" i="1"/>
  <c r="BJ64" i="1"/>
  <c r="BI64" i="1"/>
  <c r="BE64" i="1"/>
  <c r="BD64" i="1"/>
  <c r="BC64" i="1"/>
  <c r="AY64" i="1"/>
  <c r="AX64" i="1"/>
  <c r="AW64" i="1"/>
  <c r="AS64" i="1"/>
  <c r="AR64" i="1"/>
  <c r="AQ64" i="1"/>
  <c r="AM64" i="1"/>
  <c r="AL64" i="1"/>
  <c r="AK64" i="1"/>
  <c r="AG64" i="1"/>
  <c r="AF64" i="1"/>
  <c r="AE64" i="1"/>
  <c r="AA64" i="1"/>
  <c r="Z64" i="1"/>
  <c r="Y64" i="1"/>
  <c r="O47" i="1"/>
  <c r="K48" i="1"/>
  <c r="I48" i="1"/>
  <c r="I47" i="1"/>
  <c r="G48" i="1"/>
  <c r="G47" i="1"/>
  <c r="E48" i="1"/>
  <c r="E47" i="1"/>
  <c r="DU48" i="1"/>
  <c r="DU49" i="1" s="1"/>
  <c r="DV49" i="1" s="1"/>
  <c r="DV47" i="1" s="1"/>
  <c r="DW47" i="1" s="1"/>
  <c r="CN52" i="1"/>
  <c r="CN51" i="1"/>
  <c r="C48" i="1"/>
  <c r="C47" i="1"/>
  <c r="AM47" i="1"/>
  <c r="AL47" i="1"/>
  <c r="AK47" i="1"/>
  <c r="AG47" i="1"/>
  <c r="AF47" i="1"/>
  <c r="AE47" i="1"/>
  <c r="AA47" i="1"/>
  <c r="Z47" i="1"/>
  <c r="Y47" i="1"/>
  <c r="U47" i="1"/>
  <c r="T47" i="1"/>
  <c r="S47" i="1"/>
  <c r="CB43" i="1"/>
  <c r="CA43" i="1"/>
  <c r="BY43" i="1"/>
  <c r="BX43" i="1"/>
  <c r="BW43" i="1"/>
  <c r="BV43" i="1"/>
  <c r="BU43" i="1"/>
  <c r="BS43" i="1"/>
  <c r="BR43" i="1"/>
  <c r="BQ43" i="1"/>
  <c r="BP43" i="1"/>
  <c r="BO43" i="1"/>
  <c r="BM43" i="1"/>
  <c r="BL43" i="1"/>
  <c r="BK43" i="1"/>
  <c r="BJ43" i="1"/>
  <c r="BI43" i="1"/>
  <c r="BG43" i="1"/>
  <c r="BF43" i="1"/>
  <c r="BE43" i="1"/>
  <c r="BD43" i="1"/>
  <c r="BC43" i="1"/>
  <c r="BA43" i="1"/>
  <c r="AZ43" i="1"/>
  <c r="AY43" i="1"/>
  <c r="AX43" i="1"/>
  <c r="AW43" i="1"/>
  <c r="AU43" i="1"/>
  <c r="AT43" i="1"/>
  <c r="AS43" i="1"/>
  <c r="AR43" i="1"/>
  <c r="AQ43" i="1"/>
  <c r="AO43" i="1"/>
  <c r="AN43" i="1"/>
  <c r="AM43" i="1"/>
  <c r="AL43" i="1"/>
  <c r="AK43" i="1"/>
  <c r="AI43" i="1"/>
  <c r="AH43" i="1"/>
  <c r="AG43" i="1"/>
  <c r="AF43" i="1"/>
  <c r="AE43" i="1"/>
  <c r="AC43" i="1"/>
  <c r="AB43" i="1"/>
  <c r="AA43" i="1"/>
  <c r="Z43" i="1"/>
  <c r="Y43" i="1"/>
  <c r="W43" i="1"/>
  <c r="V43" i="1"/>
  <c r="U43" i="1"/>
  <c r="T43" i="1"/>
  <c r="S43" i="1"/>
  <c r="Q43" i="1"/>
  <c r="O43" i="1"/>
  <c r="M43" i="1"/>
  <c r="K43" i="1"/>
  <c r="I43" i="1"/>
  <c r="G43" i="1"/>
  <c r="E43" i="1"/>
  <c r="C43" i="1"/>
  <c r="CB41" i="1"/>
  <c r="CA41" i="1"/>
  <c r="BX41" i="1"/>
  <c r="BW41" i="1"/>
  <c r="BV41" i="1"/>
  <c r="BU41" i="1"/>
  <c r="BS41" i="1"/>
  <c r="BR41" i="1"/>
  <c r="BQ41" i="1"/>
  <c r="BP41" i="1"/>
  <c r="BO41" i="1"/>
  <c r="BM41" i="1"/>
  <c r="BL41" i="1"/>
  <c r="BK41" i="1"/>
  <c r="BJ41" i="1"/>
  <c r="BI41" i="1"/>
  <c r="BG41" i="1"/>
  <c r="BF41" i="1"/>
  <c r="BE41" i="1"/>
  <c r="BD41" i="1"/>
  <c r="BC41" i="1"/>
  <c r="BA41" i="1"/>
  <c r="AZ41" i="1"/>
  <c r="AY41" i="1"/>
  <c r="AX41" i="1"/>
  <c r="AW41" i="1"/>
  <c r="AU41" i="1"/>
  <c r="AT41" i="1"/>
  <c r="AS41" i="1"/>
  <c r="AR41" i="1"/>
  <c r="AQ41" i="1"/>
  <c r="AO41" i="1"/>
  <c r="AN41" i="1"/>
  <c r="AM41" i="1"/>
  <c r="AL41" i="1"/>
  <c r="AK41" i="1"/>
  <c r="AI41" i="1"/>
  <c r="AH41" i="1"/>
  <c r="AG41" i="1"/>
  <c r="AF41" i="1"/>
  <c r="AE41" i="1"/>
  <c r="AC41" i="1"/>
  <c r="AB41" i="1"/>
  <c r="AA41" i="1"/>
  <c r="Z41" i="1"/>
  <c r="Y41" i="1"/>
  <c r="W41" i="1"/>
  <c r="V41" i="1"/>
  <c r="U41" i="1"/>
  <c r="T41" i="1"/>
  <c r="S41" i="1"/>
  <c r="Q41" i="1"/>
  <c r="O41" i="1"/>
  <c r="M41" i="1"/>
  <c r="K41" i="1"/>
  <c r="I41" i="1"/>
  <c r="G41" i="1"/>
  <c r="E41" i="1"/>
  <c r="C41" i="1"/>
  <c r="BX40" i="1"/>
  <c r="BR40" i="1"/>
  <c r="BL40" i="1"/>
  <c r="BG40" i="1"/>
  <c r="BF40" i="1"/>
  <c r="AZ40" i="1"/>
  <c r="AT40" i="1"/>
  <c r="AN40" i="1"/>
  <c r="AH40" i="1"/>
  <c r="AB40" i="1"/>
  <c r="V40" i="1"/>
  <c r="M31" i="1"/>
  <c r="M29" i="1"/>
  <c r="M27" i="1"/>
  <c r="M166" i="3"/>
  <c r="K31" i="1"/>
  <c r="K29" i="1"/>
  <c r="K101" i="1" s="1"/>
  <c r="K100" i="1" s="1"/>
  <c r="K107" i="1" s="1"/>
  <c r="K27" i="1"/>
  <c r="CQ31" i="1"/>
  <c r="CQ18" i="1"/>
  <c r="CK31" i="1"/>
  <c r="CE31" i="1"/>
  <c r="BY31" i="1"/>
  <c r="BY29" i="1"/>
  <c r="I29" i="1"/>
  <c r="G29" i="1"/>
  <c r="E29" i="1"/>
  <c r="BE29" i="1"/>
  <c r="BD29" i="1"/>
  <c r="BC29" i="1"/>
  <c r="Q27" i="1"/>
  <c r="Q166" i="3" s="1"/>
  <c r="O27" i="1"/>
  <c r="O166" i="3" s="1"/>
  <c r="BW27" i="1"/>
  <c r="BU27" i="1"/>
  <c r="BQ27" i="1"/>
  <c r="BO27" i="1"/>
  <c r="BJ27" i="1"/>
  <c r="BI27" i="1"/>
  <c r="BE27" i="1"/>
  <c r="BE11" i="1"/>
  <c r="BE9" i="1" s="1"/>
  <c r="BC27" i="1"/>
  <c r="AY29" i="1"/>
  <c r="AX29" i="1"/>
  <c r="AW29" i="1"/>
  <c r="AY27" i="1"/>
  <c r="AX27" i="1"/>
  <c r="AW27" i="1"/>
  <c r="AS29" i="1"/>
  <c r="AQ29" i="1"/>
  <c r="AR29" i="1"/>
  <c r="AT29" i="1" s="1"/>
  <c r="AQ101" i="1"/>
  <c r="AQ100" i="1" s="1"/>
  <c r="AQ107" i="1" s="1"/>
  <c r="AS27" i="1"/>
  <c r="AR27" i="1"/>
  <c r="AQ27" i="1"/>
  <c r="AT27" i="1" s="1"/>
  <c r="AT166" i="3" s="1"/>
  <c r="AM29" i="1"/>
  <c r="AL29" i="1"/>
  <c r="AK29" i="1"/>
  <c r="AK101" i="1" s="1"/>
  <c r="AK100" i="1" s="1"/>
  <c r="AK107" i="1" s="1"/>
  <c r="AM27" i="1"/>
  <c r="AL27" i="1"/>
  <c r="AK27" i="1"/>
  <c r="AG29" i="1"/>
  <c r="AE29" i="1"/>
  <c r="AH29" i="1" s="1"/>
  <c r="AF29" i="1"/>
  <c r="AG27" i="1"/>
  <c r="AF27" i="1"/>
  <c r="AE27" i="1"/>
  <c r="AA29" i="1"/>
  <c r="Z29" i="1"/>
  <c r="Z101" i="1" s="1"/>
  <c r="Z100" i="1" s="1"/>
  <c r="Y29" i="1"/>
  <c r="AA27" i="1"/>
  <c r="Z27" i="1"/>
  <c r="Y27" i="1"/>
  <c r="U29" i="1"/>
  <c r="T29" i="1"/>
  <c r="S29" i="1"/>
  <c r="U27" i="1"/>
  <c r="T27" i="1"/>
  <c r="T166" i="3" s="1"/>
  <c r="S27" i="1"/>
  <c r="S166" i="3" s="1"/>
  <c r="BX26" i="1"/>
  <c r="BY26" i="1" s="1"/>
  <c r="BX25" i="1"/>
  <c r="BY25" i="1" s="1"/>
  <c r="BX18" i="1"/>
  <c r="BX17" i="1"/>
  <c r="BX16" i="1"/>
  <c r="BX10" i="1"/>
  <c r="Q22" i="1"/>
  <c r="O22" i="1"/>
  <c r="M22" i="1"/>
  <c r="M18" i="1"/>
  <c r="M17" i="1"/>
  <c r="K22" i="1"/>
  <c r="K18" i="1"/>
  <c r="K17" i="1"/>
  <c r="K19" i="1" s="1"/>
  <c r="I22" i="1"/>
  <c r="I18" i="1"/>
  <c r="I17" i="1"/>
  <c r="I19" i="1" s="1"/>
  <c r="G21" i="1"/>
  <c r="G95" i="1" s="1"/>
  <c r="G18" i="1"/>
  <c r="G17" i="1"/>
  <c r="G19" i="1" s="1"/>
  <c r="E21" i="1"/>
  <c r="E95" i="1" s="1"/>
  <c r="E18" i="1"/>
  <c r="E17" i="1"/>
  <c r="E19" i="1" s="1"/>
  <c r="E169" i="3" s="1"/>
  <c r="C21" i="1"/>
  <c r="CA22" i="1"/>
  <c r="BU22" i="1"/>
  <c r="BO22" i="1"/>
  <c r="BK22" i="1"/>
  <c r="BI22" i="1"/>
  <c r="AK22" i="1"/>
  <c r="AG22" i="1"/>
  <c r="AF22" i="1"/>
  <c r="AE22" i="1"/>
  <c r="AA22" i="1"/>
  <c r="Z22" i="1"/>
  <c r="Y22" i="1"/>
  <c r="BV18" i="1"/>
  <c r="BV17" i="1"/>
  <c r="AL18" i="1"/>
  <c r="AL17" i="1"/>
  <c r="AK18" i="1"/>
  <c r="AF18" i="1"/>
  <c r="AE18" i="1"/>
  <c r="AA18" i="1"/>
  <c r="AA17" i="1"/>
  <c r="BW17" i="1"/>
  <c r="AJ94" i="36" s="1"/>
  <c r="BU17" i="1"/>
  <c r="BU16" i="1"/>
  <c r="BU14" i="1"/>
  <c r="BU48" i="1" s="1"/>
  <c r="BU13" i="1"/>
  <c r="BQ17" i="1"/>
  <c r="BP17" i="1"/>
  <c r="AE94" i="36" s="1"/>
  <c r="BO17" i="1"/>
  <c r="AD94" i="36" s="1"/>
  <c r="BK17" i="1"/>
  <c r="BJ17" i="1"/>
  <c r="BC22" i="1"/>
  <c r="BE18" i="1"/>
  <c r="BD18" i="1"/>
  <c r="BC18" i="1"/>
  <c r="BE17" i="1"/>
  <c r="X94" i="36" s="1"/>
  <c r="BD17" i="1"/>
  <c r="BC17" i="1"/>
  <c r="AW22" i="1"/>
  <c r="AY18" i="1"/>
  <c r="AX18" i="1"/>
  <c r="AW18" i="1"/>
  <c r="AY17" i="1"/>
  <c r="AX17" i="1"/>
  <c r="AW17" i="1"/>
  <c r="AW19" i="1" s="1"/>
  <c r="AW169" i="3" s="1"/>
  <c r="AQ22" i="1"/>
  <c r="AS18" i="1"/>
  <c r="AR18" i="1"/>
  <c r="AQ18" i="1"/>
  <c r="AS17" i="1"/>
  <c r="P94" i="36" s="1"/>
  <c r="AR17" i="1"/>
  <c r="AQ17" i="1"/>
  <c r="N94" i="36" s="1"/>
  <c r="AK17" i="1"/>
  <c r="AG17" i="1"/>
  <c r="H94" i="36" s="1"/>
  <c r="AF17" i="1"/>
  <c r="G94" i="36" s="1"/>
  <c r="AE17" i="1"/>
  <c r="Z17" i="1"/>
  <c r="Y17" i="1"/>
  <c r="Y19" i="1" s="1"/>
  <c r="U22" i="1"/>
  <c r="T22" i="1"/>
  <c r="S22" i="1"/>
  <c r="U18" i="1"/>
  <c r="T18" i="1"/>
  <c r="S18" i="1"/>
  <c r="U17" i="1"/>
  <c r="T17" i="1"/>
  <c r="S17" i="1"/>
  <c r="O17" i="1"/>
  <c r="C17" i="1"/>
  <c r="BD14" i="1"/>
  <c r="BF14" i="1" s="1"/>
  <c r="BC14" i="1"/>
  <c r="DW12" i="1"/>
  <c r="DV12" i="1"/>
  <c r="DU12" i="1"/>
  <c r="AW13" i="1"/>
  <c r="AW47" i="1" s="1"/>
  <c r="AW12" i="1"/>
  <c r="AQ13" i="1"/>
  <c r="AQ47" i="1" s="1"/>
  <c r="AQ11" i="1"/>
  <c r="M13" i="1"/>
  <c r="M47" i="1"/>
  <c r="M11" i="1"/>
  <c r="M105" i="7" s="1"/>
  <c r="K13" i="1"/>
  <c r="K47" i="1" s="1"/>
  <c r="Q12" i="1"/>
  <c r="Q72" i="3" s="1"/>
  <c r="Q11" i="1"/>
  <c r="Q10" i="1"/>
  <c r="Q47" i="1" s="1"/>
  <c r="O12" i="1"/>
  <c r="O72" i="3" s="1"/>
  <c r="O11" i="1"/>
  <c r="O48" i="1"/>
  <c r="I12" i="1"/>
  <c r="I73" i="3" s="1"/>
  <c r="G12" i="1"/>
  <c r="E12" i="1"/>
  <c r="E168" i="3" s="1"/>
  <c r="C12" i="1"/>
  <c r="C168" i="3" s="1"/>
  <c r="CA47" i="1"/>
  <c r="CB105" i="7"/>
  <c r="CH106" i="7" s="1"/>
  <c r="BW14" i="1"/>
  <c r="BW13" i="1"/>
  <c r="BW12" i="1" s="1"/>
  <c r="BV14" i="1"/>
  <c r="BV13" i="1"/>
  <c r="BW11" i="1"/>
  <c r="BV11" i="1"/>
  <c r="BQ13" i="1"/>
  <c r="BQ47" i="1" s="1"/>
  <c r="BP13" i="1"/>
  <c r="BP47" i="1" s="1"/>
  <c r="BO13" i="1"/>
  <c r="BO47" i="1" s="1"/>
  <c r="BQ11" i="1"/>
  <c r="BP11" i="1"/>
  <c r="BO11" i="1"/>
  <c r="BO48" i="1" s="1"/>
  <c r="BK13" i="1"/>
  <c r="BJ13" i="1"/>
  <c r="BJ47" i="1" s="1"/>
  <c r="BI13" i="1"/>
  <c r="BI47" i="1" s="1"/>
  <c r="BK11" i="1"/>
  <c r="BK105" i="7"/>
  <c r="BK48" i="1"/>
  <c r="BJ11" i="1"/>
  <c r="BJ9" i="1" s="1"/>
  <c r="BJ123" i="1" s="1"/>
  <c r="BI11" i="1"/>
  <c r="BE13" i="1"/>
  <c r="BE47" i="1" s="1"/>
  <c r="BD13" i="1"/>
  <c r="BC13" i="1"/>
  <c r="BE48" i="1"/>
  <c r="BD11" i="1"/>
  <c r="BC11" i="1"/>
  <c r="BC105" i="7" s="1"/>
  <c r="AY14" i="1"/>
  <c r="AX14" i="1"/>
  <c r="AX48" i="1" s="1"/>
  <c r="AX11" i="1"/>
  <c r="AY13" i="1"/>
  <c r="AY47" i="1" s="1"/>
  <c r="AX13" i="1"/>
  <c r="AX47" i="1" s="1"/>
  <c r="AY11" i="1"/>
  <c r="AS14" i="1"/>
  <c r="AR14" i="1"/>
  <c r="AS13" i="1"/>
  <c r="AS12" i="1" s="1"/>
  <c r="AR13" i="1"/>
  <c r="AS11" i="1"/>
  <c r="AR11" i="1"/>
  <c r="AM12" i="1"/>
  <c r="AL12" i="1"/>
  <c r="AK12" i="1"/>
  <c r="AK72" i="3" s="1"/>
  <c r="AM11" i="1"/>
  <c r="AM105" i="7" s="1"/>
  <c r="AL11" i="1"/>
  <c r="AK11" i="1"/>
  <c r="AG12" i="1"/>
  <c r="AF12" i="1"/>
  <c r="AE12" i="1"/>
  <c r="AG11" i="1"/>
  <c r="AG9" i="1" s="1"/>
  <c r="AF11" i="1"/>
  <c r="AE11" i="1"/>
  <c r="AE9" i="1" s="1"/>
  <c r="AA12" i="1"/>
  <c r="Z12" i="1"/>
  <c r="Y12" i="1"/>
  <c r="AA11" i="1"/>
  <c r="Z11" i="1"/>
  <c r="Y11" i="1"/>
  <c r="U12" i="1"/>
  <c r="U73" i="3" s="1"/>
  <c r="T12" i="1"/>
  <c r="T72" i="3" s="1"/>
  <c r="S12" i="1"/>
  <c r="S72" i="3" s="1"/>
  <c r="U11" i="1"/>
  <c r="U48" i="1" s="1"/>
  <c r="T11" i="1"/>
  <c r="S11" i="1"/>
  <c r="BR31" i="1"/>
  <c r="BS31" i="1" s="1"/>
  <c r="BR29" i="1"/>
  <c r="BR26" i="1"/>
  <c r="BS26" i="1" s="1"/>
  <c r="BA71" i="9" s="1"/>
  <c r="BR25" i="1"/>
  <c r="BR18" i="1"/>
  <c r="BS18" i="1" s="1"/>
  <c r="BR16" i="1"/>
  <c r="BX64" i="1" s="1"/>
  <c r="BR14" i="1"/>
  <c r="BS14" i="1" s="1"/>
  <c r="BR10" i="1"/>
  <c r="BQ9" i="1"/>
  <c r="BQ51" i="1" s="1"/>
  <c r="BL31" i="1"/>
  <c r="BM31" i="1" s="1"/>
  <c r="BL29" i="1"/>
  <c r="BL27" i="1"/>
  <c r="BL166" i="3" s="1"/>
  <c r="BL26" i="1"/>
  <c r="BM26" i="1" s="1"/>
  <c r="AU71" i="9" s="1"/>
  <c r="BL25" i="1"/>
  <c r="BM25" i="1" s="1"/>
  <c r="BL22" i="1"/>
  <c r="BL18" i="1"/>
  <c r="BM18" i="1" s="1"/>
  <c r="BL16" i="1"/>
  <c r="BL14" i="1"/>
  <c r="BM14" i="1" s="1"/>
  <c r="BL10" i="1"/>
  <c r="BL102" i="7" s="1"/>
  <c r="BF31" i="1"/>
  <c r="BG31" i="1" s="1"/>
  <c r="BF26" i="1"/>
  <c r="AN71" i="9" s="1"/>
  <c r="BF25" i="1"/>
  <c r="BG25" i="1" s="1"/>
  <c r="BF16" i="1"/>
  <c r="AZ31" i="1"/>
  <c r="BA31" i="1" s="1"/>
  <c r="AZ26" i="1"/>
  <c r="BA26" i="1" s="1"/>
  <c r="AI71" i="9" s="1"/>
  <c r="AZ25" i="1"/>
  <c r="BA25" i="1" s="1"/>
  <c r="AZ16" i="1"/>
  <c r="AZ10" i="1"/>
  <c r="AX9" i="1"/>
  <c r="AX85" i="3" s="1"/>
  <c r="AT31" i="1"/>
  <c r="AU31" i="1" s="1"/>
  <c r="AT26" i="1"/>
  <c r="AT25" i="1"/>
  <c r="AU25" i="1" s="1"/>
  <c r="AC74" i="9" s="1"/>
  <c r="AT16" i="1"/>
  <c r="AT10" i="1"/>
  <c r="AT102" i="7" s="1"/>
  <c r="AQ9" i="1"/>
  <c r="AQ71" i="3" s="1"/>
  <c r="AN31" i="1"/>
  <c r="AO31" i="1" s="1"/>
  <c r="AN26" i="1"/>
  <c r="AN25" i="1"/>
  <c r="AO25" i="1" s="1"/>
  <c r="AN16" i="1"/>
  <c r="AN14" i="1"/>
  <c r="AN13" i="1"/>
  <c r="AO13" i="1" s="1"/>
  <c r="AN10" i="1"/>
  <c r="AM9" i="1"/>
  <c r="AM137" i="3" s="1"/>
  <c r="AL9" i="1"/>
  <c r="AH31" i="1"/>
  <c r="AI31" i="1" s="1"/>
  <c r="AH26" i="1"/>
  <c r="AH25" i="1"/>
  <c r="AI25" i="1" s="1"/>
  <c r="AH18" i="1"/>
  <c r="AH16" i="1"/>
  <c r="AH14" i="1"/>
  <c r="AI14" i="1" s="1"/>
  <c r="AH13" i="1"/>
  <c r="AI13" i="1" s="1"/>
  <c r="AH10" i="1"/>
  <c r="AB31" i="1"/>
  <c r="AC31" i="1" s="1"/>
  <c r="AB26" i="1"/>
  <c r="AB25" i="1"/>
  <c r="AC25" i="1" s="1"/>
  <c r="O74" i="9" s="1"/>
  <c r="AC22" i="1"/>
  <c r="AB16" i="1"/>
  <c r="AB14" i="1"/>
  <c r="AB13" i="1"/>
  <c r="AC13" i="1" s="1"/>
  <c r="AB10" i="1"/>
  <c r="V31" i="1"/>
  <c r="W31" i="1" s="1"/>
  <c r="V26" i="1"/>
  <c r="W26" i="1" s="1"/>
  <c r="M71" i="9" s="1"/>
  <c r="V25" i="1"/>
  <c r="W25" i="1" s="1"/>
  <c r="M74" i="9" s="1"/>
  <c r="W22" i="1"/>
  <c r="V16" i="1"/>
  <c r="V14" i="1"/>
  <c r="W14" i="1" s="1"/>
  <c r="V13" i="1"/>
  <c r="W13" i="1" s="1"/>
  <c r="V10" i="1"/>
  <c r="T9" i="1"/>
  <c r="T173" i="3" s="1"/>
  <c r="S9" i="1"/>
  <c r="O9" i="1"/>
  <c r="O71" i="3" s="1"/>
  <c r="K9" i="1"/>
  <c r="I9" i="1"/>
  <c r="G9" i="1"/>
  <c r="G52" i="1" s="1"/>
  <c r="E9" i="1"/>
  <c r="C9" i="1"/>
  <c r="BW9" i="1"/>
  <c r="BW71" i="3" s="1"/>
  <c r="BJ8" i="1"/>
  <c r="BP8" i="1" s="1"/>
  <c r="BV8" i="1" s="1"/>
  <c r="CB8" i="1" s="1"/>
  <c r="CH8" i="1" s="1"/>
  <c r="BI8" i="1"/>
  <c r="BO8" i="1" s="1"/>
  <c r="BU8" i="1" s="1"/>
  <c r="CA8" i="1" s="1"/>
  <c r="CG8" i="1" s="1"/>
  <c r="BF8" i="1"/>
  <c r="BL8" i="1" s="1"/>
  <c r="BR8" i="1" s="1"/>
  <c r="BX8" i="1" s="1"/>
  <c r="CD8" i="1" s="1"/>
  <c r="BE8" i="1"/>
  <c r="BK8" i="1" s="1"/>
  <c r="BQ8" i="1" s="1"/>
  <c r="BW8" i="1" s="1"/>
  <c r="CC8" i="1" s="1"/>
  <c r="CI8" i="1" s="1"/>
  <c r="AE7" i="1"/>
  <c r="AK7" i="1" s="1"/>
  <c r="AQ7" i="1" s="1"/>
  <c r="AW7" i="1" s="1"/>
  <c r="BC7" i="1" s="1"/>
  <c r="BI7" i="1" s="1"/>
  <c r="BO7" i="1" s="1"/>
  <c r="BU7" i="1" s="1"/>
  <c r="CA7" i="1" s="1"/>
  <c r="E7" i="1"/>
  <c r="G7" i="1" s="1"/>
  <c r="I7" i="1" s="1"/>
  <c r="K7" i="1" s="1"/>
  <c r="M7" i="1" s="1"/>
  <c r="O7" i="1" s="1"/>
  <c r="Q7" i="1" s="1"/>
  <c r="W7" i="1" s="1"/>
  <c r="AC7" i="1" s="1"/>
  <c r="AI7" i="1" s="1"/>
  <c r="AO7" i="1" s="1"/>
  <c r="AU7" i="1" s="1"/>
  <c r="BA7" i="1" s="1"/>
  <c r="BG7" i="1" s="1"/>
  <c r="BM7" i="1" s="1"/>
  <c r="BS7" i="1" s="1"/>
  <c r="BY7" i="1" s="1"/>
  <c r="CE7" i="1" s="1"/>
  <c r="CK7" i="1" s="1"/>
  <c r="CQ7" i="1" s="1"/>
  <c r="CW7" i="1" s="1"/>
  <c r="DC7" i="1" s="1"/>
  <c r="DI7" i="1" s="1"/>
  <c r="Z12" i="4"/>
  <c r="Z13" i="4" s="1"/>
  <c r="BU33" i="4"/>
  <c r="BV32" i="4"/>
  <c r="BW32" i="4" s="1"/>
  <c r="BX32" i="4" s="1"/>
  <c r="AO83" i="4"/>
  <c r="AN145" i="3"/>
  <c r="BR145" i="3"/>
  <c r="AO14" i="3"/>
  <c r="AO145" i="3" s="1"/>
  <c r="AO30" i="3"/>
  <c r="T145" i="3"/>
  <c r="BS14" i="3"/>
  <c r="BS145" i="3" s="1"/>
  <c r="AT49" i="3"/>
  <c r="AO23" i="3"/>
  <c r="AN15" i="3"/>
  <c r="BR15" i="3"/>
  <c r="K27" i="3"/>
  <c r="BY30" i="3"/>
  <c r="W19" i="3"/>
  <c r="W147" i="3" s="1"/>
  <c r="AX49" i="3"/>
  <c r="BU126" i="7"/>
  <c r="AG256" i="7"/>
  <c r="AG243" i="7" s="1"/>
  <c r="O276" i="7"/>
  <c r="BF11" i="1"/>
  <c r="BF105" i="7" s="1"/>
  <c r="BK9" i="1"/>
  <c r="BE12" i="1"/>
  <c r="BJ12" i="1"/>
  <c r="BJ73" i="3" s="1"/>
  <c r="BO12" i="1"/>
  <c r="BV48" i="1"/>
  <c r="M12" i="1"/>
  <c r="M168" i="3" s="1"/>
  <c r="AK65" i="1"/>
  <c r="AR65" i="1"/>
  <c r="AX65" i="1"/>
  <c r="BD65" i="1"/>
  <c r="BQ65" i="1"/>
  <c r="AA65" i="1"/>
  <c r="CA65" i="1"/>
  <c r="C19" i="1"/>
  <c r="C169" i="3" s="1"/>
  <c r="AG101" i="1"/>
  <c r="AG100" i="1" s="1"/>
  <c r="AG107" i="1" s="1"/>
  <c r="AX101" i="1"/>
  <c r="AX100" i="1" s="1"/>
  <c r="AX107" i="1" s="1"/>
  <c r="BC101" i="1"/>
  <c r="BC100" i="1" s="1"/>
  <c r="BC105" i="1"/>
  <c r="K12" i="1"/>
  <c r="K168" i="3" s="1"/>
  <c r="O65" i="1"/>
  <c r="O19" i="1"/>
  <c r="AL65" i="1"/>
  <c r="AS65" i="1"/>
  <c r="AY65" i="1"/>
  <c r="BE65" i="1"/>
  <c r="BK65" i="1"/>
  <c r="CB65" i="1"/>
  <c r="BX14" i="1"/>
  <c r="BY14" i="1" s="1"/>
  <c r="T101" i="1"/>
  <c r="T100" i="1" s="1"/>
  <c r="T107" i="1" s="1"/>
  <c r="AA101" i="1"/>
  <c r="AA100" i="1" s="1"/>
  <c r="AA107" i="1" s="1"/>
  <c r="AR101" i="1"/>
  <c r="AR100" i="1" s="1"/>
  <c r="AY101" i="1"/>
  <c r="AY100" i="1" s="1"/>
  <c r="AY107" i="1" s="1"/>
  <c r="G101" i="1"/>
  <c r="G100" i="1" s="1"/>
  <c r="G107" i="1" s="1"/>
  <c r="Q65" i="1"/>
  <c r="AF65" i="1"/>
  <c r="BO65" i="1"/>
  <c r="BU64" i="1"/>
  <c r="CA64" i="1"/>
  <c r="BV65" i="1"/>
  <c r="BK19" i="1"/>
  <c r="BO19" i="1"/>
  <c r="Q19" i="1"/>
  <c r="U101" i="1"/>
  <c r="U100" i="1" s="1"/>
  <c r="AL101" i="1"/>
  <c r="AL100" i="1" s="1"/>
  <c r="AL107" i="1" s="1"/>
  <c r="AS101" i="1"/>
  <c r="AS100" i="1" s="1"/>
  <c r="AS107" i="1" s="1"/>
  <c r="BE101" i="1"/>
  <c r="BE100" i="1" s="1"/>
  <c r="BE107" i="1" s="1"/>
  <c r="BY16" i="1"/>
  <c r="BI12" i="1"/>
  <c r="BI168" i="3" s="1"/>
  <c r="CB48" i="1"/>
  <c r="BC48" i="1"/>
  <c r="U19" i="1"/>
  <c r="Y65" i="1"/>
  <c r="AW65" i="1"/>
  <c r="BE19" i="1"/>
  <c r="BP65" i="1"/>
  <c r="BU47" i="1"/>
  <c r="BX13" i="1"/>
  <c r="BY13" i="1" s="1"/>
  <c r="BU65" i="1"/>
  <c r="BP19" i="1"/>
  <c r="AF101" i="1"/>
  <c r="AF100" i="1" s="1"/>
  <c r="AF107" i="1" s="1"/>
  <c r="AM101" i="1"/>
  <c r="AM100" i="1" s="1"/>
  <c r="AM107" i="1" s="1"/>
  <c r="E101" i="1"/>
  <c r="E100" i="1" s="1"/>
  <c r="E107" i="1" s="1"/>
  <c r="I101" i="1"/>
  <c r="I100" i="1" s="1"/>
  <c r="I107" i="1" s="1"/>
  <c r="E65" i="1"/>
  <c r="G65" i="1"/>
  <c r="I65" i="1"/>
  <c r="K65" i="1"/>
  <c r="M65" i="1"/>
  <c r="AE101" i="1"/>
  <c r="AE100" i="1" s="1"/>
  <c r="AE107" i="1" s="1"/>
  <c r="BD101" i="1"/>
  <c r="BD100" i="1" s="1"/>
  <c r="BD107" i="1" s="1"/>
  <c r="M101" i="1"/>
  <c r="M100" i="1" s="1"/>
  <c r="M107" i="1" s="1"/>
  <c r="BY92" i="1"/>
  <c r="AH92" i="1"/>
  <c r="AI92" i="1" s="1"/>
  <c r="AE93" i="1"/>
  <c r="BC85" i="1"/>
  <c r="BC87" i="1" s="1"/>
  <c r="AZ92" i="1"/>
  <c r="BA92" i="1" s="1"/>
  <c r="BS92" i="1"/>
  <c r="BY84" i="1"/>
  <c r="AT84" i="1"/>
  <c r="AU84" i="1" s="1"/>
  <c r="Z85" i="1"/>
  <c r="Z87" i="1" s="1"/>
  <c r="AT92" i="1"/>
  <c r="AU92" i="1" s="1"/>
  <c r="AN82" i="1"/>
  <c r="AO82" i="1" s="1"/>
  <c r="BM92" i="1"/>
  <c r="BC115" i="1"/>
  <c r="AW115" i="1"/>
  <c r="Q48" i="1"/>
  <c r="Q9" i="1"/>
  <c r="Q105" i="7"/>
  <c r="AZ18" i="1"/>
  <c r="BA18" i="1" s="1"/>
  <c r="AY19" i="1"/>
  <c r="AO139" i="3"/>
  <c r="AK115" i="1"/>
  <c r="BW78" i="1"/>
  <c r="BY77" i="1"/>
  <c r="AQ85" i="1"/>
  <c r="AQ87" i="1" s="1"/>
  <c r="AT82" i="1"/>
  <c r="AU82" i="1" s="1"/>
  <c r="AY85" i="1"/>
  <c r="AY87" i="1" s="1"/>
  <c r="AZ82" i="1"/>
  <c r="BF83" i="1"/>
  <c r="BG83" i="1" s="1"/>
  <c r="BE105" i="1"/>
  <c r="BE85" i="1"/>
  <c r="BE87" i="1" s="1"/>
  <c r="BC166" i="3"/>
  <c r="BF27" i="1"/>
  <c r="BG27" i="1" s="1"/>
  <c r="BO166" i="3"/>
  <c r="BR27" i="1"/>
  <c r="BS27" i="1" s="1"/>
  <c r="BS166" i="3" s="1"/>
  <c r="U15" i="3"/>
  <c r="AX85" i="1"/>
  <c r="AX87" i="1" s="1"/>
  <c r="AZ84" i="1"/>
  <c r="BA84" i="1" s="1"/>
  <c r="BF15" i="3"/>
  <c r="BC12" i="1"/>
  <c r="BC168" i="3" s="1"/>
  <c r="BC47" i="1"/>
  <c r="BV105" i="7"/>
  <c r="BX11" i="1"/>
  <c r="BV9" i="1"/>
  <c r="BV122" i="1" s="1"/>
  <c r="CB47" i="1"/>
  <c r="AT18" i="1"/>
  <c r="AU18" i="1" s="1"/>
  <c r="AS19" i="1"/>
  <c r="AB82" i="1"/>
  <c r="AA85" i="1"/>
  <c r="AA87" i="1" s="1"/>
  <c r="T105" i="7"/>
  <c r="T48" i="1"/>
  <c r="AG48" i="1"/>
  <c r="AM19" i="1"/>
  <c r="BI19" i="1"/>
  <c r="BL17" i="1"/>
  <c r="BR17" i="1"/>
  <c r="AA166" i="3"/>
  <c r="AB27" i="1"/>
  <c r="AC27" i="1" s="1"/>
  <c r="AC166" i="3" s="1"/>
  <c r="AW166" i="3"/>
  <c r="Q15" i="3"/>
  <c r="Q145" i="3"/>
  <c r="AZ17" i="1"/>
  <c r="AE105" i="7"/>
  <c r="AE48" i="1"/>
  <c r="BL11" i="1"/>
  <c r="BJ105" i="7"/>
  <c r="BJ48" i="1"/>
  <c r="AW105" i="7"/>
  <c r="AW48" i="1"/>
  <c r="AZ11" i="1"/>
  <c r="S19" i="1"/>
  <c r="BF18" i="1"/>
  <c r="BG18" i="1" s="1"/>
  <c r="BV19" i="1"/>
  <c r="AQ166" i="3"/>
  <c r="AT106" i="1"/>
  <c r="AU106" i="1" s="1"/>
  <c r="AG105" i="7"/>
  <c r="BY145" i="7"/>
  <c r="AH11" i="1"/>
  <c r="AH105" i="7" s="1"/>
  <c r="AZ27" i="1"/>
  <c r="AZ166" i="3" s="1"/>
  <c r="AT13" i="1"/>
  <c r="AS47" i="1"/>
  <c r="AK19" i="1"/>
  <c r="AN17" i="1"/>
  <c r="BU19" i="1"/>
  <c r="U166" i="3"/>
  <c r="V27" i="1"/>
  <c r="W27" i="1" s="1"/>
  <c r="W166" i="3" s="1"/>
  <c r="AB29" i="1"/>
  <c r="AG166" i="3"/>
  <c r="AH27" i="1"/>
  <c r="AH166" i="3" s="1"/>
  <c r="AK166" i="3"/>
  <c r="AN27" i="1"/>
  <c r="AN166" i="3" s="1"/>
  <c r="BW166" i="3"/>
  <c r="BX27" i="1"/>
  <c r="BX166" i="3" s="1"/>
  <c r="BF29" i="1"/>
  <c r="AZ106" i="1"/>
  <c r="BA106" i="1" s="1"/>
  <c r="T19" i="1"/>
  <c r="T169" i="3" s="1"/>
  <c r="Z166" i="3"/>
  <c r="AF166" i="3"/>
  <c r="BJ166" i="3"/>
  <c r="BM77" i="1"/>
  <c r="Q102" i="7"/>
  <c r="AA105" i="7"/>
  <c r="AF105" i="7"/>
  <c r="AL105" i="7"/>
  <c r="AY105" i="7"/>
  <c r="BE105" i="7"/>
  <c r="BW105" i="7"/>
  <c r="CC106" i="7" s="1"/>
  <c r="AR48" i="1"/>
  <c r="AQ19" i="1"/>
  <c r="AX19" i="1"/>
  <c r="BC19" i="1"/>
  <c r="AL166" i="3"/>
  <c r="AR166" i="3"/>
  <c r="AX166" i="3"/>
  <c r="BE166" i="3"/>
  <c r="BQ166" i="3"/>
  <c r="AS105" i="7"/>
  <c r="BD105" i="7"/>
  <c r="BU105" i="7"/>
  <c r="Y48" i="1"/>
  <c r="AA48" i="1"/>
  <c r="AL48" i="1"/>
  <c r="Z19" i="1"/>
  <c r="BX19" i="1"/>
  <c r="S101" i="1"/>
  <c r="S100" i="1" s="1"/>
  <c r="S107" i="1" s="1"/>
  <c r="Y166" i="3"/>
  <c r="Y101" i="1"/>
  <c r="Y100" i="1" s="1"/>
  <c r="Y107" i="1" s="1"/>
  <c r="AE166" i="3"/>
  <c r="AM166" i="3"/>
  <c r="AS166" i="3"/>
  <c r="AY166" i="3"/>
  <c r="BI166" i="3"/>
  <c r="BU166" i="3"/>
  <c r="BS76" i="1"/>
  <c r="AQ115" i="1"/>
  <c r="U105" i="7"/>
  <c r="Z105" i="7"/>
  <c r="AK105" i="7"/>
  <c r="AQ105" i="7"/>
  <c r="AX105" i="7"/>
  <c r="BI105" i="7"/>
  <c r="BO105" i="7"/>
  <c r="BQ105" i="7"/>
  <c r="CA105" i="7"/>
  <c r="CG106" i="7" s="1"/>
  <c r="BL147" i="3"/>
  <c r="BI33" i="4"/>
  <c r="Y12" i="4"/>
  <c r="Y13" i="4" s="1"/>
  <c r="AL27" i="3"/>
  <c r="AL67" i="3" s="1"/>
  <c r="BQ12" i="1"/>
  <c r="BQ168" i="3" s="1"/>
  <c r="AN84" i="4"/>
  <c r="BK12" i="1"/>
  <c r="BK168" i="3" s="1"/>
  <c r="BD9" i="1"/>
  <c r="BD12" i="1"/>
  <c r="BD19" i="1"/>
  <c r="BU12" i="1"/>
  <c r="BU168" i="3" s="1"/>
  <c r="BR11" i="1"/>
  <c r="AZ29" i="1"/>
  <c r="AZ13" i="1"/>
  <c r="BA13" i="1" s="1"/>
  <c r="AZ14" i="1"/>
  <c r="BA14" i="1" s="1"/>
  <c r="CD33" i="1"/>
  <c r="AN147" i="3"/>
  <c r="AY9" i="1"/>
  <c r="BP9" i="1"/>
  <c r="BP122" i="1" s="1"/>
  <c r="BI65" i="1"/>
  <c r="BC65" i="1"/>
  <c r="BW65" i="1"/>
  <c r="BW19" i="1"/>
  <c r="CC65" i="1"/>
  <c r="AB18" i="1"/>
  <c r="AA19" i="1"/>
  <c r="K166" i="3"/>
  <c r="S105" i="7"/>
  <c r="V11" i="1"/>
  <c r="V105" i="7" s="1"/>
  <c r="BD48" i="1"/>
  <c r="BD47" i="1"/>
  <c r="Z65" i="1"/>
  <c r="V17" i="1"/>
  <c r="AG19" i="1"/>
  <c r="AM65" i="1"/>
  <c r="AG65" i="1"/>
  <c r="AT17" i="1"/>
  <c r="AQ65" i="1"/>
  <c r="AA9" i="1"/>
  <c r="AS48" i="1"/>
  <c r="AT14" i="1"/>
  <c r="AU14" i="1" s="1"/>
  <c r="AH17" i="1"/>
  <c r="AE19" i="1"/>
  <c r="AE65" i="1"/>
  <c r="BJ19" i="1"/>
  <c r="BJ65" i="1"/>
  <c r="AB11" i="1"/>
  <c r="BP48" i="1"/>
  <c r="CA48" i="1"/>
  <c r="BK47" i="1"/>
  <c r="BV12" i="1"/>
  <c r="BV47" i="1"/>
  <c r="V29" i="1"/>
  <c r="W29" i="1" s="1"/>
  <c r="W101" i="1" s="1"/>
  <c r="AW101" i="1"/>
  <c r="AW100" i="1" s="1"/>
  <c r="AW107" i="1" s="1"/>
  <c r="U9" i="1"/>
  <c r="U57" i="1" s="1"/>
  <c r="BL13" i="1"/>
  <c r="O105" i="7"/>
  <c r="BY18" i="1"/>
  <c r="BS77" i="1"/>
  <c r="AF85" i="1"/>
  <c r="AF87" i="1" s="1"/>
  <c r="Y115" i="1"/>
  <c r="AE115" i="1"/>
  <c r="AI19" i="3"/>
  <c r="AH147" i="3"/>
  <c r="V18" i="1"/>
  <c r="W18" i="1" s="1"/>
  <c r="AN18" i="1"/>
  <c r="M19" i="1"/>
  <c r="BY106" i="1"/>
  <c r="AS9" i="1"/>
  <c r="AS137" i="3" s="1"/>
  <c r="AR12" i="1"/>
  <c r="AR73" i="3" s="1"/>
  <c r="BW48" i="1"/>
  <c r="BM106" i="1"/>
  <c r="BS106" i="1"/>
  <c r="S288" i="7"/>
  <c r="AE47" i="4"/>
  <c r="BI32" i="9"/>
  <c r="BI36" i="9" s="1"/>
  <c r="BI37" i="9" s="1"/>
  <c r="BI70" i="9"/>
  <c r="BJ47" i="9"/>
  <c r="BA42" i="9"/>
  <c r="Y105" i="7"/>
  <c r="Y9" i="1"/>
  <c r="AR47" i="1"/>
  <c r="AX12" i="1"/>
  <c r="AX168" i="3" s="1"/>
  <c r="AY48" i="1"/>
  <c r="V82" i="1"/>
  <c r="V85" i="1" s="1"/>
  <c r="BP105" i="7"/>
  <c r="Y298" i="7"/>
  <c r="AE49" i="9"/>
  <c r="AB17" i="1"/>
  <c r="AF9" i="1"/>
  <c r="AK9" i="1"/>
  <c r="AN11" i="1"/>
  <c r="AF48" i="1"/>
  <c r="AK48" i="1"/>
  <c r="BQ48" i="1"/>
  <c r="BO78" i="1"/>
  <c r="AA93" i="1"/>
  <c r="S115" i="1"/>
  <c r="S139" i="3" s="1"/>
  <c r="AR105" i="7"/>
  <c r="BJ70" i="9"/>
  <c r="CN26" i="1" s="1"/>
  <c r="BV71" i="9" s="1"/>
  <c r="BC9" i="1"/>
  <c r="BF17" i="1"/>
  <c r="S48" i="1"/>
  <c r="AC23" i="3"/>
  <c r="AI61" i="9"/>
  <c r="BS11" i="9"/>
  <c r="BS43" i="9" s="1"/>
  <c r="CW46" i="4"/>
  <c r="CD154" i="3"/>
  <c r="CT11" i="8" l="1"/>
  <c r="CZ21" i="8" s="1"/>
  <c r="BU35" i="9"/>
  <c r="CA173" i="3"/>
  <c r="AU60" i="9"/>
  <c r="BO60" i="4"/>
  <c r="T365" i="7"/>
  <c r="Y312" i="7"/>
  <c r="BM43" i="8"/>
  <c r="BM14" i="8"/>
  <c r="AJ6" i="36"/>
  <c r="BW15" i="8"/>
  <c r="AL6" i="36"/>
  <c r="CA15" i="8"/>
  <c r="AQ6" i="36"/>
  <c r="CH15" i="8"/>
  <c r="AS6" i="36"/>
  <c r="CJ15" i="8"/>
  <c r="AR6" i="36"/>
  <c r="CI15" i="8"/>
  <c r="AI6" i="36"/>
  <c r="BV15" i="8"/>
  <c r="BY43" i="8"/>
  <c r="BY14" i="8"/>
  <c r="AN6" i="36"/>
  <c r="CC15" i="8"/>
  <c r="AI58" i="9"/>
  <c r="AW47" i="9"/>
  <c r="W51" i="9"/>
  <c r="W47" i="9"/>
  <c r="AS34" i="9"/>
  <c r="AS38" i="9" s="1"/>
  <c r="Y59" i="9"/>
  <c r="E362" i="7"/>
  <c r="BG114" i="7"/>
  <c r="BG120" i="7" s="1"/>
  <c r="Z295" i="7"/>
  <c r="Z342" i="7" s="1"/>
  <c r="AA41" i="8"/>
  <c r="Z298" i="7"/>
  <c r="Z241" i="7" s="1"/>
  <c r="AB294" i="7"/>
  <c r="AA382" i="7"/>
  <c r="O356" i="7"/>
  <c r="BM61" i="7"/>
  <c r="Z283" i="7"/>
  <c r="Z338" i="7" s="1"/>
  <c r="AB262" i="7"/>
  <c r="AB266" i="7" s="1"/>
  <c r="AB245" i="7" s="1"/>
  <c r="CA126" i="7"/>
  <c r="AA283" i="7"/>
  <c r="AA338" i="7" s="1"/>
  <c r="AG253" i="7"/>
  <c r="AG345" i="7" s="1"/>
  <c r="AG263" i="7"/>
  <c r="AG348" i="7" s="1"/>
  <c r="BV126" i="7"/>
  <c r="AE380" i="7"/>
  <c r="V294" i="7"/>
  <c r="V298" i="7" s="1"/>
  <c r="V241" i="7" s="1"/>
  <c r="K359" i="7"/>
  <c r="BY126" i="7"/>
  <c r="BW126" i="7"/>
  <c r="S42" i="8"/>
  <c r="AF263" i="7"/>
  <c r="AF348" i="7" s="1"/>
  <c r="V381" i="7"/>
  <c r="W381" i="7" s="1"/>
  <c r="AE253" i="7"/>
  <c r="AE345" i="7" s="1"/>
  <c r="AK253" i="7"/>
  <c r="AK345" i="7" s="1"/>
  <c r="AE263" i="7"/>
  <c r="AE348" i="7" s="1"/>
  <c r="BY143" i="3"/>
  <c r="AM67" i="3"/>
  <c r="AC63" i="9"/>
  <c r="O34" i="9"/>
  <c r="AM34" i="9"/>
  <c r="AM38" i="9" s="1"/>
  <c r="U36" i="9"/>
  <c r="U37" i="9" s="1"/>
  <c r="W55" i="9"/>
  <c r="AF34" i="9"/>
  <c r="AF38" i="9" s="1"/>
  <c r="BG67" i="9"/>
  <c r="AC61" i="9"/>
  <c r="I37" i="9"/>
  <c r="AO52" i="9"/>
  <c r="AO65" i="9"/>
  <c r="AU59" i="9"/>
  <c r="BP67" i="9"/>
  <c r="BP68" i="9" s="1"/>
  <c r="BQ67" i="9"/>
  <c r="Y139" i="3"/>
  <c r="Y179" i="3"/>
  <c r="AQ139" i="3"/>
  <c r="AQ179" i="3"/>
  <c r="AW139" i="3"/>
  <c r="AW179" i="3"/>
  <c r="AF115" i="1"/>
  <c r="AF179" i="3" s="1"/>
  <c r="AE179" i="3"/>
  <c r="AK139" i="3"/>
  <c r="AK179" i="3"/>
  <c r="BC139" i="3"/>
  <c r="BC179" i="3"/>
  <c r="CE190" i="3"/>
  <c r="AX50" i="3"/>
  <c r="AX185" i="3"/>
  <c r="BY154" i="3"/>
  <c r="BY187" i="3"/>
  <c r="AO154" i="3"/>
  <c r="AO187" i="3"/>
  <c r="AC73" i="9"/>
  <c r="AC75" i="9" s="1"/>
  <c r="AO195" i="3"/>
  <c r="AO73" i="9"/>
  <c r="BA195" i="3"/>
  <c r="BM195" i="3"/>
  <c r="BM73" i="9"/>
  <c r="BY195" i="3"/>
  <c r="BG154" i="3"/>
  <c r="BG187" i="3"/>
  <c r="BO32" i="3"/>
  <c r="BO191" i="3" s="1"/>
  <c r="BM191" i="3"/>
  <c r="AB192" i="3"/>
  <c r="AZ192" i="3"/>
  <c r="Z50" i="3"/>
  <c r="Z185" i="3"/>
  <c r="AE50" i="3"/>
  <c r="AE185" i="3"/>
  <c r="AG50" i="3"/>
  <c r="AG51" i="3" s="1"/>
  <c r="AG185" i="3"/>
  <c r="AS50" i="3"/>
  <c r="AS185" i="3"/>
  <c r="BC50" i="3"/>
  <c r="BC51" i="3" s="1"/>
  <c r="BC185" i="3"/>
  <c r="BE50" i="3"/>
  <c r="BE185" i="3"/>
  <c r="BI50" i="3"/>
  <c r="BI51" i="3" s="1"/>
  <c r="BI185" i="3"/>
  <c r="BK50" i="3"/>
  <c r="BK185" i="3"/>
  <c r="BO50" i="3"/>
  <c r="BO185" i="3"/>
  <c r="BQ50" i="3"/>
  <c r="BQ185" i="3"/>
  <c r="BU50" i="3"/>
  <c r="BU185" i="3"/>
  <c r="BW50" i="3"/>
  <c r="BW185" i="3"/>
  <c r="CA50" i="3"/>
  <c r="CA185" i="3"/>
  <c r="AT50" i="3"/>
  <c r="AT185" i="3"/>
  <c r="S73" i="9"/>
  <c r="S75" i="9" s="1"/>
  <c r="AI195" i="3"/>
  <c r="AU195" i="3"/>
  <c r="BG73" i="9"/>
  <c r="BS195" i="3"/>
  <c r="Q73" i="9"/>
  <c r="AC195" i="3"/>
  <c r="AL50" i="3"/>
  <c r="AL185" i="3"/>
  <c r="CE191" i="3"/>
  <c r="BM154" i="3"/>
  <c r="BM187" i="3"/>
  <c r="AH192" i="3"/>
  <c r="AT192" i="3"/>
  <c r="Y50" i="3"/>
  <c r="Y185" i="3"/>
  <c r="AA50" i="3"/>
  <c r="AA185" i="3"/>
  <c r="AF50" i="3"/>
  <c r="AF185" i="3"/>
  <c r="AR50" i="3"/>
  <c r="AR185" i="3"/>
  <c r="AZ50" i="3"/>
  <c r="AZ185" i="3"/>
  <c r="BD50" i="3"/>
  <c r="BD185" i="3"/>
  <c r="BJ50" i="3"/>
  <c r="BJ185" i="3"/>
  <c r="BL50" i="3"/>
  <c r="BL185" i="3"/>
  <c r="BP50" i="3"/>
  <c r="BP185" i="3"/>
  <c r="BR50" i="3"/>
  <c r="BR185" i="3"/>
  <c r="BV50" i="3"/>
  <c r="BV185" i="3"/>
  <c r="BX50" i="3"/>
  <c r="BX185" i="3"/>
  <c r="CB50" i="3"/>
  <c r="CB185" i="3"/>
  <c r="O137" i="3"/>
  <c r="I362" i="7"/>
  <c r="T382" i="7"/>
  <c r="AE266" i="7"/>
  <c r="AE245" i="7" s="1"/>
  <c r="BP126" i="7"/>
  <c r="Q273" i="7"/>
  <c r="Q335" i="7" s="1"/>
  <c r="AK263" i="7"/>
  <c r="AK348" i="7" s="1"/>
  <c r="CC126" i="7"/>
  <c r="Y273" i="7"/>
  <c r="Y335" i="7" s="1"/>
  <c r="AE256" i="7"/>
  <c r="AK259" i="7" s="1"/>
  <c r="V272" i="7"/>
  <c r="W272" i="7" s="1"/>
  <c r="W273" i="7" s="1"/>
  <c r="W335" i="7" s="1"/>
  <c r="BJ126" i="7"/>
  <c r="G362" i="7"/>
  <c r="V282" i="7"/>
  <c r="W282" i="7" s="1"/>
  <c r="W283" i="7" s="1"/>
  <c r="W338" i="7" s="1"/>
  <c r="S382" i="7"/>
  <c r="CA134" i="7"/>
  <c r="CB134" i="7"/>
  <c r="CH126" i="7"/>
  <c r="AB376" i="7"/>
  <c r="AC376" i="7" s="1"/>
  <c r="AE382" i="7"/>
  <c r="S365" i="7"/>
  <c r="CI126" i="7"/>
  <c r="BQ126" i="7"/>
  <c r="M382" i="7"/>
  <c r="AN9" i="36"/>
  <c r="AN20" i="36" s="1"/>
  <c r="AT7" i="36"/>
  <c r="EK10" i="8"/>
  <c r="AT8" i="36"/>
  <c r="EK11" i="8"/>
  <c r="Y50" i="9"/>
  <c r="AR36" i="9"/>
  <c r="AR37" i="9" s="1"/>
  <c r="AU65" i="9"/>
  <c r="W42" i="9"/>
  <c r="M34" i="9"/>
  <c r="M38" i="9" s="1"/>
  <c r="AL34" i="9"/>
  <c r="AM66" i="9" s="1"/>
  <c r="BD34" i="9"/>
  <c r="BD38" i="9" s="1"/>
  <c r="AO47" i="9"/>
  <c r="BA67" i="9"/>
  <c r="BG60" i="9"/>
  <c r="T34" i="9"/>
  <c r="T38" i="9" s="1"/>
  <c r="BG55" i="9"/>
  <c r="Y54" i="9"/>
  <c r="AI57" i="9"/>
  <c r="AA34" i="9"/>
  <c r="AA38" i="9" s="1"/>
  <c r="AX34" i="9"/>
  <c r="AX38" i="9" s="1"/>
  <c r="W63" i="9"/>
  <c r="AW55" i="9"/>
  <c r="AI41" i="9"/>
  <c r="S13" i="4"/>
  <c r="S107" i="3" s="1"/>
  <c r="S108" i="3" s="1"/>
  <c r="T13" i="4"/>
  <c r="T21" i="1" s="1"/>
  <c r="T95" i="1" s="1"/>
  <c r="T96" i="1" s="1"/>
  <c r="BP80" i="4"/>
  <c r="E22" i="1"/>
  <c r="E23" i="1" s="1"/>
  <c r="AW107" i="3"/>
  <c r="AR9" i="36"/>
  <c r="AX51" i="3"/>
  <c r="AE51" i="3"/>
  <c r="BE51" i="3"/>
  <c r="BW61" i="3"/>
  <c r="AT51" i="3"/>
  <c r="AA51" i="3"/>
  <c r="AF51" i="3"/>
  <c r="AZ51" i="3"/>
  <c r="BD51" i="3"/>
  <c r="BJ51" i="3"/>
  <c r="BP51" i="3"/>
  <c r="BR51" i="3"/>
  <c r="BV51" i="3"/>
  <c r="BX61" i="3"/>
  <c r="CO8" i="1"/>
  <c r="CU8" i="1" s="1"/>
  <c r="DA8" i="1" s="1"/>
  <c r="DG8" i="1" s="1"/>
  <c r="CU49" i="1"/>
  <c r="BF20" i="3"/>
  <c r="BC149" i="3"/>
  <c r="BC157" i="3" s="1"/>
  <c r="BE149" i="3"/>
  <c r="BE157" i="3" s="1"/>
  <c r="AX67" i="3"/>
  <c r="BJ119" i="3"/>
  <c r="BJ121" i="3" s="1"/>
  <c r="AM14" i="4"/>
  <c r="AN14" i="4" s="1"/>
  <c r="BL21" i="1"/>
  <c r="BG57" i="9"/>
  <c r="AO46" i="9"/>
  <c r="I34" i="9"/>
  <c r="I38" i="9" s="1"/>
  <c r="AW36" i="9"/>
  <c r="AW37" i="9" s="1"/>
  <c r="AB34" i="9"/>
  <c r="AB38" i="9" s="1"/>
  <c r="Y60" i="9"/>
  <c r="CY22" i="8"/>
  <c r="AM48" i="1"/>
  <c r="F94" i="36"/>
  <c r="J94" i="36"/>
  <c r="V94" i="36"/>
  <c r="Z94" i="36"/>
  <c r="AD100" i="36" s="1"/>
  <c r="AB94" i="36"/>
  <c r="AB100" i="36" s="1"/>
  <c r="BY17" i="1"/>
  <c r="AH94" i="36"/>
  <c r="AH100" i="36" s="1"/>
  <c r="AL19" i="1"/>
  <c r="K94" i="36"/>
  <c r="K100" i="36" s="1"/>
  <c r="G87" i="1"/>
  <c r="T87" i="1"/>
  <c r="AK87" i="1"/>
  <c r="AS87" i="1"/>
  <c r="CA84" i="1"/>
  <c r="CA92" i="1" s="1"/>
  <c r="CE77" i="1"/>
  <c r="CE78" i="1" s="1"/>
  <c r="AN94" i="36"/>
  <c r="AN100" i="36" s="1"/>
  <c r="CC52" i="1"/>
  <c r="CA12" i="1"/>
  <c r="CA72" i="3" s="1"/>
  <c r="CD13" i="1"/>
  <c r="AF19" i="1"/>
  <c r="N100" i="36"/>
  <c r="R94" i="36"/>
  <c r="R100" i="36" s="1"/>
  <c r="W94" i="36"/>
  <c r="CH65" i="1"/>
  <c r="AM94" i="36"/>
  <c r="CB52" i="1"/>
  <c r="AR19" i="1"/>
  <c r="AR169" i="3" s="1"/>
  <c r="O94" i="36"/>
  <c r="S94" i="36"/>
  <c r="AI94" i="36"/>
  <c r="AI100" i="36" s="1"/>
  <c r="AO95" i="36"/>
  <c r="CD64" i="1"/>
  <c r="I87" i="1"/>
  <c r="O87" i="1"/>
  <c r="U87" i="1"/>
  <c r="AW87" i="1"/>
  <c r="BD87" i="1"/>
  <c r="AL94" i="36"/>
  <c r="AP94" i="36"/>
  <c r="CG65" i="1"/>
  <c r="CD11" i="1"/>
  <c r="CE11" i="1" s="1"/>
  <c r="CE9" i="1" s="1"/>
  <c r="AY12" i="1"/>
  <c r="BP12" i="1"/>
  <c r="BW47" i="1"/>
  <c r="T94" i="36"/>
  <c r="T100" i="36" s="1"/>
  <c r="AA94" i="36"/>
  <c r="BQ19" i="1"/>
  <c r="BW66" i="1" s="1"/>
  <c r="AF94" i="36"/>
  <c r="AH95" i="36"/>
  <c r="AH101" i="36" s="1"/>
  <c r="AL95" i="36"/>
  <c r="AO94" i="36"/>
  <c r="CD65" i="1"/>
  <c r="AN29" i="1"/>
  <c r="AE85" i="1"/>
  <c r="AE87" i="1" s="1"/>
  <c r="L94" i="36"/>
  <c r="L100" i="36" s="1"/>
  <c r="AR87" i="1"/>
  <c r="BU87" i="1"/>
  <c r="CD14" i="1"/>
  <c r="Q20" i="3"/>
  <c r="Q27" i="3"/>
  <c r="Q67" i="3" s="1"/>
  <c r="BL145" i="3"/>
  <c r="BL149" i="3" s="1"/>
  <c r="M15" i="3"/>
  <c r="BG10" i="3"/>
  <c r="AH153" i="3"/>
  <c r="AG67" i="3"/>
  <c r="AR155" i="3"/>
  <c r="BJ155" i="3"/>
  <c r="BQ155" i="3"/>
  <c r="BC125" i="3"/>
  <c r="BJ65" i="3"/>
  <c r="BD67" i="3"/>
  <c r="E145" i="3"/>
  <c r="E149" i="3" s="1"/>
  <c r="BM148" i="3"/>
  <c r="AU118" i="3"/>
  <c r="V20" i="3"/>
  <c r="S31" i="3"/>
  <c r="Z145" i="3"/>
  <c r="Z149" i="3" s="1"/>
  <c r="Y153" i="3"/>
  <c r="Y155" i="3" s="1"/>
  <c r="BR61" i="3"/>
  <c r="S153" i="3"/>
  <c r="S155" i="3" s="1"/>
  <c r="BI125" i="3"/>
  <c r="AM49" i="3"/>
  <c r="BA118" i="3"/>
  <c r="E153" i="3"/>
  <c r="E155" i="3" s="1"/>
  <c r="K31" i="3"/>
  <c r="E85" i="3"/>
  <c r="BP68" i="3"/>
  <c r="AZ27" i="3"/>
  <c r="AZ66" i="3" s="1"/>
  <c r="AZ153" i="3"/>
  <c r="M27" i="3"/>
  <c r="M31" i="3" s="1"/>
  <c r="M44" i="3" s="1"/>
  <c r="BF50" i="3"/>
  <c r="K51" i="3"/>
  <c r="BR20" i="3"/>
  <c r="BX51" i="3"/>
  <c r="AM65" i="3"/>
  <c r="AI73" i="9"/>
  <c r="G145" i="3"/>
  <c r="AY27" i="3"/>
  <c r="AI30" i="3"/>
  <c r="AQ49" i="3"/>
  <c r="T20" i="3"/>
  <c r="AS149" i="3"/>
  <c r="S37" i="9"/>
  <c r="Y37" i="9"/>
  <c r="AE31" i="3"/>
  <c r="AT27" i="3"/>
  <c r="BS30" i="3"/>
  <c r="BG144" i="3"/>
  <c r="AT153" i="3"/>
  <c r="CE92" i="3"/>
  <c r="BD20" i="3"/>
  <c r="V145" i="3"/>
  <c r="V149" i="3" s="1"/>
  <c r="BM14" i="3"/>
  <c r="BM145" i="3" s="1"/>
  <c r="CB68" i="3"/>
  <c r="AU19" i="3"/>
  <c r="AU147" i="3" s="1"/>
  <c r="AT147" i="3"/>
  <c r="AT149" i="3" s="1"/>
  <c r="S145" i="3"/>
  <c r="S149" i="3" s="1"/>
  <c r="S15" i="3"/>
  <c r="S20" i="3" s="1"/>
  <c r="AU143" i="3"/>
  <c r="AO26" i="3"/>
  <c r="AO153" i="3" s="1"/>
  <c r="AO155" i="3" s="1"/>
  <c r="AN153" i="3"/>
  <c r="AN155" i="3" s="1"/>
  <c r="G27" i="3"/>
  <c r="G65" i="3" s="1"/>
  <c r="G153" i="3"/>
  <c r="G155" i="3" s="1"/>
  <c r="BQ66" i="3"/>
  <c r="BX67" i="3"/>
  <c r="BX66" i="3"/>
  <c r="AT154" i="3"/>
  <c r="AU30" i="3"/>
  <c r="BL153" i="3"/>
  <c r="BL155" i="3" s="1"/>
  <c r="AU14" i="3"/>
  <c r="AU145" i="3" s="1"/>
  <c r="BR147" i="3"/>
  <c r="BR149" i="3" s="1"/>
  <c r="BS19" i="3"/>
  <c r="BS147" i="3" s="1"/>
  <c r="BY19" i="3"/>
  <c r="BY147" i="3" s="1"/>
  <c r="BX147" i="3"/>
  <c r="BX149" i="3" s="1"/>
  <c r="AI23" i="3"/>
  <c r="AI27" i="3" s="1"/>
  <c r="AH27" i="3"/>
  <c r="AH65" i="3" s="1"/>
  <c r="AH49" i="3"/>
  <c r="T27" i="3"/>
  <c r="T68" i="3" s="1"/>
  <c r="T153" i="3"/>
  <c r="T155" i="3" s="1"/>
  <c r="Z66" i="3"/>
  <c r="CA68" i="3"/>
  <c r="CA65" i="3"/>
  <c r="CA31" i="3"/>
  <c r="AN62" i="3"/>
  <c r="BQ61" i="3"/>
  <c r="BQ51" i="3"/>
  <c r="CM14" i="4"/>
  <c r="CM22" i="1" s="1"/>
  <c r="CN119" i="3"/>
  <c r="CN14" i="4" s="1"/>
  <c r="CN22" i="1" s="1"/>
  <c r="AN27" i="3"/>
  <c r="Z153" i="3"/>
  <c r="Z155" i="3" s="1"/>
  <c r="AN49" i="3"/>
  <c r="O49" i="3"/>
  <c r="O50" i="3" s="1"/>
  <c r="O51" i="3" s="1"/>
  <c r="O27" i="3"/>
  <c r="O67" i="3" s="1"/>
  <c r="AK27" i="3"/>
  <c r="AK68" i="3" s="1"/>
  <c r="AK49" i="3"/>
  <c r="AQ27" i="3"/>
  <c r="U155" i="3"/>
  <c r="BF147" i="3"/>
  <c r="BF149" i="3" s="1"/>
  <c r="BF157" i="3" s="1"/>
  <c r="CA66" i="3"/>
  <c r="BX68" i="3"/>
  <c r="AL31" i="3"/>
  <c r="AZ147" i="3"/>
  <c r="U27" i="3"/>
  <c r="AB20" i="3"/>
  <c r="BL27" i="3"/>
  <c r="BL67" i="3" s="1"/>
  <c r="M49" i="3"/>
  <c r="M50" i="3" s="1"/>
  <c r="M51" i="3" s="1"/>
  <c r="W30" i="3"/>
  <c r="W154" i="3" s="1"/>
  <c r="AY49" i="3"/>
  <c r="AX66" i="3"/>
  <c r="W14" i="3"/>
  <c r="W145" i="3" s="1"/>
  <c r="AA15" i="3"/>
  <c r="AT15" i="3"/>
  <c r="AT20" i="3" s="1"/>
  <c r="I20" i="3"/>
  <c r="I65" i="3"/>
  <c r="AX68" i="3"/>
  <c r="BM146" i="3"/>
  <c r="M20" i="3"/>
  <c r="AH155" i="3"/>
  <c r="AL20" i="3"/>
  <c r="AA83" i="3"/>
  <c r="BS144" i="3"/>
  <c r="C153" i="3"/>
  <c r="C155" i="3" s="1"/>
  <c r="S83" i="3"/>
  <c r="I68" i="3"/>
  <c r="C15" i="3"/>
  <c r="C68" i="3" s="1"/>
  <c r="C145" i="3"/>
  <c r="C149" i="3" s="1"/>
  <c r="AA153" i="3"/>
  <c r="AA155" i="3" s="1"/>
  <c r="AA27" i="3"/>
  <c r="BG151" i="3"/>
  <c r="BS26" i="3"/>
  <c r="BS153" i="3" s="1"/>
  <c r="BR153" i="3"/>
  <c r="BR155" i="3" s="1"/>
  <c r="AR67" i="3"/>
  <c r="AR66" i="3"/>
  <c r="BE31" i="3"/>
  <c r="BE67" i="3"/>
  <c r="BK67" i="3"/>
  <c r="BK66" i="3"/>
  <c r="BU31" i="3"/>
  <c r="CA67" i="3"/>
  <c r="AB154" i="3"/>
  <c r="AB155" i="3" s="1"/>
  <c r="AC30" i="3"/>
  <c r="AG154" i="3"/>
  <c r="AG155" i="3" s="1"/>
  <c r="AG31" i="3"/>
  <c r="AZ154" i="3"/>
  <c r="BA30" i="3"/>
  <c r="C94" i="3"/>
  <c r="C42" i="3"/>
  <c r="C62" i="3" s="1"/>
  <c r="V49" i="3"/>
  <c r="V50" i="3" s="1"/>
  <c r="V61" i="3" s="1"/>
  <c r="V27" i="3"/>
  <c r="V31" i="3" s="1"/>
  <c r="V44" i="3" s="1"/>
  <c r="V45" i="3" s="1"/>
  <c r="W23" i="3"/>
  <c r="W49" i="3" s="1"/>
  <c r="W50" i="3" s="1"/>
  <c r="W51" i="3" s="1"/>
  <c r="BR31" i="3"/>
  <c r="BE66" i="3"/>
  <c r="BK68" i="3"/>
  <c r="I153" i="3"/>
  <c r="I155" i="3" s="1"/>
  <c r="BU67" i="3"/>
  <c r="Y145" i="3"/>
  <c r="Y149" i="3" s="1"/>
  <c r="Y15" i="3"/>
  <c r="AI14" i="3"/>
  <c r="AI15" i="3" s="1"/>
  <c r="AI20" i="3" s="1"/>
  <c r="AH145" i="3"/>
  <c r="AH149" i="3" s="1"/>
  <c r="AZ15" i="3"/>
  <c r="AZ145" i="3"/>
  <c r="AZ149" i="3" s="1"/>
  <c r="BA14" i="3"/>
  <c r="BA145" i="3" s="1"/>
  <c r="W26" i="3"/>
  <c r="W153" i="3" s="1"/>
  <c r="V153" i="3"/>
  <c r="V155" i="3" s="1"/>
  <c r="AH20" i="3"/>
  <c r="BW51" i="3"/>
  <c r="O15" i="3"/>
  <c r="O20" i="3" s="1"/>
  <c r="O145" i="3"/>
  <c r="O149" i="3" s="1"/>
  <c r="AF20" i="3"/>
  <c r="BK65" i="3"/>
  <c r="BK20" i="3"/>
  <c r="BU65" i="3"/>
  <c r="AE73" i="9"/>
  <c r="AE75" i="9" s="1"/>
  <c r="AC146" i="3"/>
  <c r="AQ147" i="3"/>
  <c r="AQ149" i="3" s="1"/>
  <c r="AQ20" i="3"/>
  <c r="AB27" i="3"/>
  <c r="AB66" i="3" s="1"/>
  <c r="AB49" i="3"/>
  <c r="AW27" i="3"/>
  <c r="AW67" i="3" s="1"/>
  <c r="AW49" i="3"/>
  <c r="BA151" i="3"/>
  <c r="S67" i="3"/>
  <c r="W148" i="3"/>
  <c r="M62" i="3"/>
  <c r="V62" i="3"/>
  <c r="E37" i="9"/>
  <c r="T37" i="9"/>
  <c r="BW20" i="3"/>
  <c r="AL149" i="3"/>
  <c r="AG37" i="9"/>
  <c r="BQ20" i="3"/>
  <c r="BG148" i="3"/>
  <c r="Q62" i="3"/>
  <c r="V37" i="9"/>
  <c r="AB37" i="9"/>
  <c r="K115" i="3"/>
  <c r="K108" i="3"/>
  <c r="AZ71" i="9"/>
  <c r="CA52" i="1"/>
  <c r="AC47" i="9"/>
  <c r="AC51" i="9"/>
  <c r="AI55" i="9"/>
  <c r="BG58" i="9"/>
  <c r="Z64" i="9"/>
  <c r="Z68" i="9" s="1"/>
  <c r="AG64" i="9"/>
  <c r="AG68" i="9" s="1"/>
  <c r="K64" i="9"/>
  <c r="K68" i="9" s="1"/>
  <c r="AG34" i="9"/>
  <c r="AG38" i="9" s="1"/>
  <c r="AC45" i="9"/>
  <c r="AC53" i="9"/>
  <c r="AU50" i="9"/>
  <c r="BG49" i="9"/>
  <c r="BG53" i="9"/>
  <c r="BO117" i="7"/>
  <c r="BR62" i="7"/>
  <c r="BR97" i="7" s="1"/>
  <c r="G315" i="7"/>
  <c r="CH62" i="1"/>
  <c r="CH63" i="1"/>
  <c r="BV22" i="1"/>
  <c r="AQ21" i="1"/>
  <c r="BV120" i="3"/>
  <c r="CN8" i="1"/>
  <c r="CT8" i="1" s="1"/>
  <c r="CZ8" i="1" s="1"/>
  <c r="DF8" i="1" s="1"/>
  <c r="CA123" i="1"/>
  <c r="CA122" i="1"/>
  <c r="CB123" i="1"/>
  <c r="CB122" i="1"/>
  <c r="CB167" i="3"/>
  <c r="CA83" i="3"/>
  <c r="CA84" i="3"/>
  <c r="CA79" i="1"/>
  <c r="BI34" i="9"/>
  <c r="BI38" i="9" s="1"/>
  <c r="AE51" i="9"/>
  <c r="AC44" i="9"/>
  <c r="AO41" i="9"/>
  <c r="AK55" i="9"/>
  <c r="AE47" i="9"/>
  <c r="AC55" i="9"/>
  <c r="S34" i="9"/>
  <c r="S38" i="9" s="1"/>
  <c r="BJ36" i="9"/>
  <c r="BJ37" i="9" s="1"/>
  <c r="V34" i="9"/>
  <c r="AI48" i="9"/>
  <c r="BA45" i="9"/>
  <c r="T68" i="9"/>
  <c r="AF64" i="9"/>
  <c r="AF68" i="9" s="1"/>
  <c r="AT64" i="9"/>
  <c r="AT68" i="9" s="1"/>
  <c r="AI51" i="9"/>
  <c r="E34" i="9"/>
  <c r="AZ36" i="9"/>
  <c r="AZ37" i="9" s="1"/>
  <c r="AC59" i="9"/>
  <c r="W44" i="9"/>
  <c r="AI70" i="9"/>
  <c r="W70" i="9"/>
  <c r="BC45" i="9"/>
  <c r="AO60" i="9"/>
  <c r="Y53" i="9"/>
  <c r="AO62" i="9"/>
  <c r="AO48" i="9"/>
  <c r="AQ36" i="9"/>
  <c r="AQ37" i="9" s="1"/>
  <c r="Y57" i="9"/>
  <c r="AU46" i="9"/>
  <c r="AO44" i="9"/>
  <c r="AO50" i="9"/>
  <c r="BA49" i="9"/>
  <c r="W45" i="9"/>
  <c r="BG59" i="9"/>
  <c r="AK48" i="9"/>
  <c r="AE36" i="9"/>
  <c r="AE37" i="9" s="1"/>
  <c r="AU54" i="9"/>
  <c r="BG45" i="9"/>
  <c r="BA65" i="9"/>
  <c r="BG65" i="9"/>
  <c r="AU41" i="9"/>
  <c r="AU62" i="9"/>
  <c r="BG51" i="9"/>
  <c r="AT36" i="9"/>
  <c r="AT37" i="9" s="1"/>
  <c r="AF66" i="3"/>
  <c r="AR20" i="3"/>
  <c r="AF68" i="3"/>
  <c r="E67" i="3"/>
  <c r="W73" i="9"/>
  <c r="AK20" i="3"/>
  <c r="BA144" i="3"/>
  <c r="E65" i="3"/>
  <c r="BR68" i="3"/>
  <c r="BR67" i="3"/>
  <c r="AN67" i="3"/>
  <c r="AF67" i="3"/>
  <c r="K127" i="3"/>
  <c r="M124" i="3" s="1"/>
  <c r="M126" i="3" s="1"/>
  <c r="AO148" i="3"/>
  <c r="BV149" i="3"/>
  <c r="BV157" i="3" s="1"/>
  <c r="BR65" i="3"/>
  <c r="AR65" i="3"/>
  <c r="BY144" i="3"/>
  <c r="CB12" i="7"/>
  <c r="BU26" i="4"/>
  <c r="AX149" i="3"/>
  <c r="BD149" i="3"/>
  <c r="BD157" i="3" s="1"/>
  <c r="CB149" i="3"/>
  <c r="K149" i="3"/>
  <c r="AK155" i="3"/>
  <c r="CN12" i="8"/>
  <c r="V121" i="3"/>
  <c r="Z31" i="3"/>
  <c r="BE89" i="3"/>
  <c r="BG49" i="3"/>
  <c r="BG185" i="3" s="1"/>
  <c r="AE20" i="3"/>
  <c r="BF68" i="3"/>
  <c r="BV61" i="3"/>
  <c r="BD68" i="3"/>
  <c r="BD31" i="3"/>
  <c r="BD66" i="3"/>
  <c r="BX31" i="3"/>
  <c r="AG66" i="3"/>
  <c r="AG149" i="3"/>
  <c r="AM149" i="3"/>
  <c r="AW149" i="3"/>
  <c r="BM27" i="3"/>
  <c r="BM66" i="3" s="1"/>
  <c r="BA40" i="3"/>
  <c r="BA42" i="3" s="1"/>
  <c r="Z67" i="3"/>
  <c r="BD65" i="3"/>
  <c r="BJ68" i="3"/>
  <c r="BQ31" i="3"/>
  <c r="BP61" i="3"/>
  <c r="BQ67" i="3"/>
  <c r="BJ66" i="3"/>
  <c r="AU49" i="3"/>
  <c r="AS155" i="3"/>
  <c r="BK155" i="3"/>
  <c r="AG75" i="9"/>
  <c r="AW75" i="9"/>
  <c r="Z68" i="3"/>
  <c r="Z65" i="3"/>
  <c r="BC68" i="3"/>
  <c r="BJ31" i="3"/>
  <c r="BP20" i="3"/>
  <c r="M75" i="9"/>
  <c r="AG65" i="3"/>
  <c r="BV20" i="3"/>
  <c r="AF149" i="3"/>
  <c r="BF166" i="3"/>
  <c r="BR166" i="3"/>
  <c r="BY27" i="1"/>
  <c r="BY166" i="3" s="1"/>
  <c r="AO27" i="1"/>
  <c r="AO166" i="3" s="1"/>
  <c r="BV105" i="1"/>
  <c r="BV33" i="1" s="1"/>
  <c r="V74" i="9"/>
  <c r="V75" i="9" s="1"/>
  <c r="T42" i="8"/>
  <c r="AT9" i="36"/>
  <c r="AF13" i="4"/>
  <c r="AF107" i="3" s="1"/>
  <c r="BU21" i="1"/>
  <c r="G59" i="4"/>
  <c r="G79" i="3" s="1"/>
  <c r="AA52" i="1"/>
  <c r="BS29" i="1"/>
  <c r="AB101" i="1"/>
  <c r="AB100" i="1" s="1"/>
  <c r="AB107" i="1" s="1"/>
  <c r="AB33" i="1" s="1"/>
  <c r="AI27" i="1"/>
  <c r="AI166" i="3" s="1"/>
  <c r="Z168" i="3"/>
  <c r="CA169" i="3"/>
  <c r="CB62" i="1"/>
  <c r="CB40" i="8" s="1"/>
  <c r="CA51" i="1"/>
  <c r="CA57" i="1"/>
  <c r="CA85" i="3"/>
  <c r="CA71" i="3"/>
  <c r="CA137" i="3"/>
  <c r="BV169" i="3"/>
  <c r="S169" i="3"/>
  <c r="CB169" i="3"/>
  <c r="AM169" i="3"/>
  <c r="Q169" i="3"/>
  <c r="BQ73" i="3"/>
  <c r="BQ63" i="1"/>
  <c r="BJ63" i="1"/>
  <c r="BD73" i="3"/>
  <c r="BD168" i="3"/>
  <c r="BK73" i="3"/>
  <c r="Y169" i="3"/>
  <c r="AL169" i="3"/>
  <c r="BL101" i="1"/>
  <c r="BL100" i="1" s="1"/>
  <c r="BL107" i="1" s="1"/>
  <c r="BM107" i="1" s="1"/>
  <c r="AC29" i="1"/>
  <c r="AR115" i="1"/>
  <c r="AL115" i="1"/>
  <c r="BX102" i="7"/>
  <c r="CD103" i="7" s="1"/>
  <c r="AN74" i="9"/>
  <c r="AN75" i="9" s="1"/>
  <c r="AG168" i="3"/>
  <c r="BU169" i="3"/>
  <c r="M73" i="3"/>
  <c r="AH74" i="9"/>
  <c r="AH75" i="9" s="1"/>
  <c r="BP169" i="3"/>
  <c r="BO169" i="3"/>
  <c r="O169" i="3"/>
  <c r="K169" i="3"/>
  <c r="AU82" i="36"/>
  <c r="CN43" i="7"/>
  <c r="CN10" i="8"/>
  <c r="BG17" i="1"/>
  <c r="Y94" i="36"/>
  <c r="I94" i="36"/>
  <c r="AU17" i="1"/>
  <c r="Q94" i="36"/>
  <c r="M94" i="36"/>
  <c r="BM17" i="1"/>
  <c r="AC94" i="36"/>
  <c r="AC100" i="36" s="1"/>
  <c r="U94" i="36"/>
  <c r="AK94" i="36"/>
  <c r="AG94" i="36"/>
  <c r="I95" i="36"/>
  <c r="M95" i="36"/>
  <c r="AU16" i="1"/>
  <c r="Q95" i="36"/>
  <c r="U95" i="36"/>
  <c r="Y95" i="36"/>
  <c r="BM16" i="1"/>
  <c r="AC95" i="36"/>
  <c r="AK95" i="36"/>
  <c r="AG95" i="36"/>
  <c r="L38" i="36"/>
  <c r="P47" i="36"/>
  <c r="T56" i="36" s="1"/>
  <c r="R56" i="36"/>
  <c r="R38" i="36"/>
  <c r="V47" i="36"/>
  <c r="Z56" i="36" s="1"/>
  <c r="X56" i="36"/>
  <c r="X38" i="36"/>
  <c r="AB47" i="36"/>
  <c r="G38" i="36"/>
  <c r="K47" i="36"/>
  <c r="K42" i="36"/>
  <c r="O51" i="36"/>
  <c r="O64" i="36" s="1"/>
  <c r="S42" i="36"/>
  <c r="W51" i="36"/>
  <c r="W64" i="36" s="1"/>
  <c r="AH42" i="36"/>
  <c r="AL51" i="36"/>
  <c r="AL64" i="36" s="1"/>
  <c r="AL42" i="36"/>
  <c r="AP51" i="36"/>
  <c r="AT64" i="36" s="1"/>
  <c r="AN56" i="36"/>
  <c r="AI38" i="36"/>
  <c r="AD64" i="36"/>
  <c r="AE56" i="36"/>
  <c r="AJ64" i="36"/>
  <c r="S56" i="36"/>
  <c r="W56" i="36"/>
  <c r="AA56" i="36"/>
  <c r="J42" i="36"/>
  <c r="N51" i="36"/>
  <c r="R64" i="36" s="1"/>
  <c r="P42" i="36"/>
  <c r="T51" i="36"/>
  <c r="T64" i="36" s="1"/>
  <c r="R42" i="36"/>
  <c r="V51" i="36"/>
  <c r="V64" i="36" s="1"/>
  <c r="X42" i="36"/>
  <c r="AB51" i="36"/>
  <c r="AB64" i="36" s="1"/>
  <c r="H42" i="36"/>
  <c r="L51" i="36"/>
  <c r="P64" i="36" s="1"/>
  <c r="AN64" i="36"/>
  <c r="AR64" i="36"/>
  <c r="AE64" i="36"/>
  <c r="AB38" i="36"/>
  <c r="AF47" i="36"/>
  <c r="Z38" i="36"/>
  <c r="AD47" i="36"/>
  <c r="AE42" i="36"/>
  <c r="AI51" i="36"/>
  <c r="AE38" i="36"/>
  <c r="AI47" i="36"/>
  <c r="AM56" i="36" s="1"/>
  <c r="AH64" i="36"/>
  <c r="AH38" i="36"/>
  <c r="AL47" i="36"/>
  <c r="AP56" i="36" s="1"/>
  <c r="AR129" i="7"/>
  <c r="O42" i="36"/>
  <c r="BD129" i="7"/>
  <c r="W42" i="36"/>
  <c r="G42" i="36"/>
  <c r="AI42" i="36"/>
  <c r="AM42" i="36"/>
  <c r="BQ50" i="8"/>
  <c r="AB42" i="36"/>
  <c r="BI117" i="7"/>
  <c r="Z42" i="36"/>
  <c r="BQ129" i="7"/>
  <c r="AF42" i="36"/>
  <c r="L42" i="36"/>
  <c r="N42" i="36"/>
  <c r="BE68" i="7"/>
  <c r="BE35" i="8" s="1"/>
  <c r="T42" i="36"/>
  <c r="V42" i="36"/>
  <c r="M20" i="36"/>
  <c r="CC50" i="8"/>
  <c r="AJ42" i="36"/>
  <c r="BJ12" i="7"/>
  <c r="AA42" i="36"/>
  <c r="BU50" i="8"/>
  <c r="AD42" i="36"/>
  <c r="BW114" i="7"/>
  <c r="AJ38" i="36"/>
  <c r="BJ9" i="7"/>
  <c r="AA38" i="36"/>
  <c r="BQ114" i="7"/>
  <c r="AF38" i="36"/>
  <c r="BO9" i="7"/>
  <c r="AD38" i="36"/>
  <c r="AK9" i="7"/>
  <c r="J38" i="36"/>
  <c r="AW56" i="7"/>
  <c r="AW34" i="8" s="1"/>
  <c r="N38" i="36"/>
  <c r="AY47" i="8"/>
  <c r="P38" i="36"/>
  <c r="AY115" i="7"/>
  <c r="T80" i="36" s="1"/>
  <c r="T38" i="36"/>
  <c r="BI47" i="8"/>
  <c r="V38" i="36"/>
  <c r="AL123" i="7"/>
  <c r="K38" i="36"/>
  <c r="AX47" i="8"/>
  <c r="O38" i="36"/>
  <c r="AX115" i="7"/>
  <c r="S80" i="36" s="1"/>
  <c r="S38" i="36"/>
  <c r="W38" i="36"/>
  <c r="AM47" i="8"/>
  <c r="H38" i="36"/>
  <c r="CE53" i="7"/>
  <c r="CE114" i="7" s="1"/>
  <c r="AL38" i="36"/>
  <c r="AM38" i="36"/>
  <c r="AN18" i="36"/>
  <c r="AI20" i="36"/>
  <c r="AK20" i="36"/>
  <c r="T21" i="36"/>
  <c r="AM19" i="36"/>
  <c r="AD20" i="36"/>
  <c r="AJ20" i="36"/>
  <c r="L20" i="36"/>
  <c r="AL18" i="36"/>
  <c r="AM18" i="36"/>
  <c r="AN19" i="36"/>
  <c r="G5" i="36"/>
  <c r="G16" i="36" s="1"/>
  <c r="I5" i="36"/>
  <c r="I16" i="36" s="1"/>
  <c r="J5" i="36"/>
  <c r="L5" i="36"/>
  <c r="O5" i="36"/>
  <c r="O16" i="36" s="1"/>
  <c r="S5" i="36"/>
  <c r="W5" i="36"/>
  <c r="Z5" i="36"/>
  <c r="AB5" i="36"/>
  <c r="DR12" i="8"/>
  <c r="AA9" i="36"/>
  <c r="AA20" i="36" s="1"/>
  <c r="AC9" i="36"/>
  <c r="DQ13" i="8"/>
  <c r="Z10" i="36"/>
  <c r="Z21" i="36" s="1"/>
  <c r="DS13" i="8"/>
  <c r="AB10" i="36"/>
  <c r="DV8" i="8"/>
  <c r="AE5" i="36"/>
  <c r="AG5" i="36"/>
  <c r="DU13" i="8"/>
  <c r="AD10" i="36"/>
  <c r="AD21" i="36" s="1"/>
  <c r="AF10" i="36"/>
  <c r="AF21" i="36" s="1"/>
  <c r="DZ8" i="8"/>
  <c r="AI5" i="36"/>
  <c r="AI16" i="36" s="1"/>
  <c r="CA22" i="8"/>
  <c r="EC23" i="8" s="1"/>
  <c r="AH9" i="36"/>
  <c r="AH20" i="36" s="1"/>
  <c r="BV43" i="8"/>
  <c r="AI10" i="36"/>
  <c r="AK10" i="36"/>
  <c r="G9" i="36"/>
  <c r="G20" i="36" s="1"/>
  <c r="AE43" i="8"/>
  <c r="F10" i="36"/>
  <c r="F21" i="36" s="1"/>
  <c r="H10" i="36"/>
  <c r="H21" i="36" s="1"/>
  <c r="J9" i="36"/>
  <c r="K10" i="36"/>
  <c r="M10" i="36"/>
  <c r="M21" i="36" s="1"/>
  <c r="P9" i="36"/>
  <c r="P20" i="36" s="1"/>
  <c r="O10" i="36"/>
  <c r="Q10" i="36"/>
  <c r="R9" i="36"/>
  <c r="R20" i="36" s="1"/>
  <c r="S10" i="36"/>
  <c r="AZ43" i="8"/>
  <c r="U10" i="36"/>
  <c r="V9" i="36"/>
  <c r="DO12" i="8"/>
  <c r="X9" i="36"/>
  <c r="X20" i="36" s="1"/>
  <c r="DO13" i="8"/>
  <c r="X10" i="36"/>
  <c r="X21" i="36" s="1"/>
  <c r="AP9" i="36"/>
  <c r="AM5" i="36"/>
  <c r="EH11" i="8"/>
  <c r="AQ8" i="36"/>
  <c r="F5" i="36"/>
  <c r="F16" i="36" s="1"/>
  <c r="H5" i="36"/>
  <c r="H16" i="36" s="1"/>
  <c r="M5" i="36"/>
  <c r="N5" i="36"/>
  <c r="P5" i="36"/>
  <c r="T5" i="36"/>
  <c r="U5" i="36"/>
  <c r="U16" i="36" s="1"/>
  <c r="V5" i="36"/>
  <c r="V16" i="36" s="1"/>
  <c r="DO8" i="8"/>
  <c r="X5" i="36"/>
  <c r="DR8" i="8"/>
  <c r="AA5" i="36"/>
  <c r="AC5" i="36"/>
  <c r="AC16" i="36" s="1"/>
  <c r="AB9" i="36"/>
  <c r="BJ43" i="8"/>
  <c r="AA10" i="36"/>
  <c r="AA21" i="36" s="1"/>
  <c r="AC10" i="36"/>
  <c r="AD5" i="36"/>
  <c r="DW8" i="8"/>
  <c r="AF5" i="36"/>
  <c r="BP43" i="8"/>
  <c r="AE10" i="36"/>
  <c r="AE21" i="36" s="1"/>
  <c r="AG10" i="36"/>
  <c r="AG21" i="36" s="1"/>
  <c r="AH5" i="36"/>
  <c r="AH16" i="36" s="1"/>
  <c r="AJ5" i="36"/>
  <c r="AJ16" i="36" s="1"/>
  <c r="DY13" i="8"/>
  <c r="AH10" i="36"/>
  <c r="AJ10" i="36"/>
  <c r="F9" i="36"/>
  <c r="F20" i="36" s="1"/>
  <c r="G10" i="36"/>
  <c r="G21" i="36" s="1"/>
  <c r="K9" i="36"/>
  <c r="AK43" i="8"/>
  <c r="J10" i="36"/>
  <c r="L10" i="36"/>
  <c r="O9" i="36"/>
  <c r="Q9" i="36"/>
  <c r="Q20" i="36" s="1"/>
  <c r="N10" i="36"/>
  <c r="S9" i="36"/>
  <c r="R10" i="36"/>
  <c r="DP13" i="8"/>
  <c r="Y10" i="36"/>
  <c r="EG9" i="8"/>
  <c r="AP6" i="36"/>
  <c r="EG10" i="8"/>
  <c r="AP7" i="36"/>
  <c r="CG29" i="8"/>
  <c r="AP8" i="36"/>
  <c r="EC12" i="8"/>
  <c r="AL9" i="36"/>
  <c r="AN5" i="36"/>
  <c r="AN16" i="36" s="1"/>
  <c r="ED9" i="8"/>
  <c r="AM6" i="36"/>
  <c r="EF9" i="8"/>
  <c r="AO6" i="36"/>
  <c r="AO9" i="36"/>
  <c r="AO20" i="36" s="1"/>
  <c r="BP85" i="1"/>
  <c r="BP87" i="1" s="1"/>
  <c r="BM29" i="1"/>
  <c r="AB74" i="9"/>
  <c r="AB75" i="9" s="1"/>
  <c r="Y168" i="3"/>
  <c r="BV62" i="1"/>
  <c r="BV40" i="8" s="1"/>
  <c r="CC80" i="1"/>
  <c r="BA17" i="1"/>
  <c r="V166" i="3"/>
  <c r="CG62" i="1"/>
  <c r="BY15" i="3"/>
  <c r="CG92" i="3"/>
  <c r="AB149" i="3"/>
  <c r="BO149" i="3"/>
  <c r="M149" i="3"/>
  <c r="BO155" i="3"/>
  <c r="CB155" i="3"/>
  <c r="Q155" i="3"/>
  <c r="V120" i="3"/>
  <c r="AF75" i="9"/>
  <c r="K65" i="3"/>
  <c r="AC15" i="3"/>
  <c r="BI65" i="3"/>
  <c r="BW65" i="3"/>
  <c r="AU40" i="3"/>
  <c r="AU42" i="3" s="1"/>
  <c r="BG92" i="3"/>
  <c r="BY92" i="3"/>
  <c r="BV121" i="3"/>
  <c r="T75" i="9"/>
  <c r="AA75" i="9"/>
  <c r="BJ75" i="9"/>
  <c r="E75" i="9"/>
  <c r="I75" i="9"/>
  <c r="BU66" i="7"/>
  <c r="BU96" i="7" s="1"/>
  <c r="CS83" i="3"/>
  <c r="CY83" i="3" s="1"/>
  <c r="DE83" i="3" s="1"/>
  <c r="CS84" i="3"/>
  <c r="CY84" i="3" s="1"/>
  <c r="DE84" i="3" s="1"/>
  <c r="CS85" i="3"/>
  <c r="CY85" i="3" s="1"/>
  <c r="BR122" i="7"/>
  <c r="BR134" i="7" s="1"/>
  <c r="CB126" i="7"/>
  <c r="Y283" i="7"/>
  <c r="Y338" i="7" s="1"/>
  <c r="BK134" i="7"/>
  <c r="M362" i="7"/>
  <c r="AH381" i="7"/>
  <c r="AI381" i="7" s="1"/>
  <c r="Q295" i="7"/>
  <c r="Q342" i="7" s="1"/>
  <c r="K362" i="7"/>
  <c r="AH376" i="7"/>
  <c r="AI376" i="7" s="1"/>
  <c r="Z312" i="7"/>
  <c r="AF253" i="7"/>
  <c r="AF345" i="7" s="1"/>
  <c r="AA273" i="7"/>
  <c r="AA335" i="7" s="1"/>
  <c r="O283" i="7"/>
  <c r="O338" i="7" s="1"/>
  <c r="AF266" i="7"/>
  <c r="AF267" i="7" s="1"/>
  <c r="AF347" i="7" s="1"/>
  <c r="U298" i="7"/>
  <c r="U241" i="7" s="1"/>
  <c r="AA242" i="7" s="1"/>
  <c r="AA295" i="7"/>
  <c r="AA342" i="7" s="1"/>
  <c r="AH122" i="7"/>
  <c r="AI122" i="7" s="1"/>
  <c r="AI126" i="7" s="1"/>
  <c r="BS126" i="7"/>
  <c r="BX122" i="7"/>
  <c r="BX134" i="7" s="1"/>
  <c r="CE126" i="7"/>
  <c r="AH133" i="7"/>
  <c r="AI133" i="7" s="1"/>
  <c r="AB381" i="7"/>
  <c r="AC381" i="7" s="1"/>
  <c r="CD122" i="7"/>
  <c r="CD134" i="7" s="1"/>
  <c r="AB272" i="7"/>
  <c r="AB276" i="7" s="1"/>
  <c r="AB237" i="7" s="1"/>
  <c r="AB353" i="7" s="1"/>
  <c r="AH252" i="7"/>
  <c r="AH256" i="7" s="1"/>
  <c r="AH243" i="7" s="1"/>
  <c r="AH371" i="7" s="1"/>
  <c r="Z273" i="7"/>
  <c r="Z335" i="7" s="1"/>
  <c r="BY156" i="7"/>
  <c r="CE156" i="7"/>
  <c r="Y295" i="7"/>
  <c r="Y342" i="7" s="1"/>
  <c r="AX18" i="8"/>
  <c r="CI19" i="8"/>
  <c r="EI20" i="8" s="1"/>
  <c r="CS56" i="7"/>
  <c r="M106" i="7"/>
  <c r="CH21" i="8"/>
  <c r="EH22" i="8" s="1"/>
  <c r="BQ108" i="7"/>
  <c r="CD22" i="8"/>
  <c r="EF23" i="8" s="1"/>
  <c r="ED11" i="8"/>
  <c r="BV22" i="8"/>
  <c r="DZ23" i="8" s="1"/>
  <c r="DX12" i="8"/>
  <c r="BX22" i="8"/>
  <c r="EB23" i="8" s="1"/>
  <c r="EC9" i="8"/>
  <c r="CG19" i="8"/>
  <c r="EG20" i="8" s="1"/>
  <c r="EF10" i="8"/>
  <c r="CI22" i="8"/>
  <c r="EI23" i="8" s="1"/>
  <c r="DZ10" i="8"/>
  <c r="CB20" i="8"/>
  <c r="ED21" i="8" s="1"/>
  <c r="DZ11" i="8"/>
  <c r="CB21" i="8"/>
  <c r="ED22" i="8" s="1"/>
  <c r="ED10" i="8"/>
  <c r="AG108" i="7"/>
  <c r="AS103" i="7"/>
  <c r="CE102" i="7"/>
  <c r="CK103" i="7" s="1"/>
  <c r="DU12" i="8"/>
  <c r="BU22" i="8"/>
  <c r="DY23" i="8" s="1"/>
  <c r="CA20" i="8"/>
  <c r="EC21" i="8" s="1"/>
  <c r="CG22" i="8"/>
  <c r="EG23" i="8" s="1"/>
  <c r="DZ9" i="8"/>
  <c r="CB19" i="8"/>
  <c r="ED20" i="8" s="1"/>
  <c r="CB28" i="8"/>
  <c r="CG20" i="8"/>
  <c r="EG21" i="8" s="1"/>
  <c r="BW22" i="8"/>
  <c r="EA23" i="8" s="1"/>
  <c r="EA9" i="8"/>
  <c r="CC19" i="8"/>
  <c r="EE20" i="8" s="1"/>
  <c r="EA10" i="8"/>
  <c r="CC20" i="8"/>
  <c r="EE21" i="8" s="1"/>
  <c r="EA11" i="8"/>
  <c r="CC21" i="8"/>
  <c r="EE22" i="8" s="1"/>
  <c r="EA12" i="8"/>
  <c r="CC22" i="8"/>
  <c r="EE23" i="8" s="1"/>
  <c r="EF11" i="8"/>
  <c r="BD169" i="3"/>
  <c r="BE33" i="1"/>
  <c r="AX13" i="4"/>
  <c r="AX21" i="1" s="1"/>
  <c r="BL126" i="3"/>
  <c r="BV125" i="3"/>
  <c r="BV126" i="3" s="1"/>
  <c r="BK80" i="4"/>
  <c r="BX29" i="4"/>
  <c r="T107" i="3"/>
  <c r="BK63" i="1"/>
  <c r="BX65" i="1"/>
  <c r="AB78" i="1"/>
  <c r="BI85" i="1"/>
  <c r="BI87" i="1" s="1"/>
  <c r="BK103" i="7"/>
  <c r="BU103" i="7"/>
  <c r="BQ72" i="3"/>
  <c r="BD66" i="1"/>
  <c r="BV46" i="1"/>
  <c r="BG26" i="1"/>
  <c r="AO71" i="9" s="1"/>
  <c r="AX57" i="1"/>
  <c r="AB166" i="3"/>
  <c r="Q66" i="1"/>
  <c r="AH71" i="9"/>
  <c r="AC104" i="1"/>
  <c r="BJ168" i="3"/>
  <c r="O57" i="1"/>
  <c r="K66" i="1"/>
  <c r="BJ72" i="3"/>
  <c r="AH93" i="1"/>
  <c r="AM167" i="3"/>
  <c r="BE169" i="3"/>
  <c r="Q96" i="1"/>
  <c r="M66" i="1"/>
  <c r="E137" i="3"/>
  <c r="AY22" i="1"/>
  <c r="AY119" i="3"/>
  <c r="AY120" i="3" s="1"/>
  <c r="T47" i="4"/>
  <c r="K109" i="3"/>
  <c r="AE78" i="3"/>
  <c r="BW14" i="4"/>
  <c r="BW22" i="1" s="1"/>
  <c r="AY125" i="3"/>
  <c r="AY126" i="3" s="1"/>
  <c r="BC26" i="4"/>
  <c r="BC59" i="4" s="1"/>
  <c r="K76" i="4"/>
  <c r="V22" i="1"/>
  <c r="K21" i="1"/>
  <c r="K23" i="1" s="1"/>
  <c r="BA85" i="4"/>
  <c r="AE59" i="4"/>
  <c r="AB12" i="4"/>
  <c r="AB13" i="4" s="1"/>
  <c r="AB21" i="1" s="1"/>
  <c r="BL80" i="4"/>
  <c r="BD119" i="3"/>
  <c r="BD120" i="3" s="1"/>
  <c r="Q107" i="3"/>
  <c r="Q109" i="3" s="1"/>
  <c r="K78" i="4"/>
  <c r="K77" i="4"/>
  <c r="AL80" i="4"/>
  <c r="BJ80" i="4"/>
  <c r="BV13" i="4"/>
  <c r="BV21" i="1" s="1"/>
  <c r="AM72" i="3"/>
  <c r="AX137" i="3"/>
  <c r="E84" i="3"/>
  <c r="BF10" i="1"/>
  <c r="BG10" i="1" s="1"/>
  <c r="BP51" i="1"/>
  <c r="AQ169" i="3"/>
  <c r="U66" i="1"/>
  <c r="E57" i="1"/>
  <c r="E173" i="3"/>
  <c r="E83" i="3"/>
  <c r="E167" i="3"/>
  <c r="E71" i="3"/>
  <c r="O85" i="3"/>
  <c r="O83" i="3"/>
  <c r="O84" i="3"/>
  <c r="O173" i="3"/>
  <c r="AC16" i="1"/>
  <c r="AI16" i="1"/>
  <c r="V71" i="9"/>
  <c r="AO26" i="1"/>
  <c r="W71" i="9" s="1"/>
  <c r="AX51" i="1"/>
  <c r="AX71" i="3"/>
  <c r="AX84" i="3"/>
  <c r="AX145" i="7"/>
  <c r="AX167" i="3"/>
  <c r="BS16" i="1"/>
  <c r="BR64" i="1"/>
  <c r="Z73" i="3"/>
  <c r="Z72" i="3"/>
  <c r="AW72" i="3"/>
  <c r="AW168" i="3"/>
  <c r="AH101" i="1"/>
  <c r="AH100" i="1" s="1"/>
  <c r="AI29" i="1"/>
  <c r="Q33" i="1"/>
  <c r="G103" i="7"/>
  <c r="AA137" i="3"/>
  <c r="AW66" i="1"/>
  <c r="AX52" i="1"/>
  <c r="BR101" i="1"/>
  <c r="BR100" i="1" s="1"/>
  <c r="BR107" i="1" s="1"/>
  <c r="BR33" i="1" s="1"/>
  <c r="E51" i="1"/>
  <c r="AX86" i="1"/>
  <c r="BX169" i="3"/>
  <c r="AW73" i="3"/>
  <c r="AT74" i="9"/>
  <c r="AT75" i="9" s="1"/>
  <c r="AX83" i="3"/>
  <c r="O167" i="3"/>
  <c r="C72" i="3"/>
  <c r="BS17" i="1"/>
  <c r="BR65" i="1"/>
  <c r="O52" i="1"/>
  <c r="AN12" i="1"/>
  <c r="AN73" i="3" s="1"/>
  <c r="AQ33" i="1"/>
  <c r="CE90" i="1"/>
  <c r="BI33" i="1"/>
  <c r="CC66" i="1"/>
  <c r="BD72" i="3"/>
  <c r="AG52" i="1"/>
  <c r="AN47" i="1"/>
  <c r="CC79" i="1"/>
  <c r="E52" i="1"/>
  <c r="AQ66" i="1"/>
  <c r="AK169" i="3"/>
  <c r="C73" i="3"/>
  <c r="BI72" i="3"/>
  <c r="BV85" i="3"/>
  <c r="AH64" i="1"/>
  <c r="O51" i="1"/>
  <c r="BE73" i="3"/>
  <c r="BE168" i="3"/>
  <c r="T52" i="1"/>
  <c r="CA66" i="1"/>
  <c r="AS108" i="7"/>
  <c r="AG106" i="7"/>
  <c r="CB85" i="1"/>
  <c r="CB86" i="1" s="1"/>
  <c r="CB105" i="1"/>
  <c r="CB33" i="1" s="1"/>
  <c r="BE75" i="9"/>
  <c r="BF75" i="9" s="1"/>
  <c r="BF74" i="9" s="1"/>
  <c r="BG74" i="9" s="1"/>
  <c r="BP106" i="7"/>
  <c r="O79" i="1"/>
  <c r="AX94" i="1"/>
  <c r="O94" i="1"/>
  <c r="AA169" i="3"/>
  <c r="BP137" i="3"/>
  <c r="AZ65" i="1"/>
  <c r="CB93" i="1"/>
  <c r="CB94" i="1" s="1"/>
  <c r="BX12" i="1"/>
  <c r="G62" i="1"/>
  <c r="G137" i="3"/>
  <c r="AU75" i="1"/>
  <c r="AU78" i="1" s="1"/>
  <c r="BU72" i="3"/>
  <c r="W74" i="1"/>
  <c r="W78" i="1" s="1"/>
  <c r="BM93" i="1"/>
  <c r="AL94" i="1"/>
  <c r="S94" i="1"/>
  <c r="AA72" i="3"/>
  <c r="BP168" i="3"/>
  <c r="AL52" i="1"/>
  <c r="AL83" i="3"/>
  <c r="AE73" i="3"/>
  <c r="S167" i="3"/>
  <c r="G85" i="3"/>
  <c r="M72" i="3"/>
  <c r="BQ85" i="3"/>
  <c r="E15" i="1"/>
  <c r="E49" i="1" s="1"/>
  <c r="BA75" i="1"/>
  <c r="G96" i="1"/>
  <c r="W104" i="1"/>
  <c r="BU73" i="3"/>
  <c r="BS78" i="1"/>
  <c r="S71" i="3"/>
  <c r="BV145" i="7"/>
  <c r="BU106" i="7"/>
  <c r="AK106" i="7"/>
  <c r="AH102" i="7"/>
  <c r="AH108" i="7" s="1"/>
  <c r="AK73" i="3"/>
  <c r="V93" i="1"/>
  <c r="BE72" i="3"/>
  <c r="BU105" i="1"/>
  <c r="E63" i="1"/>
  <c r="AN104" i="1"/>
  <c r="AO104" i="1" s="1"/>
  <c r="AK63" i="1"/>
  <c r="BK72" i="3"/>
  <c r="AE106" i="7"/>
  <c r="S52" i="1"/>
  <c r="U169" i="3"/>
  <c r="BA27" i="1"/>
  <c r="AL84" i="3"/>
  <c r="BQ83" i="3"/>
  <c r="BL85" i="1"/>
  <c r="BL87" i="1" s="1"/>
  <c r="AO14" i="1"/>
  <c r="AO12" i="1" s="1"/>
  <c r="AO73" i="3" s="1"/>
  <c r="AX103" i="7"/>
  <c r="BU66" i="1"/>
  <c r="E46" i="1"/>
  <c r="BF105" i="1"/>
  <c r="BG105" i="1" s="1"/>
  <c r="AG86" i="1"/>
  <c r="BG85" i="1"/>
  <c r="E94" i="1"/>
  <c r="BM104" i="1"/>
  <c r="EJ9" i="8"/>
  <c r="CJ19" i="8"/>
  <c r="EJ20" i="8" s="1"/>
  <c r="EH9" i="8"/>
  <c r="CH19" i="8"/>
  <c r="EH20" i="8" s="1"/>
  <c r="AH247" i="7"/>
  <c r="AI247" i="7" s="1"/>
  <c r="AU85" i="4"/>
  <c r="AZ62" i="3"/>
  <c r="G51" i="3"/>
  <c r="BI31" i="3"/>
  <c r="BC65" i="3"/>
  <c r="E31" i="3"/>
  <c r="E44" i="3" s="1"/>
  <c r="AC148" i="3"/>
  <c r="BY146" i="3"/>
  <c r="BW68" i="3"/>
  <c r="BP65" i="3"/>
  <c r="E68" i="3"/>
  <c r="AU148" i="3"/>
  <c r="BI68" i="3"/>
  <c r="Z20" i="3"/>
  <c r="Q149" i="3"/>
  <c r="BP66" i="3"/>
  <c r="AR149" i="3"/>
  <c r="AN149" i="3"/>
  <c r="Q51" i="3"/>
  <c r="W124" i="3"/>
  <c r="BC31" i="3"/>
  <c r="AF65" i="3"/>
  <c r="AO146" i="3"/>
  <c r="BS151" i="3"/>
  <c r="BA148" i="3"/>
  <c r="BI155" i="3"/>
  <c r="BP155" i="3"/>
  <c r="BC20" i="3"/>
  <c r="BI67" i="3"/>
  <c r="BC67" i="3"/>
  <c r="AF31" i="3"/>
  <c r="BI66" i="3"/>
  <c r="AM20" i="3"/>
  <c r="BP31" i="3"/>
  <c r="AI144" i="3"/>
  <c r="T149" i="3"/>
  <c r="AK149" i="3"/>
  <c r="BL120" i="3"/>
  <c r="BQ46" i="1"/>
  <c r="AZ47" i="1"/>
  <c r="AT12" i="1"/>
  <c r="AH19" i="1"/>
  <c r="BO85" i="1"/>
  <c r="BO87" i="1" s="1"/>
  <c r="Q63" i="1"/>
  <c r="S46" i="1"/>
  <c r="S15" i="1"/>
  <c r="S49" i="1" s="1"/>
  <c r="S85" i="3"/>
  <c r="CB79" i="1"/>
  <c r="BR19" i="1"/>
  <c r="BR169" i="3" s="1"/>
  <c r="AA168" i="3"/>
  <c r="AL71" i="3"/>
  <c r="S51" i="1"/>
  <c r="Q73" i="3"/>
  <c r="AE168" i="3"/>
  <c r="S73" i="3"/>
  <c r="AI18" i="1"/>
  <c r="G173" i="3"/>
  <c r="BQ145" i="7"/>
  <c r="BQ84" i="3"/>
  <c r="AT71" i="9"/>
  <c r="AB85" i="1"/>
  <c r="AB87" i="1" s="1"/>
  <c r="G83" i="3"/>
  <c r="BY78" i="1"/>
  <c r="G57" i="1"/>
  <c r="BQ57" i="1"/>
  <c r="AL51" i="1"/>
  <c r="G86" i="1"/>
  <c r="E96" i="1"/>
  <c r="AC105" i="1"/>
  <c r="AI104" i="1"/>
  <c r="AI105" i="1"/>
  <c r="BO108" i="7"/>
  <c r="BS11" i="1"/>
  <c r="BS48" i="1" s="1"/>
  <c r="AN48" i="1"/>
  <c r="AL86" i="1"/>
  <c r="AK66" i="1"/>
  <c r="S173" i="3"/>
  <c r="S57" i="1"/>
  <c r="BK85" i="1"/>
  <c r="BK87" i="1" s="1"/>
  <c r="CB57" i="1"/>
  <c r="AK168" i="3"/>
  <c r="AA73" i="3"/>
  <c r="AL85" i="3"/>
  <c r="AL137" i="3"/>
  <c r="Q168" i="3"/>
  <c r="E72" i="3"/>
  <c r="AE72" i="3"/>
  <c r="CB137" i="3"/>
  <c r="S168" i="3"/>
  <c r="G71" i="3"/>
  <c r="G167" i="3"/>
  <c r="BQ71" i="3"/>
  <c r="BQ167" i="3"/>
  <c r="BI73" i="3"/>
  <c r="AI10" i="1"/>
  <c r="AI102" i="7" s="1"/>
  <c r="G51" i="1"/>
  <c r="AO78" i="1"/>
  <c r="AL57" i="1"/>
  <c r="BR85" i="1"/>
  <c r="BR87" i="1" s="1"/>
  <c r="BX105" i="1"/>
  <c r="BX33" i="1" s="1"/>
  <c r="CC85" i="1"/>
  <c r="CC87" i="1" s="1"/>
  <c r="E33" i="1"/>
  <c r="W12" i="1"/>
  <c r="W168" i="3" s="1"/>
  <c r="G33" i="1"/>
  <c r="T33" i="1"/>
  <c r="AG33" i="1"/>
  <c r="BQ52" i="1"/>
  <c r="I86" i="1"/>
  <c r="G63" i="1"/>
  <c r="C33" i="1"/>
  <c r="BD103" i="7"/>
  <c r="BD137" i="3"/>
  <c r="BQ79" i="1"/>
  <c r="S137" i="3"/>
  <c r="S84" i="3"/>
  <c r="CB51" i="1"/>
  <c r="BF85" i="1"/>
  <c r="BF87" i="1" s="1"/>
  <c r="BL19" i="1"/>
  <c r="BI63" i="1"/>
  <c r="BQ15" i="1"/>
  <c r="BQ80" i="1" s="1"/>
  <c r="BI75" i="9"/>
  <c r="AL167" i="3"/>
  <c r="E73" i="3"/>
  <c r="G84" i="3"/>
  <c r="BQ137" i="3"/>
  <c r="BP72" i="3"/>
  <c r="O86" i="1"/>
  <c r="AN78" i="1"/>
  <c r="AL79" i="1"/>
  <c r="M33" i="1"/>
  <c r="AM33" i="1"/>
  <c r="AY33" i="1"/>
  <c r="AA63" i="1"/>
  <c r="BR64" i="7"/>
  <c r="BR98" i="7" s="1"/>
  <c r="DZ13" i="8"/>
  <c r="BL26" i="8"/>
  <c r="DW12" i="8"/>
  <c r="BO66" i="7"/>
  <c r="BO96" i="7" s="1"/>
  <c r="BQ43" i="8"/>
  <c r="BE43" i="8"/>
  <c r="DS8" i="8"/>
  <c r="BI43" i="8"/>
  <c r="AS22" i="8"/>
  <c r="EC8" i="8"/>
  <c r="AU18" i="8"/>
  <c r="AN43" i="8"/>
  <c r="DW13" i="8"/>
  <c r="BO50" i="8"/>
  <c r="BO68" i="7"/>
  <c r="BO35" i="8" s="1"/>
  <c r="DX8" i="8"/>
  <c r="AI50" i="8"/>
  <c r="BI129" i="7"/>
  <c r="AR18" i="8"/>
  <c r="AS31" i="8"/>
  <c r="O33" i="1"/>
  <c r="BA70" i="9"/>
  <c r="CB119" i="3"/>
  <c r="CB121" i="3" s="1"/>
  <c r="CC49" i="4"/>
  <c r="CD49" i="4" s="1"/>
  <c r="CC44" i="4"/>
  <c r="CD44" i="4" s="1"/>
  <c r="CC41" i="4"/>
  <c r="CD41" i="4" s="1"/>
  <c r="CC37" i="4"/>
  <c r="CD37" i="4" s="1"/>
  <c r="CC19" i="4"/>
  <c r="CD19" i="4" s="1"/>
  <c r="CC16" i="4"/>
  <c r="CD16" i="4" s="1"/>
  <c r="CC12" i="4"/>
  <c r="CD12" i="4" s="1"/>
  <c r="CC32" i="4"/>
  <c r="CD32" i="4" s="1"/>
  <c r="CB125" i="3"/>
  <c r="CB126" i="3" s="1"/>
  <c r="CC24" i="4"/>
  <c r="CD24" i="4" s="1"/>
  <c r="CC22" i="4"/>
  <c r="CD22" i="4" s="1"/>
  <c r="CC17" i="4"/>
  <c r="CC71" i="4"/>
  <c r="CC69" i="4"/>
  <c r="CD69" i="4" s="1"/>
  <c r="CE69" i="4" s="1"/>
  <c r="CA107" i="3"/>
  <c r="BG85" i="4"/>
  <c r="BG86" i="4" s="1"/>
  <c r="BS85" i="4"/>
  <c r="BW53" i="4"/>
  <c r="BX53" i="4" s="1"/>
  <c r="CC45" i="4"/>
  <c r="CD45" i="4" s="1"/>
  <c r="CC43" i="4"/>
  <c r="CD43" i="4" s="1"/>
  <c r="CC38" i="4"/>
  <c r="CD38" i="4" s="1"/>
  <c r="CC10" i="4"/>
  <c r="CD10" i="4" s="1"/>
  <c r="CC23" i="4"/>
  <c r="CD23" i="4" s="1"/>
  <c r="CC21" i="4"/>
  <c r="CD21" i="4" s="1"/>
  <c r="CC70" i="4"/>
  <c r="CD70" i="4" s="1"/>
  <c r="AH62" i="3"/>
  <c r="AL65" i="3"/>
  <c r="AL66" i="3"/>
  <c r="AL68" i="3"/>
  <c r="AO15" i="3"/>
  <c r="BJ20" i="3"/>
  <c r="BQ65" i="3"/>
  <c r="BQ68" i="3"/>
  <c r="BX20" i="3"/>
  <c r="BX65" i="3"/>
  <c r="Y73" i="9"/>
  <c r="Y75" i="9" s="1"/>
  <c r="BA143" i="3"/>
  <c r="BA73" i="9"/>
  <c r="BM144" i="3"/>
  <c r="BC73" i="9"/>
  <c r="BC75" i="9" s="1"/>
  <c r="AC144" i="3"/>
  <c r="AY147" i="3"/>
  <c r="AY149" i="3" s="1"/>
  <c r="AY20" i="3"/>
  <c r="AM31" i="3"/>
  <c r="AM68" i="3"/>
  <c r="I66" i="3"/>
  <c r="I31" i="3"/>
  <c r="I44" i="3" s="1"/>
  <c r="AR68" i="3"/>
  <c r="AR31" i="3"/>
  <c r="BU66" i="3"/>
  <c r="BU68" i="3"/>
  <c r="BW66" i="3"/>
  <c r="BW31" i="3"/>
  <c r="M155" i="3"/>
  <c r="O75" i="9"/>
  <c r="AC40" i="3"/>
  <c r="AC42" i="3" s="1"/>
  <c r="AO40" i="3"/>
  <c r="AO42" i="3" s="1"/>
  <c r="K120" i="3"/>
  <c r="O126" i="3"/>
  <c r="AL155" i="3"/>
  <c r="AN105" i="7"/>
  <c r="AN106" i="7" s="1"/>
  <c r="BF19" i="1"/>
  <c r="AF57" i="1"/>
  <c r="CM8" i="1"/>
  <c r="CS8" i="1" s="1"/>
  <c r="CY8" i="1" s="1"/>
  <c r="DE8" i="1" s="1"/>
  <c r="BO80" i="3"/>
  <c r="CU51" i="1"/>
  <c r="BM74" i="9"/>
  <c r="BM75" i="9" s="1"/>
  <c r="CU52" i="1"/>
  <c r="AC70" i="9"/>
  <c r="BM70" i="9"/>
  <c r="AL38" i="9"/>
  <c r="W32" i="9"/>
  <c r="W36" i="9" s="1"/>
  <c r="W37" i="9" s="1"/>
  <c r="AA64" i="9"/>
  <c r="AA68" i="9" s="1"/>
  <c r="AB64" i="9"/>
  <c r="AB68" i="9" s="1"/>
  <c r="AH64" i="9"/>
  <c r="AH68" i="9" s="1"/>
  <c r="AL64" i="9"/>
  <c r="AL68" i="9" s="1"/>
  <c r="AS64" i="9"/>
  <c r="AS68" i="9" s="1"/>
  <c r="AZ64" i="9"/>
  <c r="AZ68" i="9" s="1"/>
  <c r="Q64" i="9"/>
  <c r="Q68" i="9" s="1"/>
  <c r="BM63" i="9"/>
  <c r="BM61" i="9"/>
  <c r="BM59" i="9"/>
  <c r="BM57" i="9"/>
  <c r="BM55" i="9"/>
  <c r="BM53" i="9"/>
  <c r="BM51" i="9"/>
  <c r="BM49" i="9"/>
  <c r="BM44" i="9"/>
  <c r="BM43" i="9"/>
  <c r="BM41" i="9"/>
  <c r="AI65" i="9"/>
  <c r="AI42" i="9"/>
  <c r="AO45" i="9"/>
  <c r="AO54" i="9"/>
  <c r="AO58" i="9"/>
  <c r="AI63" i="9"/>
  <c r="AU49" i="9"/>
  <c r="AO57" i="9"/>
  <c r="AU63" i="9"/>
  <c r="AU48" i="9"/>
  <c r="BG63" i="9"/>
  <c r="BG50" i="9"/>
  <c r="BM65" i="9"/>
  <c r="BM62" i="9"/>
  <c r="BM60" i="9"/>
  <c r="BS26" i="9"/>
  <c r="BS58" i="9" s="1"/>
  <c r="BM58" i="9"/>
  <c r="BM56" i="9"/>
  <c r="BS22" i="9"/>
  <c r="BS54" i="9" s="1"/>
  <c r="BM54" i="9"/>
  <c r="BM52" i="9"/>
  <c r="BS18" i="9"/>
  <c r="BS50" i="9" s="1"/>
  <c r="BM50" i="9"/>
  <c r="BM48" i="9"/>
  <c r="BM45" i="9"/>
  <c r="BS10" i="9"/>
  <c r="BS42" i="9" s="1"/>
  <c r="BM42" i="9"/>
  <c r="BS15" i="9"/>
  <c r="BM47" i="9"/>
  <c r="BJ64" i="9"/>
  <c r="BJ68" i="9" s="1"/>
  <c r="BW122" i="1"/>
  <c r="BU122" i="1"/>
  <c r="CA145" i="7"/>
  <c r="CA124" i="1"/>
  <c r="BQ122" i="1"/>
  <c r="CB145" i="7"/>
  <c r="BY159" i="7"/>
  <c r="BY151" i="7"/>
  <c r="BX151" i="7" s="1"/>
  <c r="BW151" i="7" s="1"/>
  <c r="BV151" i="7" s="1"/>
  <c r="BU151" i="7" s="1"/>
  <c r="BY148" i="7"/>
  <c r="BX148" i="7" s="1"/>
  <c r="BW148" i="7" s="1"/>
  <c r="BV148" i="7" s="1"/>
  <c r="BU148" i="7" s="1"/>
  <c r="BY152" i="7"/>
  <c r="BY150" i="7"/>
  <c r="BX150" i="7" s="1"/>
  <c r="BW150" i="7" s="1"/>
  <c r="BV150" i="7" s="1"/>
  <c r="BU150" i="7" s="1"/>
  <c r="BY149" i="7"/>
  <c r="BX149" i="7" s="1"/>
  <c r="BW149" i="7" s="1"/>
  <c r="BV149" i="7" s="1"/>
  <c r="BU149" i="7" s="1"/>
  <c r="CE159" i="7"/>
  <c r="CD50" i="7"/>
  <c r="CD94" i="7" s="1"/>
  <c r="CD132" i="7"/>
  <c r="CA129" i="7"/>
  <c r="CE65" i="7"/>
  <c r="BY61" i="7"/>
  <c r="BY62" i="7" s="1"/>
  <c r="CD62" i="7"/>
  <c r="CD97" i="7" s="1"/>
  <c r="BF31" i="8"/>
  <c r="AW30" i="8"/>
  <c r="CD36" i="7"/>
  <c r="CD34" i="7" s="1"/>
  <c r="BU68" i="7"/>
  <c r="BU35" i="8" s="1"/>
  <c r="BU129" i="7"/>
  <c r="BO129" i="7"/>
  <c r="BW27" i="8"/>
  <c r="BI66" i="1"/>
  <c r="AC32" i="9"/>
  <c r="AC36" i="9" s="1"/>
  <c r="AC37" i="9" s="1"/>
  <c r="AQ57" i="9"/>
  <c r="AU56" i="9"/>
  <c r="AI44" i="9"/>
  <c r="BG48" i="9"/>
  <c r="AW48" i="9"/>
  <c r="W62" i="9"/>
  <c r="AU52" i="9"/>
  <c r="AR64" i="9"/>
  <c r="AR68" i="9" s="1"/>
  <c r="AX64" i="9"/>
  <c r="AX68" i="9" s="1"/>
  <c r="AY64" i="9"/>
  <c r="AY68" i="9" s="1"/>
  <c r="BD64" i="9"/>
  <c r="BD68" i="9" s="1"/>
  <c r="BA52" i="9"/>
  <c r="BE34" i="9"/>
  <c r="BG44" i="9"/>
  <c r="AI32" i="9"/>
  <c r="AI34" i="9" s="1"/>
  <c r="AI38" i="9" s="1"/>
  <c r="AO63" i="9"/>
  <c r="AI49" i="9"/>
  <c r="BC63" i="9"/>
  <c r="G36" i="9"/>
  <c r="G37" i="9" s="1"/>
  <c r="AW67" i="9"/>
  <c r="AU44" i="9"/>
  <c r="BA50" i="9"/>
  <c r="BA54" i="9"/>
  <c r="I64" i="9"/>
  <c r="I68" i="9" s="1"/>
  <c r="CW36" i="4"/>
  <c r="AK42" i="9"/>
  <c r="BA32" i="9"/>
  <c r="BA34" i="9" s="1"/>
  <c r="BC66" i="9" s="1"/>
  <c r="BA60" i="9"/>
  <c r="AI45" i="9"/>
  <c r="BG52" i="9"/>
  <c r="G66" i="9"/>
  <c r="AU32" i="9"/>
  <c r="AU34" i="9" s="1"/>
  <c r="AW66" i="9" s="1"/>
  <c r="I66" i="9"/>
  <c r="Y67" i="9"/>
  <c r="AY34" i="9"/>
  <c r="AZ66" i="9" s="1"/>
  <c r="AU43" i="9"/>
  <c r="S61" i="3"/>
  <c r="S51" i="3"/>
  <c r="AS61" i="3"/>
  <c r="AS51" i="3"/>
  <c r="T51" i="3"/>
  <c r="T61" i="3"/>
  <c r="Y51" i="3"/>
  <c r="Y61" i="3"/>
  <c r="AR51" i="3"/>
  <c r="AR61" i="3"/>
  <c r="BS92" i="3"/>
  <c r="T120" i="3"/>
  <c r="BK121" i="3"/>
  <c r="I121" i="3"/>
  <c r="G126" i="3"/>
  <c r="I126" i="3"/>
  <c r="BP149" i="3"/>
  <c r="BQ149" i="3"/>
  <c r="I149" i="3"/>
  <c r="BX155" i="3"/>
  <c r="AL120" i="3"/>
  <c r="BP121" i="3"/>
  <c r="E120" i="3"/>
  <c r="K68" i="3"/>
  <c r="BA27" i="3"/>
  <c r="BA66" i="3" s="1"/>
  <c r="W40" i="3"/>
  <c r="W42" i="3" s="1"/>
  <c r="AI40" i="3"/>
  <c r="AI42" i="3" s="1"/>
  <c r="AI192" i="3" s="1"/>
  <c r="G103" i="3"/>
  <c r="K103" i="3"/>
  <c r="AF120" i="3"/>
  <c r="AK83" i="3"/>
  <c r="AX72" i="3"/>
  <c r="AG169" i="3"/>
  <c r="AT19" i="1"/>
  <c r="AT65" i="1"/>
  <c r="Z169" i="3"/>
  <c r="AZ64" i="1"/>
  <c r="AF63" i="1"/>
  <c r="CB106" i="7"/>
  <c r="BS105" i="1"/>
  <c r="BY83" i="1"/>
  <c r="BY85" i="1" s="1"/>
  <c r="AC93" i="1"/>
  <c r="AU104" i="1"/>
  <c r="BS104" i="1"/>
  <c r="BY104" i="1"/>
  <c r="K106" i="1"/>
  <c r="K33" i="1" s="1"/>
  <c r="Z108" i="7"/>
  <c r="AK108" i="7"/>
  <c r="AQ103" i="7"/>
  <c r="BV108" i="7"/>
  <c r="E103" i="7"/>
  <c r="E108" i="7"/>
  <c r="Y79" i="1"/>
  <c r="AC17" i="1"/>
  <c r="BW169" i="3"/>
  <c r="BD85" i="3"/>
  <c r="AA15" i="1"/>
  <c r="AA49" i="1" s="1"/>
  <c r="AA79" i="1"/>
  <c r="AA85" i="3"/>
  <c r="W11" i="1"/>
  <c r="W48" i="1" s="1"/>
  <c r="AN65" i="1"/>
  <c r="BU46" i="1"/>
  <c r="BW52" i="1"/>
  <c r="AI93" i="1"/>
  <c r="AT93" i="1"/>
  <c r="I83" i="3"/>
  <c r="BW167" i="3"/>
  <c r="G46" i="1"/>
  <c r="BW63" i="1"/>
  <c r="M108" i="7"/>
  <c r="AF103" i="7"/>
  <c r="BO103" i="7"/>
  <c r="G108" i="7"/>
  <c r="CE104" i="1"/>
  <c r="CB103" i="7"/>
  <c r="BE108" i="7"/>
  <c r="BF65" i="1"/>
  <c r="BD51" i="1"/>
  <c r="BD71" i="3"/>
  <c r="BD57" i="1"/>
  <c r="AA51" i="1"/>
  <c r="AG62" i="1"/>
  <c r="AG40" i="8" s="1"/>
  <c r="AA71" i="3"/>
  <c r="AA86" i="1"/>
  <c r="AA75" i="7"/>
  <c r="V48" i="1"/>
  <c r="BS83" i="1"/>
  <c r="BS85" i="1" s="1"/>
  <c r="CB108" i="7"/>
  <c r="CH109" i="7" s="1"/>
  <c r="S108" i="7"/>
  <c r="AT64" i="1"/>
  <c r="BV66" i="1"/>
  <c r="AI74" i="9"/>
  <c r="Y66" i="1"/>
  <c r="AX108" i="7"/>
  <c r="I167" i="3"/>
  <c r="W16" i="1"/>
  <c r="W64" i="1" s="1"/>
  <c r="AB64" i="1"/>
  <c r="AH47" i="1"/>
  <c r="AM57" i="1"/>
  <c r="BD33" i="1"/>
  <c r="AF33" i="1"/>
  <c r="CA91" i="1"/>
  <c r="CE91" i="1" s="1"/>
  <c r="CE83" i="1"/>
  <c r="AK103" i="7"/>
  <c r="BC103" i="7"/>
  <c r="BJ103" i="7"/>
  <c r="CA103" i="7"/>
  <c r="K103" i="7"/>
  <c r="E106" i="7"/>
  <c r="BD75" i="9"/>
  <c r="BO106" i="7"/>
  <c r="W82" i="1"/>
  <c r="W85" i="1" s="1"/>
  <c r="BL65" i="1"/>
  <c r="AA66" i="1"/>
  <c r="BD94" i="1"/>
  <c r="BD83" i="3"/>
  <c r="AA57" i="1"/>
  <c r="AA173" i="3"/>
  <c r="AA167" i="3"/>
  <c r="AA84" i="3"/>
  <c r="AA46" i="1"/>
  <c r="AA94" i="1"/>
  <c r="BV106" i="7"/>
  <c r="AW86" i="1"/>
  <c r="BP66" i="1"/>
  <c r="O46" i="1"/>
  <c r="AC82" i="1"/>
  <c r="AC85" i="1" s="1"/>
  <c r="AW106" i="7"/>
  <c r="AY106" i="7"/>
  <c r="Q108" i="7"/>
  <c r="BQ85" i="1"/>
  <c r="T57" i="1"/>
  <c r="AT78" i="1"/>
  <c r="CO51" i="1"/>
  <c r="AX115" i="1"/>
  <c r="AX179" i="3" s="1"/>
  <c r="AN85" i="1"/>
  <c r="AN87" i="1" s="1"/>
  <c r="AA33" i="1"/>
  <c r="Y103" i="7"/>
  <c r="AW103" i="7"/>
  <c r="M103" i="7"/>
  <c r="G106" i="7"/>
  <c r="CA107" i="1"/>
  <c r="CE107" i="1" s="1"/>
  <c r="CE100" i="1"/>
  <c r="CO52" i="1"/>
  <c r="EF12" i="8"/>
  <c r="BW43" i="8"/>
  <c r="ED8" i="8"/>
  <c r="AO43" i="8"/>
  <c r="DR13" i="8"/>
  <c r="AS26" i="8"/>
  <c r="CB117" i="7"/>
  <c r="AU150" i="7"/>
  <c r="CB18" i="8"/>
  <c r="ED19" i="8" s="1"/>
  <c r="BL18" i="8"/>
  <c r="DT19" i="8" s="1"/>
  <c r="Z243" i="7"/>
  <c r="Z371" i="7" s="1"/>
  <c r="CB129" i="7"/>
  <c r="EA13" i="8"/>
  <c r="AY26" i="8"/>
  <c r="CC47" i="8"/>
  <c r="BW123" i="7"/>
  <c r="BA43" i="8"/>
  <c r="E360" i="7"/>
  <c r="AY22" i="8"/>
  <c r="BO23" i="8"/>
  <c r="DU24" i="8" s="1"/>
  <c r="BK95" i="7"/>
  <c r="BF126" i="7"/>
  <c r="AB297" i="7"/>
  <c r="AB343" i="7" s="1"/>
  <c r="BD31" i="8"/>
  <c r="DT12" i="8"/>
  <c r="AM31" i="8"/>
  <c r="AB275" i="7"/>
  <c r="AB336" i="7" s="1"/>
  <c r="Y245" i="7"/>
  <c r="Y377" i="7" s="1"/>
  <c r="BR26" i="8"/>
  <c r="CT43" i="7"/>
  <c r="V312" i="7"/>
  <c r="CN11" i="8"/>
  <c r="EL11" i="8" s="1"/>
  <c r="BS63" i="7"/>
  <c r="BS64" i="7" s="1"/>
  <c r="CA12" i="7"/>
  <c r="BS34" i="7"/>
  <c r="BV26" i="8"/>
  <c r="BK129" i="7"/>
  <c r="DV13" i="8"/>
  <c r="BU43" i="8"/>
  <c r="BK12" i="7"/>
  <c r="BA159" i="7"/>
  <c r="BC46" i="1"/>
  <c r="U46" i="1"/>
  <c r="AE63" i="1"/>
  <c r="BC72" i="3"/>
  <c r="I168" i="3"/>
  <c r="AG72" i="3"/>
  <c r="Y72" i="3"/>
  <c r="AM63" i="1"/>
  <c r="AM73" i="3"/>
  <c r="BU63" i="1"/>
  <c r="BR48" i="1"/>
  <c r="AX63" i="1"/>
  <c r="AZ12" i="1"/>
  <c r="AZ72" i="3" s="1"/>
  <c r="BL12" i="1"/>
  <c r="BC73" i="3"/>
  <c r="U168" i="3"/>
  <c r="I72" i="3"/>
  <c r="AG73" i="3"/>
  <c r="Y73" i="3"/>
  <c r="AM15" i="1"/>
  <c r="Y63" i="1"/>
  <c r="AG63" i="1"/>
  <c r="BC63" i="1"/>
  <c r="U72" i="3"/>
  <c r="AM168" i="3"/>
  <c r="I46" i="1"/>
  <c r="U79" i="1"/>
  <c r="O106" i="7"/>
  <c r="BL48" i="1"/>
  <c r="BV57" i="1"/>
  <c r="BV173" i="3"/>
  <c r="BV167" i="3"/>
  <c r="AL108" i="7"/>
  <c r="BQ103" i="7"/>
  <c r="AE108" i="7"/>
  <c r="C108" i="7"/>
  <c r="BM11" i="1"/>
  <c r="BM48" i="1" s="1"/>
  <c r="BX9" i="1"/>
  <c r="BL105" i="7"/>
  <c r="BM105" i="7" s="1"/>
  <c r="BV52" i="1"/>
  <c r="BV83" i="3"/>
  <c r="BV71" i="3"/>
  <c r="BG11" i="1"/>
  <c r="BV86" i="1"/>
  <c r="BV51" i="1"/>
  <c r="BV84" i="3"/>
  <c r="BV137" i="3"/>
  <c r="CA108" i="7"/>
  <c r="CG109" i="7" s="1"/>
  <c r="U108" i="7"/>
  <c r="BJ106" i="7"/>
  <c r="AU10" i="1"/>
  <c r="AU102" i="7" s="1"/>
  <c r="BY10" i="1"/>
  <c r="BY47" i="1" s="1"/>
  <c r="AL15" i="1"/>
  <c r="G15" i="1"/>
  <c r="G80" i="1" s="1"/>
  <c r="S79" i="1"/>
  <c r="AX79" i="1"/>
  <c r="AA103" i="7"/>
  <c r="AR103" i="7"/>
  <c r="AY103" i="7"/>
  <c r="I108" i="7"/>
  <c r="BP49" i="8"/>
  <c r="BJ123" i="7"/>
  <c r="BS49" i="7"/>
  <c r="BS50" i="7" s="1"/>
  <c r="BS94" i="7" s="1"/>
  <c r="BP47" i="8"/>
  <c r="BI97" i="7"/>
  <c r="AX49" i="8"/>
  <c r="AR94" i="7"/>
  <c r="AC129" i="7"/>
  <c r="AW47" i="8"/>
  <c r="AC12" i="7"/>
  <c r="BM151" i="7"/>
  <c r="AI68" i="7"/>
  <c r="AI35" i="8" s="1"/>
  <c r="AQ9" i="7"/>
  <c r="BA148" i="7"/>
  <c r="AZ148" i="7" s="1"/>
  <c r="AY148" i="7" s="1"/>
  <c r="BC52" i="8"/>
  <c r="AI43" i="8"/>
  <c r="BJ108" i="7"/>
  <c r="BD106" i="7"/>
  <c r="BS134" i="7"/>
  <c r="BL122" i="7"/>
  <c r="BL134" i="7" s="1"/>
  <c r="Z382" i="7"/>
  <c r="CB130" i="7"/>
  <c r="AE134" i="7"/>
  <c r="AF106" i="7"/>
  <c r="AL52" i="8"/>
  <c r="AL126" i="7"/>
  <c r="AB252" i="7"/>
  <c r="V364" i="7"/>
  <c r="AB368" i="7" s="1"/>
  <c r="AB282" i="7"/>
  <c r="AB288" i="7" s="1"/>
  <c r="AB239" i="7" s="1"/>
  <c r="AB359" i="7" s="1"/>
  <c r="AF134" i="7"/>
  <c r="K240" i="7"/>
  <c r="AB312" i="7"/>
  <c r="U382" i="7"/>
  <c r="CB123" i="7"/>
  <c r="AQ106" i="7"/>
  <c r="AQ108" i="7"/>
  <c r="Q283" i="7"/>
  <c r="Q338" i="7" s="1"/>
  <c r="AH262" i="7"/>
  <c r="AI262" i="7" s="1"/>
  <c r="AA256" i="7"/>
  <c r="AG257" i="7" s="1"/>
  <c r="AG266" i="7"/>
  <c r="AG245" i="7" s="1"/>
  <c r="AG377" i="7" s="1"/>
  <c r="AM106" i="7"/>
  <c r="BP108" i="7"/>
  <c r="Q103" i="7"/>
  <c r="BQ123" i="7"/>
  <c r="CS68" i="7"/>
  <c r="CS35" i="8" s="1"/>
  <c r="EA8" i="8"/>
  <c r="AQ12" i="7"/>
  <c r="BI50" i="8"/>
  <c r="BE50" i="8"/>
  <c r="BJ98" i="7"/>
  <c r="I315" i="7"/>
  <c r="G240" i="7"/>
  <c r="BK30" i="8"/>
  <c r="AG30" i="8"/>
  <c r="AX30" i="8"/>
  <c r="CA97" i="7"/>
  <c r="AH265" i="7"/>
  <c r="AH349" i="7" s="1"/>
  <c r="BA18" i="8"/>
  <c r="BV18" i="8"/>
  <c r="DZ19" i="8" s="1"/>
  <c r="BA22" i="8"/>
  <c r="BC12" i="7"/>
  <c r="AW50" i="8"/>
  <c r="AS68" i="7"/>
  <c r="AS35" i="8" s="1"/>
  <c r="AW66" i="7"/>
  <c r="AW96" i="7" s="1"/>
  <c r="AX26" i="8"/>
  <c r="AO22" i="8"/>
  <c r="AN23" i="8"/>
  <c r="AZ22" i="8"/>
  <c r="AZ31" i="8"/>
  <c r="CG30" i="8"/>
  <c r="AL103" i="7"/>
  <c r="BI108" i="7"/>
  <c r="BP18" i="8"/>
  <c r="DV19" i="8" s="1"/>
  <c r="AZ18" i="8"/>
  <c r="BR23" i="8"/>
  <c r="DX24" i="8" s="1"/>
  <c r="BL31" i="8"/>
  <c r="BI103" i="7"/>
  <c r="AF30" i="8"/>
  <c r="DV12" i="8"/>
  <c r="DZ12" i="8"/>
  <c r="BA23" i="8"/>
  <c r="AS30" i="8"/>
  <c r="CT68" i="7"/>
  <c r="CT35" i="8" s="1"/>
  <c r="BW106" i="7"/>
  <c r="AW26" i="8"/>
  <c r="BE26" i="8"/>
  <c r="AN30" i="8"/>
  <c r="AQ30" i="8"/>
  <c r="AZ30" i="8"/>
  <c r="CV56" i="7"/>
  <c r="CV36" i="8"/>
  <c r="BE103" i="7"/>
  <c r="AF108" i="7"/>
  <c r="AL106" i="7"/>
  <c r="BK18" i="8"/>
  <c r="DS19" i="8" s="1"/>
  <c r="CB27" i="8"/>
  <c r="AS106" i="7"/>
  <c r="CD30" i="8"/>
  <c r="BM102" i="7"/>
  <c r="BE23" i="8"/>
  <c r="DO24" i="8" s="1"/>
  <c r="BP22" i="8"/>
  <c r="DV23" i="8" s="1"/>
  <c r="BQ31" i="8"/>
  <c r="AW18" i="8"/>
  <c r="AX106" i="7"/>
  <c r="BD108" i="7"/>
  <c r="AM108" i="7"/>
  <c r="CA106" i="7"/>
  <c r="BK106" i="7"/>
  <c r="BW30" i="8"/>
  <c r="BV23" i="8"/>
  <c r="DZ24" i="8" s="1"/>
  <c r="CT56" i="7"/>
  <c r="BW28" i="8"/>
  <c r="BU108" i="7"/>
  <c r="AF139" i="3"/>
  <c r="BK52" i="1"/>
  <c r="BQ62" i="1"/>
  <c r="BQ40" i="8" s="1"/>
  <c r="BK83" i="3"/>
  <c r="BK71" i="3"/>
  <c r="BK79" i="1"/>
  <c r="BK173" i="3"/>
  <c r="BK145" i="7"/>
  <c r="BK51" i="1"/>
  <c r="BK167" i="3"/>
  <c r="BK85" i="3"/>
  <c r="C15" i="1"/>
  <c r="C80" i="1" s="1"/>
  <c r="C71" i="3"/>
  <c r="C52" i="1"/>
  <c r="K167" i="3"/>
  <c r="K173" i="3"/>
  <c r="AB12" i="1"/>
  <c r="AC14" i="1"/>
  <c r="AC12" i="1" s="1"/>
  <c r="AC26" i="1"/>
  <c r="O71" i="9" s="1"/>
  <c r="AI26" i="1"/>
  <c r="Q71" i="9" s="1"/>
  <c r="AX46" i="1"/>
  <c r="AB19" i="1"/>
  <c r="AF137" i="3"/>
  <c r="BD86" i="1"/>
  <c r="BD84" i="3"/>
  <c r="BD52" i="1"/>
  <c r="AE139" i="3"/>
  <c r="AA62" i="1"/>
  <c r="AA40" i="8" s="1"/>
  <c r="BP62" i="1"/>
  <c r="BP40" i="8" s="1"/>
  <c r="U51" i="1"/>
  <c r="BK46" i="1"/>
  <c r="AI17" i="1"/>
  <c r="AH65" i="1"/>
  <c r="BC169" i="3"/>
  <c r="AZ19" i="1"/>
  <c r="C167" i="3"/>
  <c r="BM78" i="1"/>
  <c r="BG29" i="1"/>
  <c r="BF101" i="1"/>
  <c r="BF100" i="1" s="1"/>
  <c r="BF107" i="1" s="1"/>
  <c r="AO17" i="1"/>
  <c r="AT47" i="1"/>
  <c r="AU13" i="1"/>
  <c r="CC169" i="3"/>
  <c r="CB168" i="3"/>
  <c r="CB46" i="1"/>
  <c r="CB15" i="1"/>
  <c r="AS169" i="3"/>
  <c r="AS66" i="1"/>
  <c r="BA82" i="1"/>
  <c r="BA85" i="1" s="1"/>
  <c r="AZ85" i="1"/>
  <c r="AZ87" i="1" s="1"/>
  <c r="BO72" i="3"/>
  <c r="BO168" i="3"/>
  <c r="AF94" i="1"/>
  <c r="AR106" i="7"/>
  <c r="AF83" i="3"/>
  <c r="AF15" i="1"/>
  <c r="AF135" i="7" s="1"/>
  <c r="BD62" i="1"/>
  <c r="BD40" i="8" s="1"/>
  <c r="BD145" i="7"/>
  <c r="BD79" i="1"/>
  <c r="BD167" i="3"/>
  <c r="AM66" i="1"/>
  <c r="AG66" i="1"/>
  <c r="BP79" i="1"/>
  <c r="BP145" i="7"/>
  <c r="BP152" i="7" s="1"/>
  <c r="BD46" i="1"/>
  <c r="O108" i="7"/>
  <c r="BC66" i="1"/>
  <c r="BX47" i="1"/>
  <c r="BV87" i="1"/>
  <c r="S33" i="1"/>
  <c r="G73" i="3"/>
  <c r="BO73" i="3"/>
  <c r="BI169" i="3"/>
  <c r="BO66" i="1"/>
  <c r="BK84" i="3"/>
  <c r="AY169" i="3"/>
  <c r="AY66" i="1"/>
  <c r="K63" i="1"/>
  <c r="K73" i="3"/>
  <c r="K72" i="3"/>
  <c r="AF46" i="1"/>
  <c r="AF85" i="3"/>
  <c r="AF51" i="1"/>
  <c r="K79" i="1"/>
  <c r="BO63" i="1"/>
  <c r="BK137" i="3"/>
  <c r="AH12" i="1"/>
  <c r="BK57" i="1"/>
  <c r="BK169" i="3"/>
  <c r="BK66" i="1"/>
  <c r="AO16" i="1"/>
  <c r="AN64" i="1"/>
  <c r="AQ51" i="1"/>
  <c r="AQ85" i="3"/>
  <c r="AB71" i="9"/>
  <c r="AU26" i="1"/>
  <c r="AC71" i="9" s="1"/>
  <c r="BA16" i="1"/>
  <c r="BL64" i="1"/>
  <c r="BG16" i="1"/>
  <c r="BF64" i="1"/>
  <c r="BM10" i="1"/>
  <c r="BL9" i="1"/>
  <c r="BL167" i="3" s="1"/>
  <c r="BM27" i="1"/>
  <c r="BM166" i="3" s="1"/>
  <c r="BS10" i="1"/>
  <c r="BR102" i="7"/>
  <c r="BS25" i="1"/>
  <c r="T46" i="1"/>
  <c r="T168" i="3"/>
  <c r="Z63" i="1"/>
  <c r="T73" i="3"/>
  <c r="AF168" i="3"/>
  <c r="AF73" i="3"/>
  <c r="AF72" i="3"/>
  <c r="AL46" i="1"/>
  <c r="AL168" i="3"/>
  <c r="AL73" i="3"/>
  <c r="AL63" i="1"/>
  <c r="AL72" i="3"/>
  <c r="I63" i="1"/>
  <c r="G72" i="3"/>
  <c r="G168" i="3"/>
  <c r="O15" i="1"/>
  <c r="O49" i="1" s="1"/>
  <c r="O168" i="3"/>
  <c r="O63" i="1"/>
  <c r="O73" i="3"/>
  <c r="O74" i="3" s="1"/>
  <c r="BY101" i="1"/>
  <c r="AI74" i="1"/>
  <c r="AI78" i="1" s="1"/>
  <c r="AH78" i="1"/>
  <c r="BA77" i="1"/>
  <c r="AZ78" i="1"/>
  <c r="BF104" i="1"/>
  <c r="BG104" i="1" s="1"/>
  <c r="BG75" i="1"/>
  <c r="BG78" i="1" s="1"/>
  <c r="BF78" i="1"/>
  <c r="AU83" i="1"/>
  <c r="AU85" i="1" s="1"/>
  <c r="AT105" i="1"/>
  <c r="AU105" i="1" s="1"/>
  <c r="AN105" i="1"/>
  <c r="AO105" i="1" s="1"/>
  <c r="AO83" i="1"/>
  <c r="AO85" i="1" s="1"/>
  <c r="BJ105" i="1"/>
  <c r="BJ33" i="1" s="1"/>
  <c r="BM83" i="1"/>
  <c r="BM85" i="1" s="1"/>
  <c r="BJ85" i="1"/>
  <c r="BJ87" i="1" s="1"/>
  <c r="BW105" i="1"/>
  <c r="BW85" i="1"/>
  <c r="AO92" i="1"/>
  <c r="AO93" i="1" s="1"/>
  <c r="AN93" i="1"/>
  <c r="BG90" i="1"/>
  <c r="BG93" i="1" s="1"/>
  <c r="BF93" i="1"/>
  <c r="AM103" i="7"/>
  <c r="CB66" i="1"/>
  <c r="BA104" i="1"/>
  <c r="I33" i="1"/>
  <c r="BU51" i="1"/>
  <c r="AW108" i="7"/>
  <c r="AT85" i="1"/>
  <c r="AT87" i="1" s="1"/>
  <c r="BS93" i="1"/>
  <c r="AE94" i="1"/>
  <c r="AS33" i="1"/>
  <c r="AX33" i="1"/>
  <c r="BK108" i="7"/>
  <c r="AK33" i="1"/>
  <c r="G310" i="7"/>
  <c r="BK15" i="1"/>
  <c r="AZ93" i="1"/>
  <c r="BY93" i="1"/>
  <c r="AL33" i="1"/>
  <c r="AC75" i="7"/>
  <c r="AC87" i="7" s="1"/>
  <c r="AU148" i="7"/>
  <c r="AT148" i="7" s="1"/>
  <c r="AS148" i="7" s="1"/>
  <c r="AZ126" i="7"/>
  <c r="AO72" i="7"/>
  <c r="AO15" i="7" s="1"/>
  <c r="BI68" i="7"/>
  <c r="BI35" i="8" s="1"/>
  <c r="AH30" i="8"/>
  <c r="BC31" i="8"/>
  <c r="CC27" i="8"/>
  <c r="CS20" i="8"/>
  <c r="AU152" i="7"/>
  <c r="AX97" i="7"/>
  <c r="AU149" i="7"/>
  <c r="BS18" i="8"/>
  <c r="BX23" i="8"/>
  <c r="EB24" i="8" s="1"/>
  <c r="BO31" i="8"/>
  <c r="DQ8" i="8"/>
  <c r="AG26" i="8"/>
  <c r="AC284" i="7"/>
  <c r="AC285" i="7" s="1"/>
  <c r="AC339" i="7" s="1"/>
  <c r="BO30" i="8"/>
  <c r="AM23" i="8"/>
  <c r="AR23" i="8"/>
  <c r="AH31" i="8"/>
  <c r="BK43" i="8"/>
  <c r="BI18" i="8"/>
  <c r="DQ19" i="8" s="1"/>
  <c r="DN8" i="8"/>
  <c r="AK26" i="8"/>
  <c r="AX43" i="8"/>
  <c r="BP31" i="8"/>
  <c r="V247" i="7"/>
  <c r="BC26" i="8"/>
  <c r="AS23" i="8"/>
  <c r="CA18" i="8"/>
  <c r="EC19" i="8" s="1"/>
  <c r="BU97" i="7"/>
  <c r="BW129" i="7"/>
  <c r="DM13" i="8"/>
  <c r="BE22" i="8"/>
  <c r="DO23" i="8" s="1"/>
  <c r="AG43" i="8"/>
  <c r="BQ23" i="8"/>
  <c r="DW24" i="8" s="1"/>
  <c r="AL26" i="8"/>
  <c r="BO43" i="8"/>
  <c r="BU23" i="8"/>
  <c r="DY24" i="8" s="1"/>
  <c r="AU22" i="8"/>
  <c r="CC18" i="8"/>
  <c r="EE19" i="8" s="1"/>
  <c r="AX50" i="8"/>
  <c r="AC123" i="7"/>
  <c r="BA63" i="7"/>
  <c r="AX52" i="8"/>
  <c r="AQ129" i="7"/>
  <c r="AS50" i="8"/>
  <c r="Q306" i="7"/>
  <c r="Q324" i="7" s="1"/>
  <c r="AF269" i="7"/>
  <c r="BC49" i="8"/>
  <c r="BC95" i="7"/>
  <c r="BU47" i="8"/>
  <c r="S306" i="7"/>
  <c r="S310" i="7" s="1"/>
  <c r="BW124" i="7"/>
  <c r="AY49" i="8"/>
  <c r="Q289" i="7"/>
  <c r="Q290" i="7" s="1"/>
  <c r="BJ56" i="7"/>
  <c r="BJ34" i="8" s="1"/>
  <c r="BA49" i="7"/>
  <c r="CA94" i="7"/>
  <c r="AY118" i="7"/>
  <c r="T81" i="36" s="1"/>
  <c r="AM129" i="7"/>
  <c r="BC118" i="7"/>
  <c r="V81" i="36" s="1"/>
  <c r="BI66" i="7"/>
  <c r="BI96" i="7" s="1"/>
  <c r="G359" i="7"/>
  <c r="AY129" i="7"/>
  <c r="AW68" i="7"/>
  <c r="AW35" i="8" s="1"/>
  <c r="BD115" i="7"/>
  <c r="W80" i="36" s="1"/>
  <c r="AQ118" i="7"/>
  <c r="N81" i="36" s="1"/>
  <c r="BD9" i="7"/>
  <c r="AZ26" i="8"/>
  <c r="BM18" i="8"/>
  <c r="BC23" i="8"/>
  <c r="DM24" i="8" s="1"/>
  <c r="BW23" i="8"/>
  <c r="EA24" i="8" s="1"/>
  <c r="BR31" i="8"/>
  <c r="CB26" i="8"/>
  <c r="BP26" i="8"/>
  <c r="BO18" i="8"/>
  <c r="DU19" i="8" s="1"/>
  <c r="AO23" i="8"/>
  <c r="AX31" i="8"/>
  <c r="BI31" i="8"/>
  <c r="BX30" i="8"/>
  <c r="BW26" i="8"/>
  <c r="BU18" i="8"/>
  <c r="DY19" i="8" s="1"/>
  <c r="AT30" i="8"/>
  <c r="AW43" i="8"/>
  <c r="AR22" i="8"/>
  <c r="DU8" i="8"/>
  <c r="AY18" i="8"/>
  <c r="CD44" i="7"/>
  <c r="AL9" i="7"/>
  <c r="AO61" i="7"/>
  <c r="BD51" i="8"/>
  <c r="AL50" i="8"/>
  <c r="BW47" i="8"/>
  <c r="BO75" i="7"/>
  <c r="AH52" i="36" s="1"/>
  <c r="AH105" i="36" s="1"/>
  <c r="AH374" i="7"/>
  <c r="BU117" i="7"/>
  <c r="BU12" i="7"/>
  <c r="C318" i="7"/>
  <c r="BQ66" i="7"/>
  <c r="BQ96" i="7" s="1"/>
  <c r="K318" i="7"/>
  <c r="BO114" i="7"/>
  <c r="AK6" i="7"/>
  <c r="AQ6" i="7" s="1"/>
  <c r="AW6" i="7" s="1"/>
  <c r="BC6" i="7" s="1"/>
  <c r="BI6" i="7" s="1"/>
  <c r="BO6" i="7" s="1"/>
  <c r="BU6" i="7" s="1"/>
  <c r="CA6" i="7" s="1"/>
  <c r="AS43" i="8"/>
  <c r="AM66" i="7"/>
  <c r="AM96" i="7" s="1"/>
  <c r="I360" i="7"/>
  <c r="AA289" i="7"/>
  <c r="AI374" i="7"/>
  <c r="AF26" i="8"/>
  <c r="AT26" i="8"/>
  <c r="BR22" i="8"/>
  <c r="DX23" i="8" s="1"/>
  <c r="BS23" i="8"/>
  <c r="BX26" i="8"/>
  <c r="CI11" i="8"/>
  <c r="CC34" i="7"/>
  <c r="BW42" i="7"/>
  <c r="BQ12" i="7"/>
  <c r="BE18" i="8"/>
  <c r="DO19" i="8" s="1"/>
  <c r="AG31" i="8"/>
  <c r="BW31" i="8"/>
  <c r="BU31" i="8"/>
  <c r="DX13" i="8"/>
  <c r="BK31" i="8"/>
  <c r="BW18" i="8"/>
  <c r="EA19" i="8" s="1"/>
  <c r="BK22" i="8"/>
  <c r="DS23" i="8" s="1"/>
  <c r="BP23" i="8"/>
  <c r="DV24" i="8" s="1"/>
  <c r="DM8" i="8"/>
  <c r="BR18" i="8"/>
  <c r="DX19" i="8" s="1"/>
  <c r="BW98" i="7"/>
  <c r="BM25" i="7"/>
  <c r="BW50" i="8"/>
  <c r="AM52" i="8"/>
  <c r="AX68" i="7"/>
  <c r="AX35" i="8" s="1"/>
  <c r="BS25" i="7"/>
  <c r="CD34" i="8"/>
  <c r="BW54" i="7"/>
  <c r="BO48" i="8"/>
  <c r="BD12" i="7"/>
  <c r="DT8" i="8"/>
  <c r="CA50" i="8"/>
  <c r="BQ68" i="7"/>
  <c r="BQ35" i="8" s="1"/>
  <c r="K307" i="7"/>
  <c r="BQ117" i="7"/>
  <c r="BO123" i="7"/>
  <c r="CB114" i="7"/>
  <c r="AF12" i="7"/>
  <c r="BQ9" i="7"/>
  <c r="BU56" i="7"/>
  <c r="BU36" i="7" s="1"/>
  <c r="CS21" i="8"/>
  <c r="BL30" i="8"/>
  <c r="BX31" i="8"/>
  <c r="BR43" i="8"/>
  <c r="AO18" i="8"/>
  <c r="CA30" i="8"/>
  <c r="BF43" i="8"/>
  <c r="BF23" i="8"/>
  <c r="DP24" i="8" s="1"/>
  <c r="EB12" i="8"/>
  <c r="AK23" i="8"/>
  <c r="AL30" i="8"/>
  <c r="BG22" i="8"/>
  <c r="AQ23" i="8"/>
  <c r="DS12" i="8"/>
  <c r="AN26" i="8"/>
  <c r="BR30" i="8"/>
  <c r="BG18" i="8"/>
  <c r="AY98" i="7"/>
  <c r="CB9" i="7"/>
  <c r="BQ52" i="8"/>
  <c r="AQ98" i="7"/>
  <c r="BK51" i="8"/>
  <c r="AW51" i="8"/>
  <c r="AM51" i="8"/>
  <c r="AF129" i="7"/>
  <c r="BQ75" i="7"/>
  <c r="BU130" i="7"/>
  <c r="BA61" i="7"/>
  <c r="BQ130" i="7"/>
  <c r="EC10" i="8"/>
  <c r="AE259" i="7"/>
  <c r="Y243" i="7"/>
  <c r="BQ26" i="8"/>
  <c r="BP30" i="8"/>
  <c r="CS22" i="8"/>
  <c r="BM23" i="8"/>
  <c r="CA130" i="7"/>
  <c r="CA66" i="7"/>
  <c r="CA68" i="7" s="1"/>
  <c r="CA35" i="8" s="1"/>
  <c r="CD52" i="8"/>
  <c r="BY63" i="7"/>
  <c r="BX64" i="7"/>
  <c r="BX98" i="7" s="1"/>
  <c r="AT64" i="7"/>
  <c r="AQ97" i="7"/>
  <c r="BE51" i="8"/>
  <c r="BO51" i="8"/>
  <c r="BO97" i="7"/>
  <c r="BV51" i="8"/>
  <c r="BV97" i="7"/>
  <c r="AH63" i="7"/>
  <c r="AS118" i="7"/>
  <c r="P81" i="36" s="1"/>
  <c r="AY50" i="8"/>
  <c r="BK68" i="7"/>
  <c r="BK35" i="8" s="1"/>
  <c r="BK130" i="7"/>
  <c r="Z365" i="7"/>
  <c r="Z367" i="7" s="1"/>
  <c r="Z366" i="7"/>
  <c r="Y237" i="7"/>
  <c r="Y353" i="7" s="1"/>
  <c r="Y355" i="7" s="1"/>
  <c r="Y277" i="7"/>
  <c r="Y279" i="7" s="1"/>
  <c r="AZ65" i="7"/>
  <c r="AO63" i="7"/>
  <c r="AN65" i="7"/>
  <c r="Q51" i="36" s="1"/>
  <c r="AL48" i="8"/>
  <c r="AM49" i="8"/>
  <c r="AQ49" i="8"/>
  <c r="AQ95" i="7"/>
  <c r="AR123" i="7"/>
  <c r="AX54" i="7"/>
  <c r="AX93" i="7" s="1"/>
  <c r="AR115" i="7"/>
  <c r="O80" i="36" s="1"/>
  <c r="AX56" i="7"/>
  <c r="AX34" i="8" s="1"/>
  <c r="AY95" i="7"/>
  <c r="BM132" i="7"/>
  <c r="BG134" i="7"/>
  <c r="BS148" i="7"/>
  <c r="I307" i="7"/>
  <c r="G318" i="7"/>
  <c r="G304" i="7"/>
  <c r="AM26" i="8"/>
  <c r="AQ26" i="8"/>
  <c r="AR26" i="8"/>
  <c r="BC18" i="8"/>
  <c r="DM19" i="8" s="1"/>
  <c r="BL43" i="8"/>
  <c r="DT13" i="8"/>
  <c r="BL23" i="8"/>
  <c r="DT24" i="8" s="1"/>
  <c r="BQ18" i="8"/>
  <c r="DW19" i="8" s="1"/>
  <c r="BQ30" i="8"/>
  <c r="DY8" i="8"/>
  <c r="BU26" i="8"/>
  <c r="BW29" i="8"/>
  <c r="BV31" i="8"/>
  <c r="AH43" i="8"/>
  <c r="AK31" i="8"/>
  <c r="AM43" i="8"/>
  <c r="AN31" i="8"/>
  <c r="AX22" i="8"/>
  <c r="AQ43" i="8"/>
  <c r="AW23" i="8"/>
  <c r="AQ31" i="8"/>
  <c r="AU43" i="8"/>
  <c r="AU23" i="8"/>
  <c r="AY43" i="8"/>
  <c r="AY23" i="8"/>
  <c r="EE12" i="8"/>
  <c r="BV12" i="7"/>
  <c r="BV117" i="7"/>
  <c r="BV129" i="7"/>
  <c r="BO130" i="7"/>
  <c r="BI12" i="7"/>
  <c r="CI27" i="7"/>
  <c r="CI34" i="8"/>
  <c r="CH36" i="7"/>
  <c r="CH34" i="8"/>
  <c r="AY68" i="7"/>
  <c r="AY35" i="8" s="1"/>
  <c r="Q359" i="7"/>
  <c r="Q360" i="7"/>
  <c r="AI264" i="7"/>
  <c r="AI265" i="7" s="1"/>
  <c r="AI349" i="7" s="1"/>
  <c r="BE118" i="7"/>
  <c r="X81" i="36" s="1"/>
  <c r="AK64" i="7"/>
  <c r="AW75" i="7"/>
  <c r="BE9" i="7"/>
  <c r="BE115" i="7"/>
  <c r="X80" i="36" s="1"/>
  <c r="Z354" i="7"/>
  <c r="Z277" i="7"/>
  <c r="Z334" i="7" s="1"/>
  <c r="AO117" i="7"/>
  <c r="O359" i="7"/>
  <c r="Q240" i="7"/>
  <c r="AF243" i="7"/>
  <c r="AF257" i="7"/>
  <c r="AF258" i="7" s="1"/>
  <c r="AK118" i="7"/>
  <c r="J81" i="36" s="1"/>
  <c r="AQ68" i="7"/>
  <c r="AQ35" i="8" s="1"/>
  <c r="AK129" i="7"/>
  <c r="AQ50" i="8"/>
  <c r="AK12" i="7"/>
  <c r="AR98" i="7"/>
  <c r="AR52" i="8"/>
  <c r="AS130" i="7"/>
  <c r="AS129" i="7"/>
  <c r="AS66" i="7"/>
  <c r="AS12" i="7"/>
  <c r="AW130" i="7"/>
  <c r="BC68" i="7"/>
  <c r="AW118" i="7"/>
  <c r="R81" i="36" s="1"/>
  <c r="BC66" i="7"/>
  <c r="BC96" i="7" s="1"/>
  <c r="BC50" i="8"/>
  <c r="AW129" i="7"/>
  <c r="BD98" i="7"/>
  <c r="BD52" i="8"/>
  <c r="BK50" i="8"/>
  <c r="BE129" i="7"/>
  <c r="BE12" i="7"/>
  <c r="BE66" i="7"/>
  <c r="BE96" i="7" s="1"/>
  <c r="BE130" i="7"/>
  <c r="BK66" i="7"/>
  <c r="AM50" i="8"/>
  <c r="AM130" i="7"/>
  <c r="AM68" i="7"/>
  <c r="AG129" i="7"/>
  <c r="AG12" i="7"/>
  <c r="E318" i="7"/>
  <c r="G307" i="7"/>
  <c r="E307" i="7"/>
  <c r="E304" i="7"/>
  <c r="E310" i="7"/>
  <c r="U312" i="7"/>
  <c r="U41" i="8"/>
  <c r="U42" i="8" s="1"/>
  <c r="W358" i="7"/>
  <c r="W362" i="7" s="1"/>
  <c r="AB362" i="7"/>
  <c r="BK23" i="8"/>
  <c r="DS24" i="8" s="1"/>
  <c r="BS43" i="8"/>
  <c r="BY23" i="8"/>
  <c r="CA26" i="8"/>
  <c r="DY10" i="8"/>
  <c r="BV28" i="8"/>
  <c r="DY11" i="8"/>
  <c r="BV29" i="8"/>
  <c r="BU30" i="8"/>
  <c r="BV30" i="8"/>
  <c r="EB13" i="8"/>
  <c r="AK30" i="8"/>
  <c r="AM30" i="8"/>
  <c r="AL43" i="8"/>
  <c r="AL23" i="8"/>
  <c r="AL31" i="8"/>
  <c r="AR30" i="8"/>
  <c r="AT23" i="8"/>
  <c r="AW31" i="8"/>
  <c r="AZ23" i="8"/>
  <c r="AT31" i="8"/>
  <c r="AT43" i="8"/>
  <c r="AY30" i="8"/>
  <c r="AY31" i="8"/>
  <c r="AX23" i="8"/>
  <c r="BC30" i="8"/>
  <c r="BC22" i="8"/>
  <c r="DM23" i="8" s="1"/>
  <c r="DM12" i="8"/>
  <c r="BI23" i="8"/>
  <c r="DQ24" i="8" s="1"/>
  <c r="BC43" i="8"/>
  <c r="BG43" i="8"/>
  <c r="BG23" i="8"/>
  <c r="CC26" i="8"/>
  <c r="EE8" i="8"/>
  <c r="EE9" i="8"/>
  <c r="CG67" i="7"/>
  <c r="CA117" i="7"/>
  <c r="CG50" i="8"/>
  <c r="BA72" i="7"/>
  <c r="BA15" i="7" s="1"/>
  <c r="AZ15" i="7"/>
  <c r="AK371" i="7"/>
  <c r="AC275" i="7"/>
  <c r="AC336" i="7" s="1"/>
  <c r="W275" i="7"/>
  <c r="W336" i="7" s="1"/>
  <c r="AW94" i="7"/>
  <c r="AW48" i="8"/>
  <c r="BD94" i="7"/>
  <c r="BD48" i="8"/>
  <c r="BK94" i="7"/>
  <c r="BK48" i="8"/>
  <c r="BU48" i="8"/>
  <c r="BU94" i="7"/>
  <c r="CB48" i="8"/>
  <c r="CB94" i="7"/>
  <c r="AQ56" i="7"/>
  <c r="AQ34" i="8" s="1"/>
  <c r="AK123" i="7"/>
  <c r="AQ47" i="8"/>
  <c r="AK115" i="7"/>
  <c r="J80" i="36" s="1"/>
  <c r="AK75" i="7"/>
  <c r="AG75" i="7"/>
  <c r="AG123" i="7"/>
  <c r="BY51" i="7"/>
  <c r="CD49" i="8"/>
  <c r="AU61" i="7"/>
  <c r="AR51" i="8"/>
  <c r="AR97" i="7"/>
  <c r="AY51" i="8"/>
  <c r="AY97" i="7"/>
  <c r="BI51" i="8"/>
  <c r="BW51" i="8"/>
  <c r="BW97" i="7"/>
  <c r="O287" i="7"/>
  <c r="O340" i="7" s="1"/>
  <c r="M288" i="7"/>
  <c r="M306" i="7" s="1"/>
  <c r="M307" i="7" s="1"/>
  <c r="AC286" i="7"/>
  <c r="AC287" i="7" s="1"/>
  <c r="AC340" i="7" s="1"/>
  <c r="AB287" i="7"/>
  <c r="AB340" i="7" s="1"/>
  <c r="AC303" i="7"/>
  <c r="AB247" i="7"/>
  <c r="AC247" i="7" s="1"/>
  <c r="BU52" i="8"/>
  <c r="BU98" i="7"/>
  <c r="AZ151" i="7"/>
  <c r="BA152" i="7"/>
  <c r="BA150" i="7"/>
  <c r="BG159" i="7"/>
  <c r="BA149" i="7"/>
  <c r="E359" i="7"/>
  <c r="E361" i="7" s="1"/>
  <c r="G360" i="7"/>
  <c r="E240" i="7"/>
  <c r="E248" i="7"/>
  <c r="BI22" i="8"/>
  <c r="DQ23" i="8" s="1"/>
  <c r="BD30" i="8"/>
  <c r="AM124" i="7"/>
  <c r="AC356" i="7"/>
  <c r="BD18" i="8"/>
  <c r="DN19" i="8" s="1"/>
  <c r="AW22" i="8"/>
  <c r="E315" i="7"/>
  <c r="BF148" i="7"/>
  <c r="AI132" i="7"/>
  <c r="AA277" i="7"/>
  <c r="AA334" i="7" s="1"/>
  <c r="AA237" i="7"/>
  <c r="W297" i="7"/>
  <c r="W343" i="7" s="1"/>
  <c r="AC297" i="7"/>
  <c r="AC343" i="7" s="1"/>
  <c r="Z289" i="7"/>
  <c r="T239" i="7"/>
  <c r="AH49" i="7"/>
  <c r="AI49" i="7" s="1"/>
  <c r="AE53" i="7"/>
  <c r="J47" i="36" s="1"/>
  <c r="N56" i="36" s="1"/>
  <c r="BG51" i="7"/>
  <c r="AQ48" i="8"/>
  <c r="AX48" i="8"/>
  <c r="BE48" i="8"/>
  <c r="BE49" i="8"/>
  <c r="BE95" i="7"/>
  <c r="BI49" i="8"/>
  <c r="BO95" i="7"/>
  <c r="BO49" i="8"/>
  <c r="BU95" i="7"/>
  <c r="BU49" i="8"/>
  <c r="BQ51" i="8"/>
  <c r="BQ97" i="7"/>
  <c r="BF64" i="7"/>
  <c r="BF65" i="7"/>
  <c r="BL64" i="7"/>
  <c r="BG63" i="7"/>
  <c r="AR68" i="7"/>
  <c r="AR35" i="8" s="1"/>
  <c r="AL12" i="7"/>
  <c r="AL118" i="7"/>
  <c r="K81" i="36" s="1"/>
  <c r="AL66" i="7"/>
  <c r="AL96" i="7" s="1"/>
  <c r="AR50" i="8"/>
  <c r="AL130" i="7"/>
  <c r="AS98" i="7"/>
  <c r="AS52" i="8"/>
  <c r="AW98" i="7"/>
  <c r="AX12" i="7"/>
  <c r="AX129" i="7"/>
  <c r="BD68" i="7"/>
  <c r="BD35" i="8" s="1"/>
  <c r="AX118" i="7"/>
  <c r="S81" i="36" s="1"/>
  <c r="BD50" i="8"/>
  <c r="AX130" i="7"/>
  <c r="BE98" i="7"/>
  <c r="BE52" i="8"/>
  <c r="BI52" i="8"/>
  <c r="BO52" i="8"/>
  <c r="BO98" i="7"/>
  <c r="AE15" i="7"/>
  <c r="AH72" i="7"/>
  <c r="AI72" i="7" s="1"/>
  <c r="AI15" i="7" s="1"/>
  <c r="AO119" i="7"/>
  <c r="AN120" i="7"/>
  <c r="AN122" i="7"/>
  <c r="AK134" i="7"/>
  <c r="AK126" i="7"/>
  <c r="AQ126" i="7"/>
  <c r="BG126" i="7"/>
  <c r="BM126" i="7"/>
  <c r="AZ132" i="7"/>
  <c r="AZ134" i="7"/>
  <c r="BA128" i="7"/>
  <c r="BA134" i="7" s="1"/>
  <c r="AK132" i="7"/>
  <c r="AQ130" i="7"/>
  <c r="AQ132" i="7"/>
  <c r="AN128" i="7"/>
  <c r="BL132" i="7"/>
  <c r="BR132" i="7"/>
  <c r="BG149" i="7"/>
  <c r="BG152" i="7"/>
  <c r="BM159" i="7"/>
  <c r="BG151" i="7"/>
  <c r="BG150" i="7"/>
  <c r="AG371" i="7"/>
  <c r="AL129" i="7"/>
  <c r="CB66" i="7"/>
  <c r="AI255" i="7"/>
  <c r="AI346" i="7" s="1"/>
  <c r="T306" i="7"/>
  <c r="AZ62" i="7"/>
  <c r="BM150" i="7"/>
  <c r="BM148" i="7"/>
  <c r="BI130" i="7"/>
  <c r="AY130" i="7"/>
  <c r="BC129" i="7"/>
  <c r="AY66" i="7"/>
  <c r="AY96" i="7" s="1"/>
  <c r="AR75" i="7"/>
  <c r="BQ22" i="8"/>
  <c r="DW23" i="8" s="1"/>
  <c r="BF62" i="7"/>
  <c r="BM149" i="7"/>
  <c r="BM152" i="7"/>
  <c r="AM118" i="7"/>
  <c r="L81" i="36" s="1"/>
  <c r="BC130" i="7"/>
  <c r="AT62" i="7"/>
  <c r="AQ66" i="7"/>
  <c r="AS56" i="7"/>
  <c r="AS34" i="8" s="1"/>
  <c r="AZ64" i="7"/>
  <c r="AT65" i="7"/>
  <c r="U51" i="36" s="1"/>
  <c r="BJ51" i="8"/>
  <c r="BJ97" i="7"/>
  <c r="BV9" i="7"/>
  <c r="CB124" i="7"/>
  <c r="BV124" i="7"/>
  <c r="BV75" i="7"/>
  <c r="BV123" i="7"/>
  <c r="BV114" i="7"/>
  <c r="BJ129" i="7"/>
  <c r="BJ66" i="7"/>
  <c r="BJ130" i="7"/>
  <c r="BP68" i="7"/>
  <c r="BP35" i="8" s="1"/>
  <c r="BP50" i="8"/>
  <c r="BQ47" i="8"/>
  <c r="BQ56" i="7"/>
  <c r="BQ27" i="7" s="1"/>
  <c r="BK75" i="7"/>
  <c r="AF52" i="36" s="1"/>
  <c r="AF105" i="36" s="1"/>
  <c r="BK9" i="7"/>
  <c r="BQ124" i="7"/>
  <c r="BK114" i="7"/>
  <c r="BQ54" i="7"/>
  <c r="BK123" i="7"/>
  <c r="BS72" i="7"/>
  <c r="BS15" i="7" s="1"/>
  <c r="BR15" i="7"/>
  <c r="BP12" i="7"/>
  <c r="BP66" i="7"/>
  <c r="BP117" i="7"/>
  <c r="BP130" i="7"/>
  <c r="BV50" i="8"/>
  <c r="BV130" i="7"/>
  <c r="BP129" i="7"/>
  <c r="BV68" i="7"/>
  <c r="BV35" i="8" s="1"/>
  <c r="BP114" i="7"/>
  <c r="BP123" i="7"/>
  <c r="BV47" i="8"/>
  <c r="BP124" i="7"/>
  <c r="BU54" i="7"/>
  <c r="CA57" i="7"/>
  <c r="CA55" i="7" s="1"/>
  <c r="BU124" i="7"/>
  <c r="BU114" i="7"/>
  <c r="BU123" i="7"/>
  <c r="CA47" i="8"/>
  <c r="BU9" i="7"/>
  <c r="BO22" i="8"/>
  <c r="DU23" i="8" s="1"/>
  <c r="BV54" i="7"/>
  <c r="BV93" i="7" s="1"/>
  <c r="AL51" i="8"/>
  <c r="AL97" i="7"/>
  <c r="BC51" i="8"/>
  <c r="BC97" i="7"/>
  <c r="BD43" i="8"/>
  <c r="BJ23" i="8"/>
  <c r="DR24" i="8" s="1"/>
  <c r="BE31" i="8"/>
  <c r="BD23" i="8"/>
  <c r="DN24" i="8" s="1"/>
  <c r="DN13" i="8"/>
  <c r="BJ26" i="8"/>
  <c r="AU63" i="7"/>
  <c r="CB47" i="8"/>
  <c r="O237" i="7"/>
  <c r="O248" i="7" s="1"/>
  <c r="O277" i="7"/>
  <c r="O306" i="7"/>
  <c r="O320" i="7" s="1"/>
  <c r="BJ75" i="7"/>
  <c r="DQ12" i="8"/>
  <c r="AT50" i="7"/>
  <c r="AT53" i="7"/>
  <c r="BA51" i="7"/>
  <c r="BF52" i="7"/>
  <c r="BF49" i="8" s="1"/>
  <c r="AZ52" i="7"/>
  <c r="AH61" i="7"/>
  <c r="AI61" i="7" s="1"/>
  <c r="AE65" i="7"/>
  <c r="AK62" i="7"/>
  <c r="AS51" i="8"/>
  <c r="AS97" i="7"/>
  <c r="BM22" i="8"/>
  <c r="DN12" i="8"/>
  <c r="BD22" i="8"/>
  <c r="DN23" i="8" s="1"/>
  <c r="BJ22" i="8"/>
  <c r="DR23" i="8" s="1"/>
  <c r="BE30" i="8"/>
  <c r="BJ18" i="8"/>
  <c r="DR19" i="8" s="1"/>
  <c r="BP75" i="7"/>
  <c r="C315" i="7"/>
  <c r="C248" i="7"/>
  <c r="K248" i="7"/>
  <c r="K315" i="7"/>
  <c r="I248" i="7"/>
  <c r="K360" i="7"/>
  <c r="I359" i="7"/>
  <c r="Q237" i="7"/>
  <c r="Q277" i="7"/>
  <c r="Q334" i="7" s="1"/>
  <c r="O279" i="7"/>
  <c r="M237" i="7"/>
  <c r="M277" i="7"/>
  <c r="M278" i="7" s="1"/>
  <c r="W301" i="7"/>
  <c r="Q241" i="7"/>
  <c r="Q365" i="7" s="1"/>
  <c r="BI26" i="8"/>
  <c r="DP8" i="8"/>
  <c r="AR43" i="8"/>
  <c r="AR31" i="8"/>
  <c r="CA124" i="7"/>
  <c r="BW75" i="7"/>
  <c r="BW130" i="7"/>
  <c r="BW66" i="7"/>
  <c r="BW117" i="7"/>
  <c r="BX62" i="7"/>
  <c r="AL47" i="8"/>
  <c r="AF123" i="7"/>
  <c r="AF75" i="7"/>
  <c r="AL56" i="7"/>
  <c r="AL34" i="8" s="1"/>
  <c r="BX50" i="7"/>
  <c r="BX94" i="7" s="1"/>
  <c r="BY49" i="7"/>
  <c r="AQ52" i="8"/>
  <c r="AR130" i="7"/>
  <c r="AR118" i="7"/>
  <c r="O81" i="36" s="1"/>
  <c r="AX66" i="7"/>
  <c r="BD130" i="7"/>
  <c r="BD66" i="7"/>
  <c r="BD118" i="7"/>
  <c r="W81" i="36" s="1"/>
  <c r="BJ68" i="7"/>
  <c r="BJ35" i="8" s="1"/>
  <c r="BJ50" i="8"/>
  <c r="BD75" i="7"/>
  <c r="BK98" i="7"/>
  <c r="AT15" i="7"/>
  <c r="AU72" i="7"/>
  <c r="AU15" i="7" s="1"/>
  <c r="AU119" i="7"/>
  <c r="AU120" i="7" s="1"/>
  <c r="AT120" i="7"/>
  <c r="AU128" i="7"/>
  <c r="AT134" i="7"/>
  <c r="AT151" i="7"/>
  <c r="BS151" i="7"/>
  <c r="BR151" i="7" s="1"/>
  <c r="BS159" i="7"/>
  <c r="BS149" i="7"/>
  <c r="BS150" i="7"/>
  <c r="BS152" i="7"/>
  <c r="AF43" i="8"/>
  <c r="AF31" i="8"/>
  <c r="EE11" i="8"/>
  <c r="CC29" i="8"/>
  <c r="CD29" i="8"/>
  <c r="CH10" i="8"/>
  <c r="CI10" i="8"/>
  <c r="Z242" i="7"/>
  <c r="AQ123" i="7"/>
  <c r="AQ54" i="7"/>
  <c r="AQ115" i="7"/>
  <c r="N80" i="36" s="1"/>
  <c r="AQ124" i="7"/>
  <c r="AQ75" i="7"/>
  <c r="BE56" i="7"/>
  <c r="BE34" i="8" s="1"/>
  <c r="BE47" i="8"/>
  <c r="AY123" i="7"/>
  <c r="AY75" i="7"/>
  <c r="AY9" i="7"/>
  <c r="BC123" i="7"/>
  <c r="BC124" i="7"/>
  <c r="BJ95" i="7"/>
  <c r="BL62" i="7"/>
  <c r="BL97" i="7" s="1"/>
  <c r="BG61" i="7"/>
  <c r="BM62" i="7" s="1"/>
  <c r="BX18" i="8"/>
  <c r="EB19" i="8" s="1"/>
  <c r="EB8" i="8"/>
  <c r="DY12" i="8"/>
  <c r="CD28" i="8"/>
  <c r="CC28" i="8"/>
  <c r="EE10" i="8"/>
  <c r="M309" i="7"/>
  <c r="M312" i="7" s="1"/>
  <c r="BP54" i="7"/>
  <c r="BP93" i="7" s="1"/>
  <c r="BU75" i="7"/>
  <c r="I240" i="7"/>
  <c r="V42" i="8"/>
  <c r="BF18" i="8"/>
  <c r="DP19" i="8" s="1"/>
  <c r="BF26" i="8"/>
  <c r="BJ31" i="8"/>
  <c r="BA126" i="7"/>
  <c r="Z353" i="7"/>
  <c r="Z355" i="7" s="1"/>
  <c r="AK50" i="7"/>
  <c r="BJ54" i="7"/>
  <c r="AW12" i="7"/>
  <c r="AG9" i="7"/>
  <c r="AM56" i="7"/>
  <c r="AM34" i="8" s="1"/>
  <c r="BP98" i="7"/>
  <c r="BA120" i="7"/>
  <c r="BP103" i="7"/>
  <c r="AK94" i="1"/>
  <c r="BR105" i="7"/>
  <c r="BS105" i="7" s="1"/>
  <c r="BC84" i="3"/>
  <c r="BC52" i="1"/>
  <c r="T115" i="1"/>
  <c r="AR108" i="7"/>
  <c r="BP83" i="3"/>
  <c r="BP84" i="3"/>
  <c r="BP167" i="3"/>
  <c r="BP52" i="1"/>
  <c r="BP71" i="3"/>
  <c r="BP57" i="1"/>
  <c r="BP85" i="3"/>
  <c r="U84" i="3"/>
  <c r="U167" i="3"/>
  <c r="AC18" i="1"/>
  <c r="BG166" i="3"/>
  <c r="Q106" i="7"/>
  <c r="M169" i="3"/>
  <c r="AR168" i="3"/>
  <c r="U86" i="1"/>
  <c r="U85" i="3"/>
  <c r="U83" i="3"/>
  <c r="U137" i="3"/>
  <c r="U71" i="3"/>
  <c r="U173" i="3"/>
  <c r="U94" i="1"/>
  <c r="U15" i="1"/>
  <c r="U80" i="1" s="1"/>
  <c r="U52" i="1"/>
  <c r="BV73" i="3"/>
  <c r="BV168" i="3"/>
  <c r="CB63" i="1"/>
  <c r="BJ66" i="1"/>
  <c r="BA29" i="1"/>
  <c r="AZ101" i="1"/>
  <c r="AZ100" i="1" s="1"/>
  <c r="AZ107" i="1" s="1"/>
  <c r="BA107" i="1" s="1"/>
  <c r="AX169" i="3"/>
  <c r="Z66" i="1"/>
  <c r="BD115" i="1"/>
  <c r="BD179" i="3" s="1"/>
  <c r="BW62" i="1"/>
  <c r="BW40" i="8" s="1"/>
  <c r="AC78" i="1"/>
  <c r="AZ105" i="1"/>
  <c r="BA105" i="1" s="1"/>
  <c r="Z103" i="7"/>
  <c r="BV103" i="7"/>
  <c r="O96" i="1"/>
  <c r="AQ101" i="3"/>
  <c r="E101" i="3"/>
  <c r="AF121" i="3"/>
  <c r="E108" i="3"/>
  <c r="E114" i="3"/>
  <c r="Z39" i="3"/>
  <c r="AA39" i="3" s="1"/>
  <c r="C95" i="1"/>
  <c r="C96" i="1" s="1"/>
  <c r="BP173" i="3"/>
  <c r="AZ14" i="4"/>
  <c r="AZ119" i="3" s="1"/>
  <c r="AZ121" i="3" s="1"/>
  <c r="BD13" i="4"/>
  <c r="CB173" i="3"/>
  <c r="K26" i="4"/>
  <c r="K50" i="4" s="1"/>
  <c r="K77" i="3" s="1"/>
  <c r="Q26" i="4"/>
  <c r="Q50" i="4" s="1"/>
  <c r="Q77" i="3" s="1"/>
  <c r="O107" i="3"/>
  <c r="O108" i="3" s="1"/>
  <c r="G109" i="3"/>
  <c r="AY13" i="4"/>
  <c r="BV47" i="4"/>
  <c r="BE20" i="4"/>
  <c r="CB171" i="3"/>
  <c r="AR33" i="4"/>
  <c r="CQ31" i="4"/>
  <c r="AW50" i="4"/>
  <c r="BM25" i="4"/>
  <c r="T23" i="1"/>
  <c r="I120" i="3"/>
  <c r="G101" i="3"/>
  <c r="AR47" i="4"/>
  <c r="BV33" i="4"/>
  <c r="BX36" i="4"/>
  <c r="AX173" i="3"/>
  <c r="BX19" i="4"/>
  <c r="BI20" i="4"/>
  <c r="CB80" i="4"/>
  <c r="W26" i="4"/>
  <c r="W78" i="3" s="1"/>
  <c r="AM20" i="4"/>
  <c r="AX125" i="3"/>
  <c r="AX126" i="3" s="1"/>
  <c r="BO78" i="3"/>
  <c r="BC107" i="3"/>
  <c r="AE50" i="4"/>
  <c r="BO61" i="4"/>
  <c r="Y33" i="4"/>
  <c r="AE21" i="1"/>
  <c r="AE95" i="1" s="1"/>
  <c r="AE96" i="1" s="1"/>
  <c r="AX171" i="3"/>
  <c r="AX47" i="4"/>
  <c r="M108" i="3"/>
  <c r="C23" i="1"/>
  <c r="AW23" i="1"/>
  <c r="C115" i="3"/>
  <c r="AK50" i="4"/>
  <c r="Q86" i="4"/>
  <c r="W86" i="4"/>
  <c r="AC26" i="4"/>
  <c r="I78" i="3"/>
  <c r="I59" i="4"/>
  <c r="AA41" i="4"/>
  <c r="BL26" i="4"/>
  <c r="BL50" i="4" s="1"/>
  <c r="T33" i="4"/>
  <c r="BD20" i="4"/>
  <c r="BD26" i="4" s="1"/>
  <c r="BO89" i="4"/>
  <c r="BP88" i="4" s="1"/>
  <c r="BP89" i="4" s="1"/>
  <c r="BQ88" i="4" s="1"/>
  <c r="BQ89" i="4" s="1"/>
  <c r="BR88" i="4" s="1"/>
  <c r="BR89" i="4" s="1"/>
  <c r="BS89" i="4" s="1"/>
  <c r="BU88" i="4" s="1"/>
  <c r="BU89" i="4" s="1"/>
  <c r="BV88" i="4" s="1"/>
  <c r="BV89" i="4" s="1"/>
  <c r="BW88" i="4" s="1"/>
  <c r="BW89" i="4" s="1"/>
  <c r="BX88" i="4" s="1"/>
  <c r="BX89" i="4" s="1"/>
  <c r="CA88" i="4" s="1"/>
  <c r="CA89" i="4" s="1"/>
  <c r="CB88" i="4" s="1"/>
  <c r="CB89" i="4" s="1"/>
  <c r="CC88" i="4" s="1"/>
  <c r="CC89" i="4" s="1"/>
  <c r="CD88" i="4" s="1"/>
  <c r="CD89" i="4" s="1"/>
  <c r="CG88" i="4" s="1"/>
  <c r="CG89" i="4" s="1"/>
  <c r="CH88" i="4" s="1"/>
  <c r="CH89" i="4" s="1"/>
  <c r="CI88" i="4" s="1"/>
  <c r="CI89" i="4" s="1"/>
  <c r="G22" i="1"/>
  <c r="G23" i="1" s="1"/>
  <c r="Z125" i="3"/>
  <c r="Z126" i="3" s="1"/>
  <c r="Y47" i="4"/>
  <c r="AI84" i="4"/>
  <c r="AI85" i="4" s="1"/>
  <c r="O26" i="4"/>
  <c r="AY39" i="4"/>
  <c r="AZ39" i="4" s="1"/>
  <c r="BA39" i="4" s="1"/>
  <c r="AB71" i="4"/>
  <c r="AC71" i="4" s="1"/>
  <c r="AB125" i="3"/>
  <c r="BP47" i="4"/>
  <c r="AA21" i="1"/>
  <c r="AA125" i="3"/>
  <c r="AA126" i="3" s="1"/>
  <c r="BX16" i="4"/>
  <c r="BW12" i="4"/>
  <c r="BX12" i="4" s="1"/>
  <c r="AL39" i="3"/>
  <c r="BO79" i="3"/>
  <c r="T80" i="4"/>
  <c r="AL22" i="1"/>
  <c r="CB22" i="1"/>
  <c r="BY74" i="4"/>
  <c r="BM85" i="4"/>
  <c r="AB53" i="4"/>
  <c r="AC53" i="4" s="1"/>
  <c r="AX33" i="4"/>
  <c r="BP33" i="4"/>
  <c r="BP13" i="4"/>
  <c r="AL13" i="4"/>
  <c r="AL107" i="3" s="1"/>
  <c r="S33" i="4"/>
  <c r="CB13" i="4"/>
  <c r="CB21" i="1" s="1"/>
  <c r="M21" i="1"/>
  <c r="M95" i="1" s="1"/>
  <c r="M96" i="1" s="1"/>
  <c r="M26" i="4"/>
  <c r="M78" i="3" s="1"/>
  <c r="M109" i="3"/>
  <c r="T121" i="3"/>
  <c r="AW95" i="1"/>
  <c r="AW96" i="1" s="1"/>
  <c r="W23" i="1"/>
  <c r="W119" i="3"/>
  <c r="CK125" i="3"/>
  <c r="CQ125" i="3"/>
  <c r="M115" i="3"/>
  <c r="AL121" i="3"/>
  <c r="G108" i="3"/>
  <c r="M103" i="3"/>
  <c r="O23" i="1"/>
  <c r="CA23" i="1"/>
  <c r="AF39" i="3"/>
  <c r="AF92" i="3" s="1"/>
  <c r="AE92" i="3"/>
  <c r="BI147" i="3"/>
  <c r="BI149" i="3" s="1"/>
  <c r="BI20" i="3"/>
  <c r="CA147" i="3"/>
  <c r="CA149" i="3" s="1"/>
  <c r="CA20" i="3"/>
  <c r="Y67" i="3"/>
  <c r="C66" i="3"/>
  <c r="C67" i="3"/>
  <c r="BV66" i="3"/>
  <c r="AI147" i="3"/>
  <c r="AT62" i="3"/>
  <c r="BE68" i="3"/>
  <c r="BG27" i="3"/>
  <c r="Y66" i="3"/>
  <c r="AW20" i="3"/>
  <c r="AS20" i="3"/>
  <c r="K20" i="3"/>
  <c r="AC151" i="3"/>
  <c r="W117" i="3"/>
  <c r="S117" i="3"/>
  <c r="Q121" i="3"/>
  <c r="BL20" i="3"/>
  <c r="AG20" i="3"/>
  <c r="AG68" i="3"/>
  <c r="AQ68" i="3"/>
  <c r="BO20" i="3"/>
  <c r="BO65" i="3"/>
  <c r="CB20" i="3"/>
  <c r="BS49" i="3"/>
  <c r="BY49" i="3"/>
  <c r="AS65" i="3"/>
  <c r="AS31" i="3"/>
  <c r="AS67" i="3"/>
  <c r="AS66" i="3"/>
  <c r="BO66" i="3"/>
  <c r="BO67" i="3"/>
  <c r="BO31" i="3"/>
  <c r="AO49" i="3"/>
  <c r="AT66" i="9"/>
  <c r="T39" i="3"/>
  <c r="T92" i="3" s="1"/>
  <c r="BY27" i="3"/>
  <c r="AS68" i="3"/>
  <c r="E20" i="3"/>
  <c r="CB65" i="3"/>
  <c r="BO68" i="3"/>
  <c r="BV67" i="3"/>
  <c r="AN20" i="3"/>
  <c r="AI148" i="3"/>
  <c r="AO143" i="3"/>
  <c r="AU144" i="3"/>
  <c r="AK73" i="9"/>
  <c r="AK75" i="9" s="1"/>
  <c r="BA146" i="3"/>
  <c r="BG143" i="3"/>
  <c r="BS143" i="3"/>
  <c r="BS15" i="3"/>
  <c r="BS148" i="3"/>
  <c r="U147" i="3"/>
  <c r="U149" i="3" s="1"/>
  <c r="U20" i="3"/>
  <c r="AW92" i="3"/>
  <c r="AX39" i="3"/>
  <c r="AX92" i="3" s="1"/>
  <c r="AX20" i="3"/>
  <c r="BV68" i="3"/>
  <c r="AU151" i="3"/>
  <c r="AE66" i="3"/>
  <c r="AE67" i="3"/>
  <c r="AE68" i="3"/>
  <c r="BF31" i="3"/>
  <c r="BF67" i="3"/>
  <c r="BF65" i="3"/>
  <c r="CB31" i="3"/>
  <c r="CB66" i="3"/>
  <c r="CB67" i="3"/>
  <c r="BA49" i="3"/>
  <c r="AU27" i="3"/>
  <c r="CT119" i="3"/>
  <c r="CU119" i="3" s="1"/>
  <c r="CU14" i="4" s="1"/>
  <c r="CU22" i="1" s="1"/>
  <c r="AC49" i="3"/>
  <c r="BE65" i="3"/>
  <c r="BE20" i="3"/>
  <c r="AX65" i="3"/>
  <c r="AE65" i="3"/>
  <c r="BF66" i="3"/>
  <c r="BV31" i="3"/>
  <c r="K66" i="3"/>
  <c r="K67" i="3"/>
  <c r="BA152" i="3"/>
  <c r="BV65" i="3"/>
  <c r="O155" i="3"/>
  <c r="K155" i="3"/>
  <c r="BJ149" i="3"/>
  <c r="E103" i="3"/>
  <c r="I103" i="3"/>
  <c r="Q103" i="3"/>
  <c r="BP120" i="3"/>
  <c r="CA155" i="3"/>
  <c r="G121" i="3"/>
  <c r="G75" i="9"/>
  <c r="K75" i="9"/>
  <c r="BW149" i="3"/>
  <c r="BW157" i="3" s="1"/>
  <c r="AF155" i="3"/>
  <c r="Z121" i="3"/>
  <c r="G149" i="3"/>
  <c r="AG121" i="3"/>
  <c r="K121" i="3"/>
  <c r="O120" i="3"/>
  <c r="Q120" i="3"/>
  <c r="BD126" i="3"/>
  <c r="BP126" i="3"/>
  <c r="M63" i="1"/>
  <c r="AS79" i="1"/>
  <c r="U75" i="9"/>
  <c r="V101" i="1"/>
  <c r="V100" i="1" s="1"/>
  <c r="V107" i="1" s="1"/>
  <c r="V33" i="1" s="1"/>
  <c r="CC49" i="1"/>
  <c r="BK101" i="3"/>
  <c r="AM51" i="1"/>
  <c r="BQ33" i="1"/>
  <c r="CB71" i="3"/>
  <c r="Z299" i="7"/>
  <c r="Z341" i="7" s="1"/>
  <c r="CA54" i="7"/>
  <c r="CA93" i="7" s="1"/>
  <c r="BW12" i="7"/>
  <c r="CC66" i="7"/>
  <c r="BW9" i="7"/>
  <c r="CC54" i="7"/>
  <c r="CB54" i="7"/>
  <c r="CB56" i="7" s="1"/>
  <c r="BL65" i="7"/>
  <c r="AG51" i="36" s="1"/>
  <c r="CI27" i="8"/>
  <c r="EI9" i="8"/>
  <c r="CG27" i="8"/>
  <c r="CH27" i="8"/>
  <c r="EI12" i="8"/>
  <c r="EG12" i="8"/>
  <c r="CM22" i="8"/>
  <c r="EK23" i="8" s="1"/>
  <c r="CH50" i="8"/>
  <c r="CH12" i="8"/>
  <c r="CH29" i="8"/>
  <c r="EG11" i="8"/>
  <c r="CM21" i="8"/>
  <c r="EK22" i="8" s="1"/>
  <c r="CM20" i="8"/>
  <c r="EK21" i="8" s="1"/>
  <c r="CG28" i="8"/>
  <c r="CJ27" i="8"/>
  <c r="AH121" i="3"/>
  <c r="AH120" i="3"/>
  <c r="V41" i="4"/>
  <c r="W41" i="4" s="1"/>
  <c r="U47" i="4"/>
  <c r="I108" i="3"/>
  <c r="I109" i="3"/>
  <c r="I115" i="3"/>
  <c r="I114" i="3"/>
  <c r="C59" i="4"/>
  <c r="C78" i="3"/>
  <c r="AG23" i="1"/>
  <c r="V12" i="4"/>
  <c r="V13" i="4" s="1"/>
  <c r="V107" i="3" s="1"/>
  <c r="S21" i="1"/>
  <c r="BO50" i="4"/>
  <c r="AS20" i="4"/>
  <c r="BC23" i="1"/>
  <c r="BK26" i="4"/>
  <c r="G114" i="3"/>
  <c r="BJ13" i="4"/>
  <c r="BM13" i="4" s="1"/>
  <c r="BW17" i="4"/>
  <c r="BW173" i="3" s="1"/>
  <c r="BD22" i="1"/>
  <c r="AK21" i="1"/>
  <c r="BJ22" i="1"/>
  <c r="I21" i="1"/>
  <c r="AI119" i="3"/>
  <c r="BJ171" i="3"/>
  <c r="BP171" i="3"/>
  <c r="BV20" i="4"/>
  <c r="BV26" i="4" s="1"/>
  <c r="BD80" i="4"/>
  <c r="BQ47" i="4"/>
  <c r="BR37" i="4"/>
  <c r="BS37" i="4" s="1"/>
  <c r="BG69" i="4"/>
  <c r="U21" i="1"/>
  <c r="U107" i="3"/>
  <c r="AC23" i="1"/>
  <c r="BW10" i="4"/>
  <c r="BX10" i="4" s="1"/>
  <c r="AI14" i="4"/>
  <c r="AI22" i="1" s="1"/>
  <c r="AH22" i="1"/>
  <c r="AS14" i="4"/>
  <c r="AR22" i="1"/>
  <c r="AK59" i="4"/>
  <c r="AQ26" i="4"/>
  <c r="BW31" i="4"/>
  <c r="BX31" i="4" s="1"/>
  <c r="BW41" i="4"/>
  <c r="AB74" i="4"/>
  <c r="AH74" i="4"/>
  <c r="AC73" i="4"/>
  <c r="AI74" i="4" s="1"/>
  <c r="AO73" i="4"/>
  <c r="AU74" i="4" s="1"/>
  <c r="AN74" i="4"/>
  <c r="BG74" i="4"/>
  <c r="BM74" i="4"/>
  <c r="AA31" i="4"/>
  <c r="AC31" i="4" s="1"/>
  <c r="Z33" i="4"/>
  <c r="AG29" i="4"/>
  <c r="AF125" i="3"/>
  <c r="AF126" i="3" s="1"/>
  <c r="AG22" i="4"/>
  <c r="AG20" i="4" s="1"/>
  <c r="AF20" i="4"/>
  <c r="AG17" i="4"/>
  <c r="AH17" i="4" s="1"/>
  <c r="AM41" i="4"/>
  <c r="AM37" i="4"/>
  <c r="AL47" i="4"/>
  <c r="AM29" i="4"/>
  <c r="AN29" i="4" s="1"/>
  <c r="AL125" i="3"/>
  <c r="AL126" i="3" s="1"/>
  <c r="AM17" i="4"/>
  <c r="AN17" i="4" s="1"/>
  <c r="AL171" i="3"/>
  <c r="AL173" i="3"/>
  <c r="AS37" i="4"/>
  <c r="AS29" i="4"/>
  <c r="AR125" i="3"/>
  <c r="AR126" i="3" s="1"/>
  <c r="AR171" i="3"/>
  <c r="AY41" i="4"/>
  <c r="AY36" i="4"/>
  <c r="AZ36" i="4" s="1"/>
  <c r="BA36" i="4" s="1"/>
  <c r="AY25" i="4"/>
  <c r="AX20" i="4"/>
  <c r="BE37" i="4"/>
  <c r="BF37" i="4" s="1"/>
  <c r="BG37" i="4" s="1"/>
  <c r="BD47" i="4"/>
  <c r="BE17" i="4"/>
  <c r="BD171" i="3"/>
  <c r="BM41" i="4"/>
  <c r="BM37" i="4"/>
  <c r="BJ47" i="4"/>
  <c r="BY26" i="4"/>
  <c r="CC36" i="4"/>
  <c r="CD36" i="4" s="1"/>
  <c r="CC18" i="4"/>
  <c r="CD18" i="4" s="1"/>
  <c r="CC15" i="4"/>
  <c r="CD15" i="4" s="1"/>
  <c r="CB33" i="4"/>
  <c r="CC31" i="4"/>
  <c r="CD31" i="4" s="1"/>
  <c r="BW70" i="4"/>
  <c r="BW80" i="4" s="1"/>
  <c r="BV80" i="4"/>
  <c r="AG70" i="4"/>
  <c r="AG80" i="4" s="1"/>
  <c r="BW30" i="4"/>
  <c r="BX30" i="4" s="1"/>
  <c r="BJ100" i="3"/>
  <c r="BM100" i="3" s="1"/>
  <c r="BM30" i="4"/>
  <c r="BD33" i="4"/>
  <c r="AR100" i="3"/>
  <c r="AG30" i="4"/>
  <c r="AG100" i="3" s="1"/>
  <c r="AG101" i="3" s="1"/>
  <c r="CB100" i="3"/>
  <c r="CB101" i="3" s="1"/>
  <c r="CC30" i="4"/>
  <c r="CD30" i="4" s="1"/>
  <c r="CD100" i="3" s="1"/>
  <c r="AG120" i="3"/>
  <c r="BL121" i="3"/>
  <c r="O121" i="3"/>
  <c r="AG95" i="1"/>
  <c r="AG96" i="1" s="1"/>
  <c r="BD173" i="3"/>
  <c r="BX40" i="4"/>
  <c r="AF47" i="4"/>
  <c r="AR20" i="4"/>
  <c r="AF171" i="3"/>
  <c r="BS74" i="4"/>
  <c r="AR13" i="4"/>
  <c r="AR107" i="3" s="1"/>
  <c r="BV83" i="4"/>
  <c r="AL20" i="4"/>
  <c r="AC95" i="1"/>
  <c r="S126" i="3"/>
  <c r="BX44" i="4"/>
  <c r="AK78" i="3"/>
  <c r="BC95" i="1"/>
  <c r="BC96" i="1" s="1"/>
  <c r="AL33" i="4"/>
  <c r="CA95" i="1"/>
  <c r="O103" i="3"/>
  <c r="O101" i="3"/>
  <c r="BQ14" i="4"/>
  <c r="BP22" i="1"/>
  <c r="BK107" i="3"/>
  <c r="BK21" i="1"/>
  <c r="BO107" i="3"/>
  <c r="BO21" i="1"/>
  <c r="AB119" i="3"/>
  <c r="AC119" i="3" s="1"/>
  <c r="AB22" i="1"/>
  <c r="AO84" i="4"/>
  <c r="AO85" i="4" s="1"/>
  <c r="AX119" i="3"/>
  <c r="AX22" i="1"/>
  <c r="BI107" i="3"/>
  <c r="BI21" i="1"/>
  <c r="AW78" i="3"/>
  <c r="AW59" i="4"/>
  <c r="E50" i="4"/>
  <c r="E77" i="3" s="1"/>
  <c r="E59" i="4"/>
  <c r="I50" i="4"/>
  <c r="I77" i="3" s="1"/>
  <c r="U29" i="4"/>
  <c r="U125" i="3" s="1"/>
  <c r="T125" i="3"/>
  <c r="T126" i="3" s="1"/>
  <c r="AA37" i="4"/>
  <c r="Z47" i="4"/>
  <c r="BM29" i="4"/>
  <c r="BJ125" i="3"/>
  <c r="BJ126" i="3" s="1"/>
  <c r="BJ33" i="4"/>
  <c r="BM21" i="4"/>
  <c r="BJ20" i="4"/>
  <c r="BP20" i="4"/>
  <c r="CC14" i="4"/>
  <c r="CD14" i="4" s="1"/>
  <c r="CD119" i="3" s="1"/>
  <c r="BF20" i="4"/>
  <c r="CC29" i="4"/>
  <c r="CD29" i="4" s="1"/>
  <c r="CW118" i="3"/>
  <c r="Z34" i="9"/>
  <c r="Z36" i="9"/>
  <c r="Z37" i="9" s="1"/>
  <c r="AE50" i="9"/>
  <c r="AI50" i="9"/>
  <c r="AE52" i="9"/>
  <c r="AC52" i="9"/>
  <c r="AQ42" i="9"/>
  <c r="AO42" i="9"/>
  <c r="AQ59" i="9"/>
  <c r="AO59" i="9"/>
  <c r="BC46" i="9"/>
  <c r="BA46" i="9"/>
  <c r="BG56" i="9"/>
  <c r="BA56" i="9"/>
  <c r="BG46" i="9"/>
  <c r="BI58" i="9"/>
  <c r="BS25" i="9"/>
  <c r="BS57" i="9" s="1"/>
  <c r="BS17" i="9"/>
  <c r="BJ66" i="9"/>
  <c r="E38" i="9"/>
  <c r="BA36" i="9"/>
  <c r="BA37" i="9" s="1"/>
  <c r="BG62" i="9"/>
  <c r="AU47" i="9"/>
  <c r="AQ44" i="9"/>
  <c r="AO61" i="9"/>
  <c r="BG32" i="9"/>
  <c r="AU57" i="9"/>
  <c r="AC65" i="9"/>
  <c r="AI52" i="9"/>
  <c r="AC62" i="9"/>
  <c r="AC50" i="9"/>
  <c r="BI65" i="9"/>
  <c r="BA48" i="9"/>
  <c r="AO32" i="9"/>
  <c r="AO55" i="9"/>
  <c r="BI46" i="9"/>
  <c r="BA44" i="9"/>
  <c r="AO51" i="9"/>
  <c r="AC57" i="9"/>
  <c r="BG70" i="9"/>
  <c r="BC60" i="9"/>
  <c r="AI60" i="9"/>
  <c r="AK63" i="9"/>
  <c r="AO70" i="9"/>
  <c r="AK54" i="9"/>
  <c r="BC50" i="9"/>
  <c r="BV35" i="9"/>
  <c r="CI35" i="9" s="1"/>
  <c r="K36" i="9"/>
  <c r="K37" i="9" s="1"/>
  <c r="K34" i="9"/>
  <c r="AC41" i="9"/>
  <c r="W41" i="9"/>
  <c r="W43" i="9"/>
  <c r="Y43" i="9"/>
  <c r="W48" i="9"/>
  <c r="AC48" i="9"/>
  <c r="Y52" i="9"/>
  <c r="W52" i="9"/>
  <c r="Y58" i="9"/>
  <c r="W58" i="9"/>
  <c r="AC60" i="9"/>
  <c r="W61" i="9"/>
  <c r="Y61" i="9"/>
  <c r="AE43" i="9"/>
  <c r="AC43" i="9"/>
  <c r="AU51" i="9"/>
  <c r="AU53" i="9"/>
  <c r="AW57" i="9"/>
  <c r="BA57" i="9"/>
  <c r="AW59" i="9"/>
  <c r="BA59" i="9"/>
  <c r="AU61" i="9"/>
  <c r="BA61" i="9"/>
  <c r="BA41" i="9"/>
  <c r="BG41" i="9"/>
  <c r="CQ36" i="4"/>
  <c r="AC42" i="9"/>
  <c r="AI62" i="9"/>
  <c r="BA62" i="9"/>
  <c r="BG42" i="9"/>
  <c r="BA63" i="9"/>
  <c r="U64" i="9"/>
  <c r="U68" i="9" s="1"/>
  <c r="AN64" i="9"/>
  <c r="AN68" i="9" s="1"/>
  <c r="M64" i="9"/>
  <c r="M68" i="9" s="1"/>
  <c r="BU11" i="9"/>
  <c r="BV11" i="9" s="1"/>
  <c r="BW11" i="9" s="1"/>
  <c r="BX11" i="9" s="1"/>
  <c r="BY11" i="9" s="1"/>
  <c r="CA11" i="9" s="1"/>
  <c r="CB11" i="9" s="1"/>
  <c r="CC11" i="9" s="1"/>
  <c r="CD11" i="9" s="1"/>
  <c r="CE11" i="9" s="1"/>
  <c r="BS21" i="9"/>
  <c r="BS53" i="9" s="1"/>
  <c r="BM14" i="9"/>
  <c r="BL32" i="9"/>
  <c r="CW102" i="3"/>
  <c r="CK36" i="4"/>
  <c r="CA35" i="9"/>
  <c r="CB35" i="9" s="1"/>
  <c r="CO35" i="9" s="1"/>
  <c r="BY67" i="9"/>
  <c r="AX66" i="9"/>
  <c r="AW38" i="9"/>
  <c r="BS29" i="9"/>
  <c r="BS61" i="9" s="1"/>
  <c r="BS24" i="9"/>
  <c r="BS56" i="9" s="1"/>
  <c r="BS19" i="9"/>
  <c r="BC38" i="9"/>
  <c r="BS30" i="9"/>
  <c r="BS28" i="9"/>
  <c r="BS27" i="9"/>
  <c r="BS59" i="9" s="1"/>
  <c r="BS23" i="9"/>
  <c r="BS55" i="9" s="1"/>
  <c r="BS20" i="9"/>
  <c r="BS52" i="9" s="1"/>
  <c r="BS16" i="9"/>
  <c r="BS48" i="9" s="1"/>
  <c r="BS13" i="9"/>
  <c r="BS45" i="9" s="1"/>
  <c r="AU42" i="9"/>
  <c r="AU45" i="9"/>
  <c r="BG47" i="9"/>
  <c r="S64" i="9"/>
  <c r="S68" i="9" s="1"/>
  <c r="BF64" i="9"/>
  <c r="BF68" i="9" s="1"/>
  <c r="Y41" i="9"/>
  <c r="AK34" i="9"/>
  <c r="BC36" i="9"/>
  <c r="BC37" i="9" s="1"/>
  <c r="AN34" i="9"/>
  <c r="AC58" i="9"/>
  <c r="AC49" i="9"/>
  <c r="AC67" i="9"/>
  <c r="AI43" i="9"/>
  <c r="AI46" i="9"/>
  <c r="AI53" i="9"/>
  <c r="AO67" i="9"/>
  <c r="AW45" i="9"/>
  <c r="AU55" i="9"/>
  <c r="AC27" i="3"/>
  <c r="O37" i="9"/>
  <c r="CB51" i="3"/>
  <c r="CB61" i="3"/>
  <c r="I51" i="3"/>
  <c r="I61" i="3"/>
  <c r="CA51" i="3"/>
  <c r="U120" i="3"/>
  <c r="U121" i="3"/>
  <c r="BY148" i="3"/>
  <c r="AE149" i="3"/>
  <c r="BK149" i="3"/>
  <c r="AB62" i="3"/>
  <c r="BM49" i="3"/>
  <c r="AE155" i="3"/>
  <c r="BM92" i="3"/>
  <c r="BK126" i="3"/>
  <c r="E126" i="3"/>
  <c r="CQ102" i="3"/>
  <c r="AM155" i="3"/>
  <c r="AQ155" i="3"/>
  <c r="AY155" i="3"/>
  <c r="AW155" i="3"/>
  <c r="AX155" i="3"/>
  <c r="CG22" i="1"/>
  <c r="CW125" i="3"/>
  <c r="CW31" i="4"/>
  <c r="S239" i="7"/>
  <c r="S248" i="7" s="1"/>
  <c r="CB51" i="8"/>
  <c r="CB98" i="7"/>
  <c r="CV12" i="8"/>
  <c r="CV67" i="7"/>
  <c r="Y289" i="7"/>
  <c r="AA245" i="7"/>
  <c r="G6" i="7"/>
  <c r="AM12" i="7"/>
  <c r="AZ53" i="7"/>
  <c r="AL68" i="7"/>
  <c r="CA52" i="8"/>
  <c r="BD26" i="8"/>
  <c r="BJ30" i="8"/>
  <c r="CD27" i="8"/>
  <c r="CH67" i="7"/>
  <c r="CC44" i="7"/>
  <c r="BX65" i="7"/>
  <c r="AO51" i="36" s="1"/>
  <c r="CU46" i="7"/>
  <c r="BX43" i="8"/>
  <c r="BC51" i="1"/>
  <c r="BC85" i="3"/>
  <c r="AO11" i="1"/>
  <c r="AO105" i="7" s="1"/>
  <c r="AN9" i="1"/>
  <c r="AN51" i="1" s="1"/>
  <c r="AF86" i="1"/>
  <c r="AF79" i="1"/>
  <c r="AF173" i="3"/>
  <c r="AF71" i="3"/>
  <c r="AF167" i="3"/>
  <c r="AF84" i="3"/>
  <c r="AF52" i="1"/>
  <c r="AL62" i="1"/>
  <c r="AL40" i="8" s="1"/>
  <c r="BD63" i="1"/>
  <c r="AX15" i="1"/>
  <c r="AX73" i="3"/>
  <c r="Y71" i="3"/>
  <c r="BE66" i="1"/>
  <c r="BV72" i="3"/>
  <c r="BV15" i="1"/>
  <c r="BV80" i="1" s="1"/>
  <c r="S66" i="1"/>
  <c r="AR72" i="3"/>
  <c r="AR63" i="1"/>
  <c r="BJ169" i="3"/>
  <c r="Z115" i="1"/>
  <c r="V12" i="1"/>
  <c r="V72" i="3" s="1"/>
  <c r="W105" i="1"/>
  <c r="CP104" i="1"/>
  <c r="CQ104" i="1" s="1"/>
  <c r="BO33" i="1"/>
  <c r="BU79" i="1"/>
  <c r="AE103" i="7"/>
  <c r="K108" i="7"/>
  <c r="CJ8" i="1"/>
  <c r="BF71" i="9"/>
  <c r="O103" i="7"/>
  <c r="Q52" i="1"/>
  <c r="Q173" i="3"/>
  <c r="Q62" i="1"/>
  <c r="BX48" i="1"/>
  <c r="BY11" i="1"/>
  <c r="BX105" i="7"/>
  <c r="C85" i="3"/>
  <c r="C94" i="1"/>
  <c r="E62" i="1"/>
  <c r="C310" i="7"/>
  <c r="C84" i="3"/>
  <c r="C51" i="1"/>
  <c r="C46" i="1"/>
  <c r="C173" i="3"/>
  <c r="C57" i="1"/>
  <c r="C86" i="1"/>
  <c r="C137" i="3"/>
  <c r="K101" i="3"/>
  <c r="K84" i="3"/>
  <c r="K86" i="1"/>
  <c r="K57" i="1"/>
  <c r="K310" i="7"/>
  <c r="K15" i="1"/>
  <c r="K80" i="1" s="1"/>
  <c r="K83" i="3"/>
  <c r="K71" i="3"/>
  <c r="K52" i="1"/>
  <c r="K85" i="3"/>
  <c r="K46" i="1"/>
  <c r="K137" i="3"/>
  <c r="K94" i="1"/>
  <c r="W10" i="1"/>
  <c r="V9" i="1"/>
  <c r="V47" i="1"/>
  <c r="V102" i="7"/>
  <c r="V108" i="7" s="1"/>
  <c r="AO10" i="1"/>
  <c r="AN102" i="7"/>
  <c r="AQ84" i="3"/>
  <c r="AQ83" i="3"/>
  <c r="AQ57" i="1"/>
  <c r="AQ167" i="3"/>
  <c r="AQ145" i="7"/>
  <c r="AQ86" i="1"/>
  <c r="AQ52" i="1"/>
  <c r="AQ79" i="1"/>
  <c r="AQ173" i="3"/>
  <c r="AQ137" i="3"/>
  <c r="BC106" i="7"/>
  <c r="BG105" i="7"/>
  <c r="BJ62" i="1"/>
  <c r="BJ40" i="8" s="1"/>
  <c r="BJ94" i="1"/>
  <c r="BC108" i="7"/>
  <c r="AI11" i="1"/>
  <c r="AI48" i="1" s="1"/>
  <c r="AH48" i="1"/>
  <c r="AH9" i="1"/>
  <c r="AZ48" i="1"/>
  <c r="K51" i="1"/>
  <c r="BI106" i="7"/>
  <c r="BE106" i="7"/>
  <c r="AW94" i="1"/>
  <c r="AA106" i="7"/>
  <c r="AY79" i="1"/>
  <c r="AY86" i="1"/>
  <c r="AZ105" i="7"/>
  <c r="BF106" i="7" s="1"/>
  <c r="BA11" i="1"/>
  <c r="Q137" i="3"/>
  <c r="Q86" i="1"/>
  <c r="Q85" i="3"/>
  <c r="Q79" i="1"/>
  <c r="Q83" i="3"/>
  <c r="Q101" i="3"/>
  <c r="Q167" i="3"/>
  <c r="Q71" i="3"/>
  <c r="Q94" i="1"/>
  <c r="Q57" i="1"/>
  <c r="Q84" i="3"/>
  <c r="Q15" i="1"/>
  <c r="Q51" i="1"/>
  <c r="Q46" i="1"/>
  <c r="T108" i="7"/>
  <c r="Z106" i="7"/>
  <c r="BW51" i="1"/>
  <c r="BW85" i="3"/>
  <c r="BW137" i="3"/>
  <c r="CC62" i="1"/>
  <c r="CC40" i="8" s="1"/>
  <c r="BW57" i="1"/>
  <c r="BW84" i="3"/>
  <c r="BW145" i="7"/>
  <c r="BW83" i="3"/>
  <c r="BW79" i="1"/>
  <c r="I310" i="7"/>
  <c r="I84" i="3"/>
  <c r="I71" i="3"/>
  <c r="I101" i="3"/>
  <c r="I51" i="1"/>
  <c r="I52" i="1"/>
  <c r="I94" i="1"/>
  <c r="I62" i="1"/>
  <c r="I15" i="1"/>
  <c r="I80" i="1" s="1"/>
  <c r="I173" i="3"/>
  <c r="I57" i="1"/>
  <c r="I137" i="3"/>
  <c r="K62" i="1"/>
  <c r="T84" i="3"/>
  <c r="T137" i="3"/>
  <c r="T83" i="3"/>
  <c r="T86" i="1"/>
  <c r="T85" i="3"/>
  <c r="T71" i="3"/>
  <c r="T94" i="1"/>
  <c r="T51" i="1"/>
  <c r="T167" i="3"/>
  <c r="T79" i="1"/>
  <c r="T15" i="1"/>
  <c r="AC10" i="1"/>
  <c r="AB102" i="7"/>
  <c r="AB47" i="1"/>
  <c r="AM52" i="1"/>
  <c r="AM94" i="1"/>
  <c r="AM85" i="3"/>
  <c r="AM83" i="3"/>
  <c r="AM79" i="1"/>
  <c r="AM46" i="1"/>
  <c r="AM84" i="3"/>
  <c r="AM86" i="1"/>
  <c r="AM71" i="3"/>
  <c r="BA10" i="1"/>
  <c r="AZ9" i="1"/>
  <c r="AZ102" i="7"/>
  <c r="AG103" i="7"/>
  <c r="AA108" i="7"/>
  <c r="AY108" i="7"/>
  <c r="BW108" i="7"/>
  <c r="BW103" i="7"/>
  <c r="I106" i="7"/>
  <c r="K106" i="7"/>
  <c r="BR9" i="1"/>
  <c r="I103" i="7"/>
  <c r="AX101" i="3"/>
  <c r="BQ106" i="7"/>
  <c r="AL101" i="3"/>
  <c r="BI114" i="7"/>
  <c r="BO47" i="8"/>
  <c r="BI75" i="7"/>
  <c r="AD52" i="36" s="1"/>
  <c r="AD105" i="36" s="1"/>
  <c r="BO124" i="7"/>
  <c r="BI123" i="7"/>
  <c r="BO56" i="7"/>
  <c r="BI9" i="7"/>
  <c r="AO53" i="7"/>
  <c r="AO115" i="7" s="1"/>
  <c r="BX52" i="7"/>
  <c r="BX95" i="7" s="1"/>
  <c r="BR52" i="7"/>
  <c r="BR95" i="7" s="1"/>
  <c r="BR50" i="7"/>
  <c r="BR94" i="7" s="1"/>
  <c r="BO54" i="7"/>
  <c r="AR48" i="8"/>
  <c r="AY94" i="7"/>
  <c r="AY48" i="8"/>
  <c r="BI94" i="7"/>
  <c r="BP48" i="8"/>
  <c r="BP94" i="7"/>
  <c r="AL95" i="7"/>
  <c r="AL49" i="8"/>
  <c r="AM115" i="7"/>
  <c r="L80" i="36" s="1"/>
  <c r="AM75" i="7"/>
  <c r="AM123" i="7"/>
  <c r="AM54" i="7"/>
  <c r="AS95" i="7"/>
  <c r="AS49" i="8"/>
  <c r="AW49" i="8"/>
  <c r="AW95" i="7"/>
  <c r="AX123" i="7"/>
  <c r="BD56" i="7"/>
  <c r="BD34" i="8" s="1"/>
  <c r="BD47" i="8"/>
  <c r="AX75" i="7"/>
  <c r="AX124" i="7"/>
  <c r="BD54" i="7"/>
  <c r="BD124" i="7"/>
  <c r="BK56" i="7"/>
  <c r="BK36" i="7" s="1"/>
  <c r="BK54" i="7"/>
  <c r="BK93" i="7" s="1"/>
  <c r="BE124" i="7"/>
  <c r="BE123" i="7"/>
  <c r="BK124" i="7"/>
  <c r="BK47" i="8"/>
  <c r="BE75" i="7"/>
  <c r="BE54" i="7"/>
  <c r="BQ95" i="7"/>
  <c r="BQ49" i="8"/>
  <c r="BV95" i="7"/>
  <c r="BV49" i="8"/>
  <c r="CB95" i="7"/>
  <c r="CB49" i="8"/>
  <c r="AU49" i="7"/>
  <c r="BV94" i="7"/>
  <c r="BE94" i="7"/>
  <c r="AX94" i="7"/>
  <c r="AQ94" i="7"/>
  <c r="AZ50" i="7"/>
  <c r="AF9" i="7"/>
  <c r="CA114" i="7"/>
  <c r="BP56" i="7"/>
  <c r="BP36" i="7" s="1"/>
  <c r="BJ114" i="7"/>
  <c r="AR56" i="7"/>
  <c r="AR34" i="8" s="1"/>
  <c r="AL124" i="7"/>
  <c r="BJ124" i="7"/>
  <c r="CA123" i="7"/>
  <c r="BD123" i="7"/>
  <c r="CA9" i="7"/>
  <c r="BR53" i="7"/>
  <c r="AK47" i="36" s="1"/>
  <c r="BS51" i="7"/>
  <c r="BW48" i="8"/>
  <c r="AK49" i="8"/>
  <c r="AH51" i="7"/>
  <c r="AN52" i="7" s="1"/>
  <c r="AL75" i="7"/>
  <c r="O52" i="36" s="1"/>
  <c r="O105" i="36" s="1"/>
  <c r="AR47" i="8"/>
  <c r="AR54" i="7"/>
  <c r="AR124" i="7"/>
  <c r="AL115" i="7"/>
  <c r="K80" i="36" s="1"/>
  <c r="AL54" i="7"/>
  <c r="AR95" i="7"/>
  <c r="AR49" i="8"/>
  <c r="AY124" i="7"/>
  <c r="AS9" i="7"/>
  <c r="AY56" i="7"/>
  <c r="AY34" i="8" s="1"/>
  <c r="AS123" i="7"/>
  <c r="AS115" i="7"/>
  <c r="P80" i="36" s="1"/>
  <c r="AS124" i="7"/>
  <c r="AS75" i="7"/>
  <c r="AS54" i="7"/>
  <c r="AY54" i="7"/>
  <c r="AW124" i="7"/>
  <c r="AW9" i="7"/>
  <c r="AW123" i="7"/>
  <c r="AW115" i="7"/>
  <c r="R80" i="36" s="1"/>
  <c r="AW54" i="7"/>
  <c r="BC56" i="7"/>
  <c r="BC34" i="8" s="1"/>
  <c r="BD95" i="7"/>
  <c r="CA49" i="8"/>
  <c r="CA95" i="7"/>
  <c r="BL50" i="7"/>
  <c r="BL48" i="8" s="1"/>
  <c r="BG49" i="7"/>
  <c r="BF53" i="7"/>
  <c r="AC47" i="36" s="1"/>
  <c r="BF50" i="7"/>
  <c r="AU52" i="7"/>
  <c r="AS48" i="8"/>
  <c r="BC48" i="8"/>
  <c r="BJ48" i="8"/>
  <c r="BQ94" i="7"/>
  <c r="BQ48" i="8"/>
  <c r="BI95" i="7"/>
  <c r="BW49" i="8"/>
  <c r="BW95" i="7"/>
  <c r="BL53" i="7"/>
  <c r="AG47" i="36" s="1"/>
  <c r="BL52" i="7"/>
  <c r="BM51" i="7"/>
  <c r="AT52" i="7"/>
  <c r="AN53" i="7"/>
  <c r="AK95" i="7"/>
  <c r="AM94" i="7"/>
  <c r="AM48" i="8"/>
  <c r="BC9" i="7"/>
  <c r="BC75" i="7"/>
  <c r="BI124" i="7"/>
  <c r="BI56" i="7"/>
  <c r="BI54" i="7"/>
  <c r="BC115" i="7"/>
  <c r="V80" i="36" s="1"/>
  <c r="BC54" i="7"/>
  <c r="CJ34" i="8"/>
  <c r="CJ36" i="7"/>
  <c r="CE30" i="3"/>
  <c r="CE187" i="3" s="1"/>
  <c r="E62" i="3"/>
  <c r="AQ92" i="3"/>
  <c r="AR39" i="3"/>
  <c r="BL51" i="3"/>
  <c r="BL61" i="3"/>
  <c r="BE62" i="3"/>
  <c r="O62" i="3"/>
  <c r="BD62" i="3"/>
  <c r="I62" i="3"/>
  <c r="AA120" i="3"/>
  <c r="AA121" i="3"/>
  <c r="K44" i="3"/>
  <c r="K62" i="3"/>
  <c r="BK51" i="3"/>
  <c r="M121" i="3"/>
  <c r="M120" i="3"/>
  <c r="CK102" i="3"/>
  <c r="AA149" i="3"/>
  <c r="BU155" i="3"/>
  <c r="AL75" i="9"/>
  <c r="BY155" i="3"/>
  <c r="AX75" i="9"/>
  <c r="G120" i="3"/>
  <c r="BE22" i="1"/>
  <c r="BE13" i="4"/>
  <c r="BF14" i="4"/>
  <c r="BE119" i="3"/>
  <c r="AZ49" i="4"/>
  <c r="BA49" i="4" s="1"/>
  <c r="BM171" i="3"/>
  <c r="BR17" i="4"/>
  <c r="BQ171" i="3"/>
  <c r="BQ173" i="3"/>
  <c r="AT45" i="4"/>
  <c r="AU45" i="4" s="1"/>
  <c r="AY30" i="4"/>
  <c r="AY100" i="3" s="1"/>
  <c r="AM30" i="4"/>
  <c r="AF100" i="3"/>
  <c r="AF101" i="3" s="1"/>
  <c r="CB86" i="4"/>
  <c r="AT19" i="4"/>
  <c r="AU19" i="4" s="1"/>
  <c r="BG31" i="4"/>
  <c r="AA30" i="4"/>
  <c r="AT49" i="4"/>
  <c r="AU49" i="4" s="1"/>
  <c r="AT44" i="4"/>
  <c r="AU44" i="4" s="1"/>
  <c r="BR25" i="4"/>
  <c r="BS25" i="4" s="1"/>
  <c r="BS24" i="4"/>
  <c r="V69" i="4"/>
  <c r="W69" i="4" s="1"/>
  <c r="T100" i="3"/>
  <c r="T101" i="3" s="1"/>
  <c r="Q23" i="1"/>
  <c r="CE19" i="3"/>
  <c r="CD147" i="3"/>
  <c r="AN39" i="4"/>
  <c r="AO39" i="4" s="1"/>
  <c r="AZ17" i="4"/>
  <c r="AY171" i="3"/>
  <c r="V70" i="4"/>
  <c r="V80" i="4" s="1"/>
  <c r="U80" i="4"/>
  <c r="Z107" i="3"/>
  <c r="Z21" i="1"/>
  <c r="BR16" i="4"/>
  <c r="BS16" i="4" s="1"/>
  <c r="AZ23" i="4"/>
  <c r="AZ15" i="4"/>
  <c r="BA15" i="4" s="1"/>
  <c r="BF70" i="4"/>
  <c r="BF80" i="4" s="1"/>
  <c r="BE80" i="4"/>
  <c r="AZ12" i="4"/>
  <c r="BA12" i="4" s="1"/>
  <c r="BR31" i="4"/>
  <c r="BS31" i="4" s="1"/>
  <c r="M72" i="4"/>
  <c r="O68" i="4" s="1"/>
  <c r="M78" i="4"/>
  <c r="M76" i="4"/>
  <c r="BX24" i="4"/>
  <c r="C50" i="4"/>
  <c r="G50" i="4"/>
  <c r="G77" i="3" s="1"/>
  <c r="V39" i="4"/>
  <c r="W36" i="4"/>
  <c r="AC49" i="4"/>
  <c r="AC44" i="4"/>
  <c r="AG37" i="4"/>
  <c r="AT40" i="4"/>
  <c r="AU40" i="4" s="1"/>
  <c r="BA19" i="4"/>
  <c r="AY18" i="4"/>
  <c r="BQ21" i="4"/>
  <c r="BS15" i="4"/>
  <c r="AS30" i="4"/>
  <c r="AC84" i="4"/>
  <c r="AC85" i="4" s="1"/>
  <c r="AC86" i="4" s="1"/>
  <c r="AH12" i="4"/>
  <c r="AH13" i="4" s="1"/>
  <c r="AN45" i="4"/>
  <c r="AO45" i="4" s="1"/>
  <c r="AN44" i="4"/>
  <c r="AO44" i="4" s="1"/>
  <c r="AN43" i="4"/>
  <c r="AO43" i="4" s="1"/>
  <c r="AN40" i="4"/>
  <c r="AO40" i="4" s="1"/>
  <c r="AT23" i="4"/>
  <c r="AU23" i="4" s="1"/>
  <c r="BR46" i="4"/>
  <c r="BS46" i="4" s="1"/>
  <c r="BR44" i="4"/>
  <c r="BS44" i="4" s="1"/>
  <c r="BR41" i="4"/>
  <c r="BS41" i="4" s="1"/>
  <c r="BR39" i="4"/>
  <c r="BS39" i="4" s="1"/>
  <c r="E109" i="3"/>
  <c r="AI49" i="4"/>
  <c r="AO36" i="4"/>
  <c r="AT39" i="4"/>
  <c r="AU39" i="4" s="1"/>
  <c r="BA24" i="4"/>
  <c r="BS32" i="4"/>
  <c r="BS19" i="4"/>
  <c r="AB39" i="4"/>
  <c r="AC39" i="4" s="1"/>
  <c r="AH45" i="4"/>
  <c r="AI45" i="4" s="1"/>
  <c r="AH43" i="4"/>
  <c r="AI43" i="4" s="1"/>
  <c r="AH40" i="4"/>
  <c r="AI40" i="4" s="1"/>
  <c r="AI36" i="4"/>
  <c r="AZ44" i="4"/>
  <c r="BA44" i="4" s="1"/>
  <c r="BY71" i="4"/>
  <c r="BM71" i="4"/>
  <c r="AN70" i="4"/>
  <c r="AH69" i="4"/>
  <c r="AI69" i="4" s="1"/>
  <c r="AB69" i="4"/>
  <c r="AC69" i="4" s="1"/>
  <c r="BV100" i="3"/>
  <c r="BV101" i="3" s="1"/>
  <c r="Y241" i="7"/>
  <c r="Y365" i="7" s="1"/>
  <c r="Y299" i="7"/>
  <c r="BS62" i="7"/>
  <c r="BS97" i="7" s="1"/>
  <c r="AA360" i="7"/>
  <c r="AA240" i="7"/>
  <c r="U359" i="7"/>
  <c r="AA361" i="7" s="1"/>
  <c r="W285" i="7"/>
  <c r="W339" i="7" s="1"/>
  <c r="BI48" i="8"/>
  <c r="BJ47" i="8"/>
  <c r="AB356" i="7"/>
  <c r="BX132" i="7"/>
  <c r="CC27" i="7"/>
  <c r="CC25" i="7" s="1"/>
  <c r="CJ44" i="7"/>
  <c r="CT12" i="8"/>
  <c r="CZ22" i="8" s="1"/>
  <c r="AR66" i="7"/>
  <c r="AR96" i="7" s="1"/>
  <c r="BO26" i="8"/>
  <c r="CD25" i="7"/>
  <c r="AH26" i="8"/>
  <c r="BK26" i="8"/>
  <c r="CB75" i="7"/>
  <c r="BR65" i="7"/>
  <c r="CI36" i="7"/>
  <c r="CT67" i="7"/>
  <c r="BY100" i="1"/>
  <c r="BU107" i="1"/>
  <c r="CC33" i="1"/>
  <c r="AI12" i="1"/>
  <c r="BW94" i="1"/>
  <c r="AB93" i="1"/>
  <c r="AQ94" i="1"/>
  <c r="BD15" i="1"/>
  <c r="BD80" i="1" s="1"/>
  <c r="W93" i="1"/>
  <c r="AU93" i="1"/>
  <c r="BU94" i="1"/>
  <c r="BK33" i="1"/>
  <c r="BA12" i="1"/>
  <c r="BK94" i="1"/>
  <c r="BQ94" i="1"/>
  <c r="BV94" i="1"/>
  <c r="G94" i="1"/>
  <c r="CE65" i="4"/>
  <c r="CE41" i="1" s="1"/>
  <c r="CV105" i="1"/>
  <c r="CW105" i="1" s="1"/>
  <c r="CV106" i="1"/>
  <c r="CW106" i="1" s="1"/>
  <c r="BE38" i="9"/>
  <c r="AN19" i="1"/>
  <c r="AO18" i="1"/>
  <c r="CE26" i="1"/>
  <c r="BM71" i="9" s="1"/>
  <c r="AY145" i="7"/>
  <c r="AY83" i="3"/>
  <c r="AY84" i="3"/>
  <c r="AY94" i="1"/>
  <c r="AY57" i="1"/>
  <c r="AY85" i="3"/>
  <c r="AY167" i="3"/>
  <c r="AY173" i="3"/>
  <c r="BE62" i="1"/>
  <c r="BE40" i="8" s="1"/>
  <c r="AY52" i="1"/>
  <c r="AY137" i="3"/>
  <c r="AY71" i="3"/>
  <c r="AY51" i="1"/>
  <c r="AY62" i="1"/>
  <c r="AY40" i="8" s="1"/>
  <c r="BA38" i="9"/>
  <c r="V19" i="1"/>
  <c r="AB65" i="1"/>
  <c r="V87" i="1"/>
  <c r="W17" i="1"/>
  <c r="AW33" i="1"/>
  <c r="AK52" i="1"/>
  <c r="AK173" i="3"/>
  <c r="AQ62" i="1"/>
  <c r="AQ40" i="8" s="1"/>
  <c r="AK57" i="1"/>
  <c r="AK51" i="1"/>
  <c r="AK86" i="1"/>
  <c r="AK79" i="1"/>
  <c r="AK71" i="3"/>
  <c r="AK167" i="3"/>
  <c r="AK137" i="3"/>
  <c r="AK84" i="3"/>
  <c r="AK46" i="1"/>
  <c r="AK15" i="1"/>
  <c r="AK101" i="3"/>
  <c r="AK62" i="1"/>
  <c r="AK40" i="8" s="1"/>
  <c r="AK85" i="3"/>
  <c r="AB9" i="1"/>
  <c r="AB105" i="7"/>
  <c r="AC11" i="1"/>
  <c r="AB48" i="1"/>
  <c r="BX22" i="4"/>
  <c r="Y94" i="1"/>
  <c r="Y46" i="1"/>
  <c r="Y62" i="1"/>
  <c r="Y40" i="8" s="1"/>
  <c r="Y173" i="3"/>
  <c r="Y15" i="1"/>
  <c r="Y137" i="3"/>
  <c r="Y57" i="1"/>
  <c r="Y84" i="3"/>
  <c r="Y51" i="1"/>
  <c r="Y167" i="3"/>
  <c r="Y86" i="1"/>
  <c r="Y85" i="3"/>
  <c r="Y52" i="1"/>
  <c r="Y101" i="3"/>
  <c r="Y83" i="3"/>
  <c r="Y75" i="7"/>
  <c r="Y21" i="1"/>
  <c r="Y107" i="3"/>
  <c r="AQ38" i="9"/>
  <c r="AR66" i="9"/>
  <c r="AS52" i="1"/>
  <c r="AS62" i="1"/>
  <c r="AS40" i="8" s="1"/>
  <c r="AS86" i="1"/>
  <c r="AS51" i="1"/>
  <c r="AS145" i="7"/>
  <c r="AS15" i="1"/>
  <c r="AS71" i="3"/>
  <c r="AS83" i="3"/>
  <c r="AS167" i="3"/>
  <c r="AS85" i="3"/>
  <c r="AS94" i="1"/>
  <c r="AS57" i="1"/>
  <c r="AS46" i="1"/>
  <c r="AS84" i="3"/>
  <c r="Y108" i="7"/>
  <c r="Y106" i="7"/>
  <c r="AG107" i="3"/>
  <c r="BG71" i="9"/>
  <c r="BL47" i="1"/>
  <c r="BM13" i="1"/>
  <c r="Y33" i="1"/>
  <c r="U107" i="1"/>
  <c r="BC107" i="1"/>
  <c r="AK248" i="7"/>
  <c r="AK377" i="7"/>
  <c r="Q74" i="9"/>
  <c r="Q75" i="9" s="1"/>
  <c r="AE51" i="1"/>
  <c r="AE85" i="3"/>
  <c r="AE71" i="3"/>
  <c r="AE46" i="1"/>
  <c r="AE84" i="3"/>
  <c r="AE83" i="3"/>
  <c r="AE137" i="3"/>
  <c r="AE101" i="3"/>
  <c r="AE79" i="1"/>
  <c r="AE57" i="1"/>
  <c r="AE173" i="3"/>
  <c r="AE167" i="3"/>
  <c r="AE15" i="1"/>
  <c r="AE52" i="1"/>
  <c r="AE62" i="1"/>
  <c r="AE40" i="8" s="1"/>
  <c r="BG14" i="1"/>
  <c r="BF48" i="1"/>
  <c r="BF13" i="1"/>
  <c r="G79" i="1"/>
  <c r="BV79" i="1"/>
  <c r="M87" i="1"/>
  <c r="BP94" i="1"/>
  <c r="BP33" i="1"/>
  <c r="BC101" i="3"/>
  <c r="BC94" i="1"/>
  <c r="BC57" i="1"/>
  <c r="BC62" i="1"/>
  <c r="BC40" i="8" s="1"/>
  <c r="BC137" i="3"/>
  <c r="BC173" i="3"/>
  <c r="BC167" i="3"/>
  <c r="BC145" i="7"/>
  <c r="BC15" i="1"/>
  <c r="BC71" i="3"/>
  <c r="BC86" i="1"/>
  <c r="BC79" i="1"/>
  <c r="BC83" i="3"/>
  <c r="AE33" i="1"/>
  <c r="AN22" i="1"/>
  <c r="AN119" i="3"/>
  <c r="BW85" i="4"/>
  <c r="CC86" i="4" s="1"/>
  <c r="BY84" i="4"/>
  <c r="AE66" i="1"/>
  <c r="AE169" i="3"/>
  <c r="BU22" i="9"/>
  <c r="BV22" i="9" s="1"/>
  <c r="BW22" i="9" s="1"/>
  <c r="BX22" i="9" s="1"/>
  <c r="BY22" i="9" s="1"/>
  <c r="O61" i="3"/>
  <c r="AG167" i="3"/>
  <c r="AG71" i="3"/>
  <c r="AG83" i="3"/>
  <c r="AG137" i="3"/>
  <c r="AG51" i="1"/>
  <c r="AG79" i="1"/>
  <c r="AG57" i="1"/>
  <c r="AG85" i="3"/>
  <c r="AG15" i="1"/>
  <c r="AG94" i="1"/>
  <c r="AG84" i="3"/>
  <c r="AG46" i="1"/>
  <c r="AM62" i="1"/>
  <c r="AM40" i="8" s="1"/>
  <c r="AS168" i="3"/>
  <c r="AS73" i="3"/>
  <c r="AS63" i="1"/>
  <c r="AS72" i="3"/>
  <c r="C79" i="1"/>
  <c r="E87" i="1"/>
  <c r="E86" i="1"/>
  <c r="S86" i="1"/>
  <c r="S87" i="1"/>
  <c r="BA93" i="1"/>
  <c r="BU21" i="9"/>
  <c r="BV21" i="9" s="1"/>
  <c r="BW21" i="9" s="1"/>
  <c r="BX21" i="9" s="1"/>
  <c r="BY21" i="9" s="1"/>
  <c r="BM155" i="3"/>
  <c r="W74" i="9"/>
  <c r="BJ137" i="3"/>
  <c r="BJ85" i="3"/>
  <c r="BJ84" i="3"/>
  <c r="BJ51" i="1"/>
  <c r="BJ57" i="1"/>
  <c r="BJ71" i="3"/>
  <c r="BJ83" i="3"/>
  <c r="BJ145" i="7"/>
  <c r="BJ15" i="1"/>
  <c r="BJ167" i="3"/>
  <c r="BJ173" i="3"/>
  <c r="BJ52" i="1"/>
  <c r="BJ46" i="1"/>
  <c r="BJ79" i="1"/>
  <c r="G169" i="3"/>
  <c r="O66" i="1"/>
  <c r="I169" i="3"/>
  <c r="I66" i="1"/>
  <c r="Z107" i="1"/>
  <c r="Z33" i="1" s="1"/>
  <c r="AT101" i="1"/>
  <c r="AT100" i="1" s="1"/>
  <c r="AT107" i="1" s="1"/>
  <c r="E79" i="1"/>
  <c r="AH85" i="1"/>
  <c r="AI82" i="1"/>
  <c r="AI85" i="1" s="1"/>
  <c r="BX87" i="1"/>
  <c r="AW83" i="3"/>
  <c r="AW85" i="3"/>
  <c r="AW62" i="1"/>
  <c r="AW40" i="8" s="1"/>
  <c r="AW52" i="1"/>
  <c r="AW167" i="3"/>
  <c r="AW84" i="3"/>
  <c r="AW51" i="1"/>
  <c r="AW137" i="3"/>
  <c r="AW71" i="3"/>
  <c r="AW57" i="1"/>
  <c r="AW79" i="1"/>
  <c r="AW46" i="1"/>
  <c r="AW173" i="3"/>
  <c r="AW145" i="7"/>
  <c r="AW15" i="1"/>
  <c r="BU57" i="1"/>
  <c r="CA62" i="1"/>
  <c r="CA40" i="8" s="1"/>
  <c r="BU137" i="3"/>
  <c r="BU101" i="3"/>
  <c r="BU15" i="1"/>
  <c r="BU52" i="1"/>
  <c r="BU85" i="3"/>
  <c r="BU86" i="1"/>
  <c r="BU167" i="3"/>
  <c r="BU84" i="3"/>
  <c r="BU173" i="3"/>
  <c r="BU71" i="3"/>
  <c r="BU83" i="3"/>
  <c r="BU145" i="7"/>
  <c r="AR107" i="1"/>
  <c r="AR33" i="1" s="1"/>
  <c r="M61" i="3"/>
  <c r="BW72" i="3"/>
  <c r="BW15" i="1"/>
  <c r="CC50" i="1" s="1"/>
  <c r="BW168" i="3"/>
  <c r="BW46" i="1"/>
  <c r="CC63" i="1"/>
  <c r="BW73" i="3"/>
  <c r="BE51" i="1"/>
  <c r="BK62" i="1"/>
  <c r="BK40" i="8" s="1"/>
  <c r="BE84" i="3"/>
  <c r="BE145" i="7"/>
  <c r="BE94" i="1"/>
  <c r="BE46" i="1"/>
  <c r="BE167" i="3"/>
  <c r="BE83" i="3"/>
  <c r="BE86" i="1"/>
  <c r="BE57" i="1"/>
  <c r="BE52" i="1"/>
  <c r="BE137" i="3"/>
  <c r="BE71" i="3"/>
  <c r="BE79" i="1"/>
  <c r="BE15" i="1"/>
  <c r="BE85" i="3"/>
  <c r="I79" i="1"/>
  <c r="I85" i="3"/>
  <c r="AT11" i="1"/>
  <c r="BI9" i="1"/>
  <c r="Z48" i="1"/>
  <c r="BI48" i="1"/>
  <c r="M48" i="1"/>
  <c r="AQ12" i="1"/>
  <c r="AR9" i="7"/>
  <c r="AI47" i="8"/>
  <c r="AC9" i="7"/>
  <c r="AY12" i="7"/>
  <c r="G248" i="7"/>
  <c r="AF382" i="7"/>
  <c r="BU20" i="3"/>
  <c r="BU147" i="3"/>
  <c r="BU149" i="3" s="1"/>
  <c r="BW124" i="3"/>
  <c r="BW126" i="3" s="1"/>
  <c r="Z238" i="7"/>
  <c r="C83" i="3"/>
  <c r="M9" i="1"/>
  <c r="M86" i="1" s="1"/>
  <c r="Z9" i="1"/>
  <c r="AR9" i="1"/>
  <c r="AQ48" i="1"/>
  <c r="AU27" i="1"/>
  <c r="AU29" i="1"/>
  <c r="AX9" i="7"/>
  <c r="AM9" i="7"/>
  <c r="AS47" i="8"/>
  <c r="BP51" i="8"/>
  <c r="AR12" i="7"/>
  <c r="AO133" i="7"/>
  <c r="AH255" i="7"/>
  <c r="AH346" i="7" s="1"/>
  <c r="AS18" i="8"/>
  <c r="CQ118" i="3"/>
  <c r="BO9" i="1"/>
  <c r="BO122" i="1" s="1"/>
  <c r="BR13" i="1"/>
  <c r="BC47" i="8"/>
  <c r="BD49" i="8"/>
  <c r="BV52" i="8"/>
  <c r="AC41" i="8"/>
  <c r="I318" i="7"/>
  <c r="Q126" i="3"/>
  <c r="Z120" i="3"/>
  <c r="BW18" i="4"/>
  <c r="BX18" i="4" s="1"/>
  <c r="BW25" i="4"/>
  <c r="BX25" i="4" s="1"/>
  <c r="BF34" i="9"/>
  <c r="BF36" i="9"/>
  <c r="BF37" i="9" s="1"/>
  <c r="BI43" i="9"/>
  <c r="BG43" i="9"/>
  <c r="BI50" i="9"/>
  <c r="BG54" i="9"/>
  <c r="BI54" i="9"/>
  <c r="AS75" i="9"/>
  <c r="AU70" i="9"/>
  <c r="AK47" i="9"/>
  <c r="AI47" i="9"/>
  <c r="AO49" i="9"/>
  <c r="AQ49" i="9"/>
  <c r="AQ53" i="9"/>
  <c r="AO53" i="9"/>
  <c r="AO56" i="9"/>
  <c r="AQ56" i="9"/>
  <c r="BK120" i="3"/>
  <c r="AR119" i="3"/>
  <c r="AH36" i="9"/>
  <c r="AH37" i="9" s="1"/>
  <c r="AH34" i="9"/>
  <c r="AE56" i="9"/>
  <c r="AC56" i="9"/>
  <c r="AY75" i="9"/>
  <c r="AZ75" i="9" s="1"/>
  <c r="AZ74" i="9" s="1"/>
  <c r="BA74" i="9" s="1"/>
  <c r="E121" i="3"/>
  <c r="AI54" i="9"/>
  <c r="AC54" i="9"/>
  <c r="AE54" i="9"/>
  <c r="BI61" i="9"/>
  <c r="BG61" i="9"/>
  <c r="BE64" i="9"/>
  <c r="BE68" i="9" s="1"/>
  <c r="AU58" i="9"/>
  <c r="Q34" i="9"/>
  <c r="Q36" i="9"/>
  <c r="Y34" i="9"/>
  <c r="AI67" i="9"/>
  <c r="AO43" i="9"/>
  <c r="AQ43" i="9"/>
  <c r="BA51" i="9"/>
  <c r="AW51" i="9"/>
  <c r="AW58" i="9"/>
  <c r="BA58" i="9"/>
  <c r="BA53" i="9"/>
  <c r="BC53" i="9"/>
  <c r="G64" i="9"/>
  <c r="G68" i="9" s="1"/>
  <c r="O64" i="9"/>
  <c r="O68" i="9" s="1"/>
  <c r="AM75" i="9"/>
  <c r="CC92" i="1"/>
  <c r="CC93" i="1" s="1"/>
  <c r="W46" i="9"/>
  <c r="AC46" i="9"/>
  <c r="W49" i="9"/>
  <c r="Y49" i="9"/>
  <c r="W56" i="9"/>
  <c r="Y56" i="9"/>
  <c r="AI56" i="9"/>
  <c r="AI59" i="9"/>
  <c r="Y65" i="9"/>
  <c r="W65" i="9"/>
  <c r="AQ67" i="9"/>
  <c r="AU67" i="9"/>
  <c r="BA43" i="9"/>
  <c r="AM64" i="9"/>
  <c r="AM68" i="9" s="1"/>
  <c r="AC40" i="4"/>
  <c r="AH25" i="4"/>
  <c r="AI25" i="4" s="1"/>
  <c r="AH21" i="4"/>
  <c r="AI21" i="4" s="1"/>
  <c r="AH16" i="4"/>
  <c r="AI16" i="4" s="1"/>
  <c r="AA46" i="4"/>
  <c r="AA32" i="4"/>
  <c r="AH24" i="4"/>
  <c r="AI24" i="4" s="1"/>
  <c r="AH19" i="4"/>
  <c r="AI19" i="4" s="1"/>
  <c r="AH15" i="4"/>
  <c r="AI15" i="4" s="1"/>
  <c r="W46" i="4"/>
  <c r="U32" i="4"/>
  <c r="AH23" i="4"/>
  <c r="AI23" i="4" s="1"/>
  <c r="AH18" i="4"/>
  <c r="AI18" i="4" s="1"/>
  <c r="AH53" i="4"/>
  <c r="AI53" i="4" s="1"/>
  <c r="V53" i="4"/>
  <c r="W53" i="4" s="1"/>
  <c r="AC43" i="4"/>
  <c r="AB36" i="4"/>
  <c r="AC36" i="4" s="1"/>
  <c r="AG46" i="4"/>
  <c r="AH44" i="4"/>
  <c r="AI44" i="4" s="1"/>
  <c r="AH41" i="4"/>
  <c r="AH39" i="4"/>
  <c r="AI39" i="4" s="1"/>
  <c r="AN22" i="4"/>
  <c r="AO22" i="4" s="1"/>
  <c r="AN10" i="4"/>
  <c r="AT41" i="4"/>
  <c r="AU41" i="4" s="1"/>
  <c r="AU24" i="4"/>
  <c r="AT22" i="4"/>
  <c r="AS17" i="4"/>
  <c r="AS15" i="4"/>
  <c r="AT15" i="4" s="1"/>
  <c r="AS10" i="4"/>
  <c r="AZ45" i="4"/>
  <c r="BA45" i="4" s="1"/>
  <c r="AZ43" i="4"/>
  <c r="BA43" i="4" s="1"/>
  <c r="AZ40" i="4"/>
  <c r="BA40" i="4" s="1"/>
  <c r="BE44" i="4"/>
  <c r="BF44" i="4" s="1"/>
  <c r="BE39" i="4"/>
  <c r="BF36" i="4"/>
  <c r="CB47" i="4"/>
  <c r="BK32" i="9"/>
  <c r="CN35" i="7"/>
  <c r="CB25" i="4"/>
  <c r="CA20" i="4"/>
  <c r="BE71" i="4"/>
  <c r="AA70" i="4"/>
  <c r="AB70" i="4" s="1"/>
  <c r="U71" i="4"/>
  <c r="AF32" i="4"/>
  <c r="AG32" i="4" s="1"/>
  <c r="AG31" i="4"/>
  <c r="AI10" i="4"/>
  <c r="AO31" i="4"/>
  <c r="AN23" i="4"/>
  <c r="AO23" i="4" s="1"/>
  <c r="AN18" i="4"/>
  <c r="AO18" i="4" s="1"/>
  <c r="AN12" i="4"/>
  <c r="AT43" i="4"/>
  <c r="AU43" i="4" s="1"/>
  <c r="AU25" i="4"/>
  <c r="AU21" i="4"/>
  <c r="AY31" i="4"/>
  <c r="BE49" i="4"/>
  <c r="BF49" i="4" s="1"/>
  <c r="BE43" i="4"/>
  <c r="BF43" i="4" s="1"/>
  <c r="BQ71" i="4"/>
  <c r="BR71" i="4" s="1"/>
  <c r="AN24" i="4"/>
  <c r="AO24" i="4" s="1"/>
  <c r="AN19" i="4"/>
  <c r="AO19" i="4" s="1"/>
  <c r="AN15" i="4"/>
  <c r="AO15" i="4" s="1"/>
  <c r="AT36" i="4"/>
  <c r="AS18" i="4"/>
  <c r="AT18" i="4" s="1"/>
  <c r="AU18" i="4" s="1"/>
  <c r="AS16" i="4"/>
  <c r="AS12" i="4"/>
  <c r="BF46" i="4"/>
  <c r="BG46" i="4" s="1"/>
  <c r="BE41" i="4"/>
  <c r="BQ29" i="4"/>
  <c r="BR29" i="4" s="1"/>
  <c r="CC20" i="1"/>
  <c r="CN67" i="7"/>
  <c r="CB72" i="3"/>
  <c r="CB73" i="3"/>
  <c r="CB84" i="3"/>
  <c r="CB85" i="3"/>
  <c r="CB83" i="3"/>
  <c r="AM71" i="4"/>
  <c r="AN71" i="4" s="1"/>
  <c r="AO71" i="4" s="1"/>
  <c r="BO12" i="7"/>
  <c r="AN49" i="4"/>
  <c r="AO49" i="4" s="1"/>
  <c r="AN25" i="4"/>
  <c r="AO25" i="4" s="1"/>
  <c r="AN21" i="4"/>
  <c r="AN16" i="4"/>
  <c r="AO16" i="4" s="1"/>
  <c r="AZ29" i="4"/>
  <c r="BA29" i="4" s="1"/>
  <c r="BE45" i="4"/>
  <c r="BF45" i="4" s="1"/>
  <c r="BE40" i="4"/>
  <c r="BF40" i="4" s="1"/>
  <c r="BE29" i="4"/>
  <c r="BQ49" i="4"/>
  <c r="BR49" i="4" s="1"/>
  <c r="BR45" i="4"/>
  <c r="BS45" i="4" s="1"/>
  <c r="BR43" i="4"/>
  <c r="BS43" i="4" s="1"/>
  <c r="BR40" i="4"/>
  <c r="AZ70" i="4"/>
  <c r="BA70" i="4" s="1"/>
  <c r="S104" i="3"/>
  <c r="S101" i="3"/>
  <c r="BA37" i="4"/>
  <c r="BG25" i="4"/>
  <c r="BG24" i="4"/>
  <c r="BG23" i="4"/>
  <c r="BG22" i="4"/>
  <c r="BG21" i="4"/>
  <c r="BG19" i="4"/>
  <c r="BG18" i="4"/>
  <c r="BG16" i="4"/>
  <c r="BG15" i="4"/>
  <c r="BG12" i="4"/>
  <c r="BG10" i="4"/>
  <c r="BS36" i="4"/>
  <c r="BR70" i="4"/>
  <c r="BS70" i="4" s="1"/>
  <c r="AI71" i="4"/>
  <c r="BA69" i="4"/>
  <c r="AN69" i="4"/>
  <c r="BQ30" i="4"/>
  <c r="BR30" i="4" s="1"/>
  <c r="BP100" i="3"/>
  <c r="AW101" i="3"/>
  <c r="V30" i="4"/>
  <c r="U100" i="3"/>
  <c r="CA101" i="3"/>
  <c r="BW25" i="7"/>
  <c r="BR69" i="4"/>
  <c r="BS69" i="4" s="1"/>
  <c r="BE30" i="4"/>
  <c r="BD100" i="3"/>
  <c r="BP9" i="7"/>
  <c r="BV56" i="7"/>
  <c r="CA75" i="7"/>
  <c r="CS22" i="1"/>
  <c r="CU12" i="8"/>
  <c r="CU67" i="7"/>
  <c r="CU66" i="7" s="1"/>
  <c r="CU96" i="7" s="1"/>
  <c r="CH44" i="7"/>
  <c r="CH27" i="7"/>
  <c r="CU36" i="8"/>
  <c r="CU56" i="7"/>
  <c r="CU41" i="8"/>
  <c r="CI44" i="7"/>
  <c r="CT29" i="8"/>
  <c r="CT28" i="8"/>
  <c r="CT35" i="7"/>
  <c r="CV68" i="7"/>
  <c r="CV35" i="8" s="1"/>
  <c r="CT41" i="8"/>
  <c r="CS36" i="8"/>
  <c r="CU38" i="7"/>
  <c r="CV46" i="7" l="1"/>
  <c r="BU28" i="9"/>
  <c r="BV28" i="9" s="1"/>
  <c r="BW28" i="9" s="1"/>
  <c r="BX28" i="9" s="1"/>
  <c r="BY28" i="9" s="1"/>
  <c r="BS60" i="9"/>
  <c r="BU15" i="9"/>
  <c r="BV15" i="9" s="1"/>
  <c r="BW15" i="9" s="1"/>
  <c r="BX15" i="9" s="1"/>
  <c r="BY15" i="9" s="1"/>
  <c r="BY47" i="9" s="1"/>
  <c r="BS47" i="9"/>
  <c r="BU30" i="9"/>
  <c r="BV30" i="9" s="1"/>
  <c r="BW30" i="9" s="1"/>
  <c r="BX30" i="9" s="1"/>
  <c r="BY30" i="9" s="1"/>
  <c r="BS62" i="9"/>
  <c r="BU17" i="9"/>
  <c r="BV17" i="9" s="1"/>
  <c r="BW17" i="9" s="1"/>
  <c r="BX17" i="9" s="1"/>
  <c r="BY17" i="9" s="1"/>
  <c r="BS49" i="9"/>
  <c r="BU19" i="9"/>
  <c r="BV19" i="9" s="1"/>
  <c r="BW19" i="9" s="1"/>
  <c r="BX19" i="9" s="1"/>
  <c r="BY19" i="9" s="1"/>
  <c r="BS51" i="9"/>
  <c r="AF66" i="1"/>
  <c r="AC34" i="9"/>
  <c r="AS66" i="9"/>
  <c r="BU26" i="9"/>
  <c r="BV26" i="9" s="1"/>
  <c r="BW26" i="9" s="1"/>
  <c r="BX26" i="9" s="1"/>
  <c r="BY26" i="9" s="1"/>
  <c r="BY58" i="9" s="1"/>
  <c r="BC79" i="3"/>
  <c r="V288" i="7"/>
  <c r="W294" i="7"/>
  <c r="W295" i="7" s="1"/>
  <c r="W342" i="7" s="1"/>
  <c r="AN17" i="36"/>
  <c r="AR17" i="36"/>
  <c r="AM17" i="36"/>
  <c r="AB295" i="7"/>
  <c r="AB342" i="7" s="1"/>
  <c r="O66" i="9"/>
  <c r="BA86" i="4"/>
  <c r="AX107" i="3"/>
  <c r="BC50" i="4"/>
  <c r="W288" i="7"/>
  <c r="W239" i="7" s="1"/>
  <c r="AC294" i="7"/>
  <c r="AC298" i="7" s="1"/>
  <c r="AC241" i="7" s="1"/>
  <c r="AB298" i="7"/>
  <c r="AB241" i="7" s="1"/>
  <c r="AE243" i="7"/>
  <c r="AE371" i="7" s="1"/>
  <c r="AK373" i="7" s="1"/>
  <c r="CE123" i="7"/>
  <c r="AK257" i="7"/>
  <c r="AE257" i="7"/>
  <c r="AE344" i="7" s="1"/>
  <c r="AC262" i="7"/>
  <c r="AI263" i="7" s="1"/>
  <c r="AI348" i="7" s="1"/>
  <c r="AK269" i="7"/>
  <c r="CV34" i="8"/>
  <c r="CS44" i="7"/>
  <c r="CS42" i="7" s="1"/>
  <c r="W276" i="7"/>
  <c r="W277" i="7" s="1"/>
  <c r="M100" i="36"/>
  <c r="BO61" i="3"/>
  <c r="CA61" i="3"/>
  <c r="AL51" i="3"/>
  <c r="BU51" i="3"/>
  <c r="BO51" i="3"/>
  <c r="Z61" i="3"/>
  <c r="BG75" i="9"/>
  <c r="M65" i="3"/>
  <c r="BG155" i="3"/>
  <c r="Z51" i="3"/>
  <c r="BU61" i="3"/>
  <c r="BL95" i="1"/>
  <c r="BL96" i="1" s="1"/>
  <c r="BL23" i="1"/>
  <c r="CP8" i="1"/>
  <c r="CV8" i="1" s="1"/>
  <c r="DB8" i="1" s="1"/>
  <c r="DH8" i="1" s="1"/>
  <c r="Y367" i="7"/>
  <c r="AB273" i="7"/>
  <c r="AB335" i="7" s="1"/>
  <c r="CB13" i="7"/>
  <c r="BU18" i="9"/>
  <c r="BV18" i="9" s="1"/>
  <c r="BW18" i="9" s="1"/>
  <c r="BX18" i="9" s="1"/>
  <c r="BY18" i="9" s="1"/>
  <c r="CA18" i="9" s="1"/>
  <c r="CB18" i="9" s="1"/>
  <c r="CC18" i="9" s="1"/>
  <c r="CD18" i="9" s="1"/>
  <c r="CE18" i="9" s="1"/>
  <c r="CE50" i="9" s="1"/>
  <c r="O38" i="9"/>
  <c r="W34" i="9"/>
  <c r="W38" i="9" s="1"/>
  <c r="AF66" i="9"/>
  <c r="BJ17" i="7"/>
  <c r="AF245" i="7"/>
  <c r="AF378" i="7" s="1"/>
  <c r="AT19" i="36"/>
  <c r="AR20" i="36"/>
  <c r="AB382" i="7"/>
  <c r="AK267" i="7"/>
  <c r="AK347" i="7" s="1"/>
  <c r="BU27" i="9"/>
  <c r="BV27" i="9" s="1"/>
  <c r="BW27" i="9" s="1"/>
  <c r="BX27" i="9" s="1"/>
  <c r="BY27" i="9" s="1"/>
  <c r="BY59" i="9" s="1"/>
  <c r="BU10" i="9"/>
  <c r="BV10" i="9" s="1"/>
  <c r="BW10" i="9" s="1"/>
  <c r="BX10" i="9" s="1"/>
  <c r="BY10" i="9" s="1"/>
  <c r="BY42" i="9" s="1"/>
  <c r="AG66" i="9"/>
  <c r="V276" i="7"/>
  <c r="V237" i="7" s="1"/>
  <c r="AB377" i="7"/>
  <c r="AR139" i="3"/>
  <c r="AR179" i="3"/>
  <c r="BQ169" i="3"/>
  <c r="AN101" i="1"/>
  <c r="AN100" i="1" s="1"/>
  <c r="AO100" i="1" s="1"/>
  <c r="AA115" i="1"/>
  <c r="AA179" i="3" s="1"/>
  <c r="Z179" i="3"/>
  <c r="AG115" i="1"/>
  <c r="AG179" i="3" s="1"/>
  <c r="CA63" i="1"/>
  <c r="AM115" i="1"/>
  <c r="AM139" i="3" s="1"/>
  <c r="AL179" i="3"/>
  <c r="CI190" i="3"/>
  <c r="AZ155" i="3"/>
  <c r="AZ157" i="3" s="1"/>
  <c r="BA50" i="3"/>
  <c r="BA51" i="3" s="1"/>
  <c r="BA185" i="3"/>
  <c r="BS50" i="3"/>
  <c r="BS185" i="3"/>
  <c r="AO62" i="3"/>
  <c r="AO192" i="3"/>
  <c r="BA192" i="3"/>
  <c r="AW50" i="3"/>
  <c r="AW51" i="3" s="1"/>
  <c r="AW185" i="3"/>
  <c r="AB50" i="3"/>
  <c r="AB185" i="3"/>
  <c r="AK50" i="3"/>
  <c r="AK51" i="3" s="1"/>
  <c r="AK185" i="3"/>
  <c r="AN50" i="3"/>
  <c r="AN185" i="3"/>
  <c r="AH50" i="3"/>
  <c r="AH185" i="3"/>
  <c r="AU154" i="3"/>
  <c r="AU187" i="3"/>
  <c r="AQ50" i="3"/>
  <c r="AQ51" i="3" s="1"/>
  <c r="AQ185" i="3"/>
  <c r="AM50" i="3"/>
  <c r="AM185" i="3"/>
  <c r="BG195" i="3"/>
  <c r="BD198" i="3"/>
  <c r="BD199" i="3"/>
  <c r="AZ198" i="3"/>
  <c r="AZ199" i="3"/>
  <c r="AT198" i="3"/>
  <c r="AT199" i="3"/>
  <c r="BE199" i="3"/>
  <c r="BE198" i="3"/>
  <c r="BM50" i="3"/>
  <c r="BM185" i="3"/>
  <c r="AC50" i="3"/>
  <c r="AC185" i="3"/>
  <c r="AO50" i="3"/>
  <c r="AO185" i="3"/>
  <c r="BY50" i="3"/>
  <c r="BY61" i="3" s="1"/>
  <c r="BY185" i="3"/>
  <c r="AC192" i="3"/>
  <c r="AU192" i="3"/>
  <c r="AU50" i="3"/>
  <c r="AU185" i="3"/>
  <c r="BA154" i="3"/>
  <c r="BA155" i="3" s="1"/>
  <c r="BA187" i="3"/>
  <c r="AC154" i="3"/>
  <c r="AC187" i="3"/>
  <c r="AY50" i="3"/>
  <c r="AY185" i="3"/>
  <c r="BS154" i="3"/>
  <c r="BS187" i="3"/>
  <c r="AI154" i="3"/>
  <c r="AI155" i="3" s="1"/>
  <c r="AI187" i="3"/>
  <c r="CI191" i="3"/>
  <c r="AE267" i="7"/>
  <c r="AE347" i="7" s="1"/>
  <c r="CT66" i="7"/>
  <c r="CT96" i="7" s="1"/>
  <c r="AT18" i="36"/>
  <c r="R74" i="36"/>
  <c r="Y42" i="8"/>
  <c r="AA42" i="8"/>
  <c r="AF21" i="1"/>
  <c r="BM119" i="3"/>
  <c r="AI13" i="4"/>
  <c r="AI21" i="1" s="1"/>
  <c r="AI95" i="1" s="1"/>
  <c r="AI96" i="1" s="1"/>
  <c r="CB107" i="3"/>
  <c r="CN30" i="8"/>
  <c r="EL12" i="8"/>
  <c r="AU7" i="36"/>
  <c r="EL10" i="8"/>
  <c r="BU29" i="9"/>
  <c r="BV29" i="9" s="1"/>
  <c r="BW29" i="9" s="1"/>
  <c r="BX29" i="9" s="1"/>
  <c r="BY29" i="9" s="1"/>
  <c r="BY61" i="9" s="1"/>
  <c r="CA15" i="9"/>
  <c r="CB15" i="9" s="1"/>
  <c r="CC15" i="9" s="1"/>
  <c r="CD15" i="9" s="1"/>
  <c r="CE15" i="9" s="1"/>
  <c r="CE47" i="9" s="1"/>
  <c r="CK23" i="3"/>
  <c r="AB66" i="9"/>
  <c r="BD66" i="9"/>
  <c r="BC64" i="9"/>
  <c r="BC68" i="9" s="1"/>
  <c r="BE66" i="9"/>
  <c r="U66" i="9"/>
  <c r="T66" i="9"/>
  <c r="T67" i="3"/>
  <c r="AT66" i="3"/>
  <c r="BJ120" i="3"/>
  <c r="AU51" i="3"/>
  <c r="AI49" i="3"/>
  <c r="AY51" i="3"/>
  <c r="AB61" i="3"/>
  <c r="BF51" i="3"/>
  <c r="AM51" i="3"/>
  <c r="BQ66" i="1"/>
  <c r="AX66" i="1"/>
  <c r="AO29" i="1"/>
  <c r="BP15" i="1"/>
  <c r="BP46" i="1"/>
  <c r="BV63" i="1"/>
  <c r="CA168" i="3"/>
  <c r="BY87" i="1"/>
  <c r="BP63" i="1"/>
  <c r="BP73" i="3"/>
  <c r="BP74" i="3" s="1"/>
  <c r="BY19" i="1"/>
  <c r="BY169" i="3" s="1"/>
  <c r="AR66" i="1"/>
  <c r="CD48" i="1"/>
  <c r="CA73" i="3"/>
  <c r="CA74" i="3" s="1"/>
  <c r="CE84" i="1"/>
  <c r="CE85" i="1" s="1"/>
  <c r="CA15" i="1"/>
  <c r="CA80" i="1" s="1"/>
  <c r="AY168" i="3"/>
  <c r="AY72" i="3"/>
  <c r="CG63" i="1"/>
  <c r="CA85" i="1"/>
  <c r="CA86" i="1" s="1"/>
  <c r="CA46" i="1"/>
  <c r="P74" i="36"/>
  <c r="AT52" i="8"/>
  <c r="N74" i="36"/>
  <c r="BR51" i="8"/>
  <c r="AC382" i="7"/>
  <c r="AY63" i="1"/>
  <c r="AE86" i="1"/>
  <c r="AY46" i="1"/>
  <c r="AY15" i="1"/>
  <c r="AY50" i="1" s="1"/>
  <c r="AY73" i="3"/>
  <c r="AY74" i="3" s="1"/>
  <c r="BE63" i="1"/>
  <c r="AL66" i="1"/>
  <c r="AF169" i="3"/>
  <c r="CP51" i="1"/>
  <c r="D82" i="36"/>
  <c r="CV49" i="1"/>
  <c r="AN82" i="36"/>
  <c r="BU16" i="9"/>
  <c r="BV16" i="9" s="1"/>
  <c r="BW16" i="9" s="1"/>
  <c r="BX16" i="9" s="1"/>
  <c r="BY16" i="9" s="1"/>
  <c r="CA16" i="9" s="1"/>
  <c r="CB16" i="9" s="1"/>
  <c r="CC16" i="9" s="1"/>
  <c r="CD16" i="9" s="1"/>
  <c r="CE16" i="9" s="1"/>
  <c r="T65" i="3"/>
  <c r="T66" i="3"/>
  <c r="AN68" i="3"/>
  <c r="W15" i="3"/>
  <c r="W20" i="3" s="1"/>
  <c r="AQ65" i="3"/>
  <c r="AI62" i="3"/>
  <c r="BQ157" i="3"/>
  <c r="AT67" i="3"/>
  <c r="M68" i="3"/>
  <c r="AN65" i="3"/>
  <c r="AQ31" i="3"/>
  <c r="Q66" i="3"/>
  <c r="BR157" i="3"/>
  <c r="Q31" i="3"/>
  <c r="Q44" i="3" s="1"/>
  <c r="Q37" i="9"/>
  <c r="T31" i="3"/>
  <c r="BM15" i="3"/>
  <c r="BM65" i="3" s="1"/>
  <c r="Q65" i="3"/>
  <c r="Q68" i="3"/>
  <c r="M37" i="9"/>
  <c r="AZ67" i="3"/>
  <c r="AZ20" i="3"/>
  <c r="AZ31" i="3"/>
  <c r="AT31" i="3"/>
  <c r="AN13" i="4"/>
  <c r="AO14" i="4"/>
  <c r="AB107" i="3"/>
  <c r="AB115" i="3" s="1"/>
  <c r="BC77" i="3"/>
  <c r="BU50" i="4"/>
  <c r="AM13" i="4"/>
  <c r="AM21" i="1" s="1"/>
  <c r="AM95" i="1" s="1"/>
  <c r="AM96" i="1" s="1"/>
  <c r="AM22" i="1"/>
  <c r="BU59" i="4"/>
  <c r="AM119" i="3"/>
  <c r="AM120" i="3" s="1"/>
  <c r="DE85" i="3"/>
  <c r="CP35" i="9"/>
  <c r="CE43" i="9"/>
  <c r="CG11" i="9"/>
  <c r="CH11" i="9" s="1"/>
  <c r="CI11" i="9" s="1"/>
  <c r="CJ11" i="9" s="1"/>
  <c r="CK11" i="9" s="1"/>
  <c r="CJ35" i="9"/>
  <c r="DA22" i="8"/>
  <c r="DB22" i="8"/>
  <c r="CY30" i="8"/>
  <c r="AU9" i="36"/>
  <c r="N21" i="36"/>
  <c r="AI75" i="9"/>
  <c r="AQ23" i="1"/>
  <c r="AO74" i="9"/>
  <c r="AO75" i="9" s="1"/>
  <c r="AF100" i="36"/>
  <c r="O100" i="36"/>
  <c r="J100" i="36"/>
  <c r="AA100" i="36"/>
  <c r="AP100" i="36"/>
  <c r="X100" i="36"/>
  <c r="AM100" i="36"/>
  <c r="AJ100" i="36"/>
  <c r="S100" i="36"/>
  <c r="P100" i="36"/>
  <c r="V100" i="36"/>
  <c r="AP101" i="36"/>
  <c r="AL101" i="36"/>
  <c r="CD47" i="1"/>
  <c r="CD12" i="1"/>
  <c r="CE173" i="3"/>
  <c r="CE167" i="3"/>
  <c r="CE146" i="7"/>
  <c r="AL100" i="36"/>
  <c r="W100" i="36"/>
  <c r="CE14" i="1"/>
  <c r="CE48" i="1" s="1"/>
  <c r="CD9" i="1"/>
  <c r="CD105" i="7"/>
  <c r="AE100" i="36"/>
  <c r="CE13" i="1"/>
  <c r="CE47" i="1" s="1"/>
  <c r="Z100" i="36"/>
  <c r="AX95" i="1"/>
  <c r="AX96" i="1" s="1"/>
  <c r="CO119" i="3"/>
  <c r="CO14" i="4" s="1"/>
  <c r="CO22" i="1" s="1"/>
  <c r="M67" i="3"/>
  <c r="AU73" i="9"/>
  <c r="BG15" i="3"/>
  <c r="BG20" i="3" s="1"/>
  <c r="AQ73" i="9"/>
  <c r="AQ75" i="9" s="1"/>
  <c r="BG50" i="3"/>
  <c r="M66" i="3"/>
  <c r="AR157" i="3"/>
  <c r="AS158" i="3" s="1"/>
  <c r="Q45" i="3"/>
  <c r="G68" i="3"/>
  <c r="AK31" i="3"/>
  <c r="BJ157" i="3"/>
  <c r="BK158" i="3" s="1"/>
  <c r="AB65" i="3"/>
  <c r="V67" i="3"/>
  <c r="CB157" i="3"/>
  <c r="CC158" i="3" s="1"/>
  <c r="AQ61" i="3"/>
  <c r="BM149" i="3"/>
  <c r="AC20" i="3"/>
  <c r="U157" i="3"/>
  <c r="AI145" i="3"/>
  <c r="AT68" i="3"/>
  <c r="S157" i="3"/>
  <c r="AH157" i="3"/>
  <c r="BI157" i="3"/>
  <c r="BJ158" i="3" s="1"/>
  <c r="V68" i="3"/>
  <c r="BM31" i="3"/>
  <c r="W27" i="3"/>
  <c r="W67" i="3" s="1"/>
  <c r="AT155" i="3"/>
  <c r="AT157" i="3" s="1"/>
  <c r="AB31" i="3"/>
  <c r="AB44" i="3" s="1"/>
  <c r="AB45" i="3" s="1"/>
  <c r="AB68" i="3"/>
  <c r="V65" i="3"/>
  <c r="I45" i="3"/>
  <c r="AY157" i="3"/>
  <c r="BL31" i="3"/>
  <c r="BS27" i="3"/>
  <c r="BS31" i="3" s="1"/>
  <c r="AB67" i="3"/>
  <c r="BM67" i="3"/>
  <c r="W155" i="3"/>
  <c r="BS155" i="3"/>
  <c r="AZ44" i="3"/>
  <c r="CV119" i="3"/>
  <c r="CV14" i="4" s="1"/>
  <c r="AB51" i="3"/>
  <c r="AA20" i="3"/>
  <c r="AL157" i="3"/>
  <c r="AM158" i="3" s="1"/>
  <c r="AY67" i="3"/>
  <c r="AU15" i="3"/>
  <c r="AW157" i="3"/>
  <c r="AX158" i="3" s="1"/>
  <c r="AS157" i="3"/>
  <c r="M45" i="3"/>
  <c r="S68" i="3"/>
  <c r="AY66" i="3"/>
  <c r="AK157" i="3"/>
  <c r="AY68" i="3"/>
  <c r="AY65" i="3"/>
  <c r="S65" i="3"/>
  <c r="AY31" i="3"/>
  <c r="Z157" i="3"/>
  <c r="AA158" i="3" s="1"/>
  <c r="AO27" i="3"/>
  <c r="AO67" i="3" s="1"/>
  <c r="V51" i="3"/>
  <c r="AK66" i="3"/>
  <c r="O31" i="3"/>
  <c r="O44" i="3" s="1"/>
  <c r="O45" i="3" s="1"/>
  <c r="O66" i="3"/>
  <c r="AH66" i="3"/>
  <c r="AH31" i="3"/>
  <c r="AH67" i="3"/>
  <c r="O65" i="3"/>
  <c r="AW65" i="3"/>
  <c r="AZ68" i="3"/>
  <c r="AZ65" i="3"/>
  <c r="AK65" i="3"/>
  <c r="AW68" i="3"/>
  <c r="AH68" i="3"/>
  <c r="AK67" i="3"/>
  <c r="AQ67" i="3"/>
  <c r="AN31" i="3"/>
  <c r="G66" i="3"/>
  <c r="G31" i="3"/>
  <c r="G44" i="3" s="1"/>
  <c r="G45" i="3" s="1"/>
  <c r="BL68" i="3"/>
  <c r="Y68" i="3"/>
  <c r="AU155" i="3"/>
  <c r="BG149" i="3"/>
  <c r="BG157" i="3" s="1"/>
  <c r="BL65" i="3"/>
  <c r="BL66" i="3"/>
  <c r="AT65" i="3"/>
  <c r="E157" i="3"/>
  <c r="G158" i="3" s="1"/>
  <c r="Q157" i="3"/>
  <c r="S158" i="3" s="1"/>
  <c r="G67" i="3"/>
  <c r="AQ66" i="3"/>
  <c r="AN66" i="3"/>
  <c r="V157" i="3"/>
  <c r="W149" i="3"/>
  <c r="W157" i="3" s="1"/>
  <c r="Y158" i="3" s="1"/>
  <c r="U66" i="3"/>
  <c r="U31" i="3"/>
  <c r="U65" i="3"/>
  <c r="U67" i="3"/>
  <c r="AN61" i="3"/>
  <c r="AN51" i="3"/>
  <c r="U68" i="3"/>
  <c r="E88" i="3"/>
  <c r="C95" i="3"/>
  <c r="AA67" i="3"/>
  <c r="AA66" i="3"/>
  <c r="AA157" i="3"/>
  <c r="Y157" i="3"/>
  <c r="Q115" i="3"/>
  <c r="Q114" i="3"/>
  <c r="AG157" i="3"/>
  <c r="W75" i="9"/>
  <c r="BE44" i="3"/>
  <c r="BE45" i="3" s="1"/>
  <c r="C157" i="3"/>
  <c r="E158" i="3" s="1"/>
  <c r="BA15" i="3"/>
  <c r="AC155" i="3"/>
  <c r="K126" i="3"/>
  <c r="W62" i="3"/>
  <c r="AB157" i="3"/>
  <c r="T157" i="3"/>
  <c r="U158" i="3" s="1"/>
  <c r="AN157" i="3"/>
  <c r="AA68" i="3"/>
  <c r="AW66" i="3"/>
  <c r="AW31" i="3"/>
  <c r="Y65" i="3"/>
  <c r="Y20" i="3"/>
  <c r="AX157" i="3"/>
  <c r="AY158" i="3" s="1"/>
  <c r="BY149" i="3"/>
  <c r="BY157" i="3" s="1"/>
  <c r="CA158" i="3" s="1"/>
  <c r="O68" i="3"/>
  <c r="V66" i="3"/>
  <c r="AA31" i="3"/>
  <c r="BX157" i="3"/>
  <c r="BP157" i="3"/>
  <c r="BQ158" i="3" s="1"/>
  <c r="E45" i="3"/>
  <c r="AA65" i="3"/>
  <c r="C65" i="3"/>
  <c r="C20" i="3"/>
  <c r="C31" i="3" s="1"/>
  <c r="C44" i="3" s="1"/>
  <c r="C45" i="3" s="1"/>
  <c r="Q108" i="3"/>
  <c r="CB120" i="3"/>
  <c r="O109" i="3"/>
  <c r="AC101" i="1"/>
  <c r="BA87" i="1"/>
  <c r="BU10" i="7"/>
  <c r="AR125" i="7"/>
  <c r="BW131" i="7"/>
  <c r="CB131" i="7"/>
  <c r="L21" i="36"/>
  <c r="K20" i="36"/>
  <c r="AH21" i="36"/>
  <c r="AD16" i="36"/>
  <c r="P16" i="36"/>
  <c r="M16" i="36"/>
  <c r="AL125" i="7"/>
  <c r="BJ10" i="7"/>
  <c r="BQ131" i="7"/>
  <c r="AC272" i="7"/>
  <c r="AC276" i="7" s="1"/>
  <c r="AC282" i="7"/>
  <c r="AC283" i="7" s="1"/>
  <c r="AC338" i="7" s="1"/>
  <c r="CT20" i="8"/>
  <c r="BJ131" i="7"/>
  <c r="AM16" i="36"/>
  <c r="BQ125" i="7"/>
  <c r="AB41" i="4"/>
  <c r="AC41" i="4" s="1"/>
  <c r="O115" i="3"/>
  <c r="K95" i="1"/>
  <c r="K96" i="1" s="1"/>
  <c r="CC80" i="4"/>
  <c r="BU78" i="3"/>
  <c r="AQ95" i="1"/>
  <c r="AQ96" i="1" s="1"/>
  <c r="CH66" i="7"/>
  <c r="CH96" i="7" s="1"/>
  <c r="N75" i="36"/>
  <c r="BJ74" i="3"/>
  <c r="BY102" i="7"/>
  <c r="CE103" i="7" s="1"/>
  <c r="BS101" i="1"/>
  <c r="BU24" i="9"/>
  <c r="BV24" i="9" s="1"/>
  <c r="BW24" i="9" s="1"/>
  <c r="BX24" i="9" s="1"/>
  <c r="BY24" i="9" s="1"/>
  <c r="BY56" i="9" s="1"/>
  <c r="V66" i="9"/>
  <c r="V38" i="9"/>
  <c r="AE64" i="9"/>
  <c r="AE68" i="9" s="1"/>
  <c r="AK64" i="9"/>
  <c r="AK68" i="9" s="1"/>
  <c r="I157" i="3"/>
  <c r="K158" i="3" s="1"/>
  <c r="AC62" i="3"/>
  <c r="AO149" i="3"/>
  <c r="AO157" i="3" s="1"/>
  <c r="AQ158" i="3" s="1"/>
  <c r="BD44" i="3"/>
  <c r="BD45" i="3" s="1"/>
  <c r="BW158" i="3"/>
  <c r="BY20" i="3"/>
  <c r="BO157" i="3"/>
  <c r="BP158" i="3" s="1"/>
  <c r="BA62" i="3"/>
  <c r="W61" i="3"/>
  <c r="AF157" i="3"/>
  <c r="AG158" i="3" s="1"/>
  <c r="BL157" i="3"/>
  <c r="AU149" i="3"/>
  <c r="V74" i="36"/>
  <c r="Z74" i="36"/>
  <c r="BP13" i="7"/>
  <c r="O74" i="36"/>
  <c r="P75" i="36"/>
  <c r="AA74" i="36"/>
  <c r="W74" i="36"/>
  <c r="Z75" i="36"/>
  <c r="V75" i="36"/>
  <c r="AH380" i="7"/>
  <c r="J21" i="36"/>
  <c r="AJ21" i="36"/>
  <c r="AF16" i="36"/>
  <c r="AB20" i="36"/>
  <c r="AA16" i="36"/>
  <c r="N16" i="36"/>
  <c r="AQ9" i="36"/>
  <c r="W75" i="36"/>
  <c r="AA75" i="36"/>
  <c r="O75" i="36"/>
  <c r="S75" i="36"/>
  <c r="R75" i="36"/>
  <c r="S74" i="36"/>
  <c r="T74" i="36"/>
  <c r="AN126" i="7"/>
  <c r="AH382" i="7"/>
  <c r="AI252" i="7"/>
  <c r="AI256" i="7" s="1"/>
  <c r="X74" i="36"/>
  <c r="X86" i="36" s="1"/>
  <c r="AB74" i="36"/>
  <c r="AB75" i="36"/>
  <c r="X75" i="36"/>
  <c r="CB17" i="7"/>
  <c r="T75" i="36"/>
  <c r="T87" i="36" s="1"/>
  <c r="AH253" i="7"/>
  <c r="AH345" i="7" s="1"/>
  <c r="AQ10" i="7"/>
  <c r="R21" i="36"/>
  <c r="BU23" i="1"/>
  <c r="BU95" i="1"/>
  <c r="BU96" i="1" s="1"/>
  <c r="AM157" i="3"/>
  <c r="BK157" i="3"/>
  <c r="BA31" i="3"/>
  <c r="M157" i="3"/>
  <c r="O158" i="3" s="1"/>
  <c r="AU62" i="3"/>
  <c r="BA67" i="3"/>
  <c r="BA75" i="9"/>
  <c r="AQ157" i="3"/>
  <c r="K157" i="3"/>
  <c r="AE77" i="3"/>
  <c r="M59" i="4"/>
  <c r="M60" i="4" s="1"/>
  <c r="V29" i="4"/>
  <c r="V125" i="3" s="1"/>
  <c r="V126" i="3" s="1"/>
  <c r="BG87" i="1"/>
  <c r="BF102" i="7"/>
  <c r="BG102" i="7" s="1"/>
  <c r="BP86" i="1"/>
  <c r="BM100" i="1"/>
  <c r="AS115" i="1"/>
  <c r="BM101" i="1"/>
  <c r="AC100" i="1"/>
  <c r="U64" i="36"/>
  <c r="V65" i="36" s="1"/>
  <c r="V33" i="36" s="1"/>
  <c r="AL20" i="36"/>
  <c r="Y21" i="36"/>
  <c r="S20" i="36"/>
  <c r="X16" i="36"/>
  <c r="V20" i="36"/>
  <c r="S21" i="36"/>
  <c r="Q21" i="36"/>
  <c r="AT20" i="36"/>
  <c r="AN41" i="4"/>
  <c r="CC171" i="3"/>
  <c r="CC173" i="3"/>
  <c r="BX125" i="3"/>
  <c r="BX126" i="3" s="1"/>
  <c r="G60" i="4"/>
  <c r="G80" i="3" s="1"/>
  <c r="AB121" i="3"/>
  <c r="AU87" i="1"/>
  <c r="BK86" i="1"/>
  <c r="BM65" i="1"/>
  <c r="AN72" i="3"/>
  <c r="AC74" i="4"/>
  <c r="BV50" i="4"/>
  <c r="Z139" i="3"/>
  <c r="BF169" i="3"/>
  <c r="AH169" i="3"/>
  <c r="AV82" i="36"/>
  <c r="AV76" i="36" s="1"/>
  <c r="BS100" i="1"/>
  <c r="AU19" i="1"/>
  <c r="BM19" i="1"/>
  <c r="AT73" i="3"/>
  <c r="AC19" i="1"/>
  <c r="BY105" i="1"/>
  <c r="BA78" i="1"/>
  <c r="CE105" i="1"/>
  <c r="CE33" i="1" s="1"/>
  <c r="AL139" i="3"/>
  <c r="CN28" i="8"/>
  <c r="CT21" i="8"/>
  <c r="AU8" i="36"/>
  <c r="AU19" i="36" s="1"/>
  <c r="BQ74" i="3"/>
  <c r="AP18" i="36"/>
  <c r="AP17" i="36"/>
  <c r="AQ19" i="36"/>
  <c r="AC101" i="36"/>
  <c r="M101" i="36"/>
  <c r="AG100" i="36"/>
  <c r="U101" i="36"/>
  <c r="AI64" i="36"/>
  <c r="AJ65" i="36" s="1"/>
  <c r="AJ33" i="36" s="1"/>
  <c r="O20" i="36"/>
  <c r="U21" i="36"/>
  <c r="O21" i="36"/>
  <c r="W16" i="36"/>
  <c r="U100" i="36"/>
  <c r="T16" i="36"/>
  <c r="S16" i="36"/>
  <c r="Q101" i="36"/>
  <c r="AG101" i="36"/>
  <c r="Y101" i="36"/>
  <c r="AK101" i="36"/>
  <c r="AO101" i="36"/>
  <c r="Q100" i="36"/>
  <c r="Y100" i="36"/>
  <c r="V15" i="1"/>
  <c r="V80" i="1" s="1"/>
  <c r="AK100" i="36"/>
  <c r="AO100" i="36"/>
  <c r="W65" i="36"/>
  <c r="W33" i="36" s="1"/>
  <c r="O56" i="36"/>
  <c r="O57" i="36" s="1"/>
  <c r="O29" i="36" s="1"/>
  <c r="AH106" i="36"/>
  <c r="BS19" i="1"/>
  <c r="F52" i="36"/>
  <c r="F105" i="36" s="1"/>
  <c r="B43" i="36"/>
  <c r="AG46" i="8"/>
  <c r="H52" i="36"/>
  <c r="H105" i="36" s="1"/>
  <c r="D43" i="36"/>
  <c r="AA64" i="36"/>
  <c r="AB65" i="36" s="1"/>
  <c r="AB33" i="36" s="1"/>
  <c r="Z64" i="36"/>
  <c r="T57" i="36"/>
  <c r="T29" i="36" s="1"/>
  <c r="N57" i="36"/>
  <c r="N29" i="36" s="1"/>
  <c r="AG56" i="36"/>
  <c r="S43" i="36"/>
  <c r="W52" i="36"/>
  <c r="W105" i="36" s="1"/>
  <c r="L43" i="36"/>
  <c r="P52" i="36"/>
  <c r="P105" i="36" s="1"/>
  <c r="AH43" i="36"/>
  <c r="T43" i="36"/>
  <c r="X52" i="36"/>
  <c r="X105" i="36" s="1"/>
  <c r="N43" i="36"/>
  <c r="R52" i="36"/>
  <c r="R105" i="36" s="1"/>
  <c r="G43" i="36"/>
  <c r="K52" i="36"/>
  <c r="K105" i="36" s="1"/>
  <c r="AE43" i="36"/>
  <c r="AI52" i="36"/>
  <c r="F42" i="36"/>
  <c r="J51" i="36"/>
  <c r="N64" i="36" s="1"/>
  <c r="H43" i="36"/>
  <c r="L52" i="36"/>
  <c r="J43" i="36"/>
  <c r="N52" i="36"/>
  <c r="N105" i="36" s="1"/>
  <c r="R43" i="36"/>
  <c r="V52" i="36"/>
  <c r="V105" i="36" s="1"/>
  <c r="AF43" i="36"/>
  <c r="AJ52" i="36"/>
  <c r="AH66" i="36"/>
  <c r="AI56" i="36"/>
  <c r="AD56" i="36"/>
  <c r="AE57" i="36" s="1"/>
  <c r="AE29" i="36" s="1"/>
  <c r="AF56" i="36"/>
  <c r="AE65" i="36"/>
  <c r="AE33" i="36" s="1"/>
  <c r="AN57" i="36"/>
  <c r="AN29" i="36" s="1"/>
  <c r="P65" i="36"/>
  <c r="P33" i="36" s="1"/>
  <c r="AB56" i="36"/>
  <c r="AB57" i="36" s="1"/>
  <c r="AB29" i="36" s="1"/>
  <c r="AA57" i="36"/>
  <c r="AA29" i="36" s="1"/>
  <c r="X57" i="36"/>
  <c r="X29" i="36" s="1"/>
  <c r="V56" i="36"/>
  <c r="W57" i="36" s="1"/>
  <c r="W29" i="36" s="1"/>
  <c r="S57" i="36"/>
  <c r="S29" i="36" s="1"/>
  <c r="P56" i="36"/>
  <c r="AG42" i="36"/>
  <c r="AK51" i="36"/>
  <c r="AK64" i="36" s="1"/>
  <c r="AL65" i="36" s="1"/>
  <c r="AL33" i="36" s="1"/>
  <c r="V43" i="36"/>
  <c r="Z52" i="36"/>
  <c r="M38" i="36"/>
  <c r="Q47" i="36"/>
  <c r="P43" i="36"/>
  <c r="T52" i="36"/>
  <c r="T105" i="36" s="1"/>
  <c r="AK56" i="36"/>
  <c r="X43" i="36"/>
  <c r="AB52" i="36"/>
  <c r="AB105" i="36" s="1"/>
  <c r="AS64" i="36"/>
  <c r="AT65" i="36" s="1"/>
  <c r="U38" i="36"/>
  <c r="Y47" i="36"/>
  <c r="W43" i="36"/>
  <c r="AA52" i="36"/>
  <c r="Q38" i="36"/>
  <c r="U47" i="36"/>
  <c r="AA43" i="36"/>
  <c r="AE52" i="36"/>
  <c r="AI43" i="36"/>
  <c r="O43" i="36"/>
  <c r="S52" i="36"/>
  <c r="Y42" i="36"/>
  <c r="AC51" i="36"/>
  <c r="AL56" i="36"/>
  <c r="AM57" i="36" s="1"/>
  <c r="X64" i="36"/>
  <c r="AH56" i="36"/>
  <c r="AJ56" i="36"/>
  <c r="AF64" i="36"/>
  <c r="AF65" i="36" s="1"/>
  <c r="AF33" i="36" s="1"/>
  <c r="AP64" i="36"/>
  <c r="S64" i="36"/>
  <c r="T65" i="36" s="1"/>
  <c r="T33" i="36" s="1"/>
  <c r="CD66" i="7"/>
  <c r="CD67" i="7" s="1"/>
  <c r="AK42" i="36"/>
  <c r="BM65" i="7"/>
  <c r="BM129" i="7" s="1"/>
  <c r="AC42" i="36"/>
  <c r="AT118" i="7"/>
  <c r="Q81" i="36" s="1"/>
  <c r="Q42" i="36"/>
  <c r="M42" i="36"/>
  <c r="AZ118" i="7"/>
  <c r="U81" i="36" s="1"/>
  <c r="U75" i="36" s="1"/>
  <c r="U42" i="36"/>
  <c r="AL43" i="36"/>
  <c r="AM43" i="36"/>
  <c r="K43" i="36"/>
  <c r="BS53" i="7"/>
  <c r="BS114" i="7" s="1"/>
  <c r="BR114" i="7" s="1"/>
  <c r="BR115" i="7" s="1"/>
  <c r="AG80" i="36" s="1"/>
  <c r="AG38" i="36"/>
  <c r="AJ43" i="36"/>
  <c r="AB43" i="36"/>
  <c r="AE123" i="7"/>
  <c r="AK125" i="7" s="1"/>
  <c r="F38" i="36"/>
  <c r="BL9" i="7"/>
  <c r="AC38" i="36"/>
  <c r="BG53" i="7"/>
  <c r="BM56" i="7" s="1"/>
  <c r="BL56" i="7" s="1"/>
  <c r="Y38" i="36"/>
  <c r="Z43" i="36"/>
  <c r="AD43" i="36"/>
  <c r="AX86" i="7"/>
  <c r="AM73" i="7"/>
  <c r="AY81" i="7"/>
  <c r="AQ81" i="7"/>
  <c r="AF91" i="7"/>
  <c r="BJ85" i="7"/>
  <c r="BV85" i="7"/>
  <c r="AR91" i="7"/>
  <c r="AG86" i="7"/>
  <c r="AK81" i="7"/>
  <c r="AB283" i="7"/>
  <c r="AB338" i="7" s="1"/>
  <c r="BC85" i="7"/>
  <c r="AS81" i="7"/>
  <c r="BE81" i="7"/>
  <c r="AG267" i="7"/>
  <c r="AG246" i="7" s="1"/>
  <c r="AH134" i="7"/>
  <c r="BU85" i="7"/>
  <c r="BD86" i="7"/>
  <c r="BP85" i="7"/>
  <c r="AG248" i="7"/>
  <c r="AG306" i="7" s="1"/>
  <c r="AG328" i="7" s="1"/>
  <c r="AZ129" i="7"/>
  <c r="AI134" i="7"/>
  <c r="BC78" i="7"/>
  <c r="CS34" i="8"/>
  <c r="BY64" i="7"/>
  <c r="BY98" i="7" s="1"/>
  <c r="BQ91" i="7"/>
  <c r="AC21" i="36"/>
  <c r="K21" i="36"/>
  <c r="J20" i="36"/>
  <c r="AK21" i="36"/>
  <c r="AI21" i="36"/>
  <c r="AG16" i="36"/>
  <c r="AE16" i="36"/>
  <c r="AB21" i="36"/>
  <c r="AB16" i="36"/>
  <c r="Z16" i="36"/>
  <c r="L16" i="36"/>
  <c r="J16" i="36"/>
  <c r="AL16" i="36"/>
  <c r="T20" i="36"/>
  <c r="AF20" i="36"/>
  <c r="Y16" i="36"/>
  <c r="W21" i="36"/>
  <c r="P21" i="36"/>
  <c r="AG20" i="36"/>
  <c r="Z20" i="36"/>
  <c r="K16" i="36"/>
  <c r="V21" i="36"/>
  <c r="N20" i="36"/>
  <c r="AK16" i="36"/>
  <c r="Q16" i="36"/>
  <c r="W20" i="36"/>
  <c r="U20" i="36"/>
  <c r="AE20" i="36"/>
  <c r="R16" i="36"/>
  <c r="AS17" i="36"/>
  <c r="AP20" i="36"/>
  <c r="AQ17" i="36"/>
  <c r="CI20" i="8"/>
  <c r="EI21" i="8" s="1"/>
  <c r="AR7" i="36"/>
  <c r="CH20" i="8"/>
  <c r="EH21" i="8" s="1"/>
  <c r="AQ7" i="36"/>
  <c r="EI11" i="8"/>
  <c r="AR8" i="36"/>
  <c r="BA19" i="1"/>
  <c r="BA169" i="3" s="1"/>
  <c r="AW74" i="3"/>
  <c r="BY65" i="1"/>
  <c r="BY64" i="1"/>
  <c r="BS64" i="1"/>
  <c r="V73" i="3"/>
  <c r="BS65" i="1"/>
  <c r="BG65" i="1"/>
  <c r="AI64" i="1"/>
  <c r="BA65" i="1"/>
  <c r="BF9" i="1"/>
  <c r="BK74" i="3"/>
  <c r="AN168" i="3"/>
  <c r="AC87" i="1"/>
  <c r="BS87" i="1"/>
  <c r="G109" i="7"/>
  <c r="BX86" i="1"/>
  <c r="BX51" i="1"/>
  <c r="BX66" i="1"/>
  <c r="AO168" i="3"/>
  <c r="BX79" i="1"/>
  <c r="BX15" i="1"/>
  <c r="BX80" i="1" s="1"/>
  <c r="CB87" i="1"/>
  <c r="AU74" i="9"/>
  <c r="AI101" i="1"/>
  <c r="BM46" i="9"/>
  <c r="BM64" i="9" s="1"/>
  <c r="BO46" i="9"/>
  <c r="BO64" i="9" s="1"/>
  <c r="BA149" i="3"/>
  <c r="AC149" i="3"/>
  <c r="BY43" i="9"/>
  <c r="CA131" i="7"/>
  <c r="BO131" i="7"/>
  <c r="BX126" i="7"/>
  <c r="CD126" i="7"/>
  <c r="AA299" i="7"/>
  <c r="AA341" i="7" s="1"/>
  <c r="BQ88" i="7"/>
  <c r="U306" i="7"/>
  <c r="U322" i="7" s="1"/>
  <c r="AT150" i="7"/>
  <c r="AS150" i="7" s="1"/>
  <c r="AS143" i="7" s="1"/>
  <c r="CA13" i="7"/>
  <c r="AQ17" i="7"/>
  <c r="CD123" i="7"/>
  <c r="BQ109" i="7"/>
  <c r="Z109" i="7"/>
  <c r="CS36" i="7"/>
  <c r="CS34" i="7" s="1"/>
  <c r="BV152" i="7"/>
  <c r="AM109" i="7"/>
  <c r="CI21" i="8"/>
  <c r="EI22" i="8" s="1"/>
  <c r="AU86" i="4"/>
  <c r="BM80" i="4"/>
  <c r="BD121" i="3"/>
  <c r="AT33" i="1"/>
  <c r="AG74" i="3"/>
  <c r="CA93" i="1"/>
  <c r="CA94" i="1" s="1"/>
  <c r="BX94" i="1"/>
  <c r="BX71" i="3"/>
  <c r="BX57" i="1"/>
  <c r="BX52" i="1"/>
  <c r="AZ73" i="3"/>
  <c r="BX145" i="7"/>
  <c r="BX152" i="7" s="1"/>
  <c r="BX84" i="3"/>
  <c r="AI65" i="1"/>
  <c r="AE79" i="3"/>
  <c r="AE60" i="4"/>
  <c r="AE61" i="4" s="1"/>
  <c r="G49" i="1"/>
  <c r="BV23" i="1"/>
  <c r="M50" i="4"/>
  <c r="M77" i="3" s="1"/>
  <c r="BM20" i="4"/>
  <c r="CD47" i="4"/>
  <c r="AF23" i="1"/>
  <c r="BV107" i="3"/>
  <c r="O114" i="3"/>
  <c r="AG26" i="4"/>
  <c r="AG59" i="4" s="1"/>
  <c r="AY121" i="3"/>
  <c r="BS86" i="4"/>
  <c r="AR26" i="4"/>
  <c r="AM125" i="3"/>
  <c r="AM126" i="3" s="1"/>
  <c r="AF95" i="1"/>
  <c r="AF96" i="1" s="1"/>
  <c r="BC78" i="3"/>
  <c r="BX14" i="4"/>
  <c r="BW119" i="3"/>
  <c r="BX46" i="1"/>
  <c r="V168" i="3"/>
  <c r="BX168" i="3"/>
  <c r="BX73" i="3"/>
  <c r="C74" i="3"/>
  <c r="BD74" i="3"/>
  <c r="BU74" i="3"/>
  <c r="BX72" i="3"/>
  <c r="BY12" i="1"/>
  <c r="AI9" i="1"/>
  <c r="W9" i="1"/>
  <c r="W85" i="3" s="1"/>
  <c r="E74" i="3"/>
  <c r="AM49" i="1"/>
  <c r="AH107" i="1"/>
  <c r="AI100" i="1"/>
  <c r="BM105" i="1"/>
  <c r="BM33" i="1" s="1"/>
  <c r="G20" i="1"/>
  <c r="G383" i="7" s="1"/>
  <c r="AL158" i="3"/>
  <c r="AK74" i="3"/>
  <c r="O80" i="1"/>
  <c r="BQ49" i="1"/>
  <c r="BG64" i="1"/>
  <c r="AT168" i="3"/>
  <c r="AX152" i="7"/>
  <c r="W72" i="3"/>
  <c r="BA64" i="1"/>
  <c r="BK80" i="1"/>
  <c r="BD159" i="7"/>
  <c r="I109" i="7"/>
  <c r="W63" i="1"/>
  <c r="AT72" i="3"/>
  <c r="AC96" i="1"/>
  <c r="AT63" i="1"/>
  <c r="AZ63" i="1"/>
  <c r="W73" i="3"/>
  <c r="AQ109" i="7"/>
  <c r="S74" i="3"/>
  <c r="E80" i="1"/>
  <c r="V52" i="1"/>
  <c r="E20" i="1"/>
  <c r="E53" i="1" s="1"/>
  <c r="CB50" i="1"/>
  <c r="BQ20" i="1"/>
  <c r="BQ60" i="3" s="1"/>
  <c r="S20" i="1"/>
  <c r="S383" i="7" s="1"/>
  <c r="G50" i="1"/>
  <c r="BO109" i="7"/>
  <c r="S80" i="1"/>
  <c r="V46" i="1"/>
  <c r="BS9" i="1"/>
  <c r="BS79" i="1" s="1"/>
  <c r="AI47" i="1"/>
  <c r="AO72" i="3"/>
  <c r="BL101" i="3"/>
  <c r="AI19" i="1"/>
  <c r="BG19" i="1"/>
  <c r="W87" i="1"/>
  <c r="BW33" i="1"/>
  <c r="AA74" i="3"/>
  <c r="BE74" i="3"/>
  <c r="AE74" i="3"/>
  <c r="BM12" i="1"/>
  <c r="Q74" i="3"/>
  <c r="BA166" i="3"/>
  <c r="S315" i="7"/>
  <c r="S324" i="7"/>
  <c r="S322" i="7"/>
  <c r="CD71" i="4"/>
  <c r="CE71" i="4" s="1"/>
  <c r="CT14" i="4"/>
  <c r="CT22" i="1" s="1"/>
  <c r="BL169" i="3"/>
  <c r="BC74" i="3"/>
  <c r="BM47" i="1"/>
  <c r="AC64" i="1"/>
  <c r="AM20" i="1"/>
  <c r="BV74" i="3"/>
  <c r="AO87" i="1"/>
  <c r="BL15" i="1"/>
  <c r="BL80" i="1" s="1"/>
  <c r="E109" i="7"/>
  <c r="BQ152" i="7"/>
  <c r="BL168" i="3"/>
  <c r="AM135" i="7"/>
  <c r="BD158" i="3"/>
  <c r="AN71" i="3"/>
  <c r="BR66" i="1"/>
  <c r="U74" i="3"/>
  <c r="BL66" i="1"/>
  <c r="AA80" i="1"/>
  <c r="BG48" i="1"/>
  <c r="BL73" i="3"/>
  <c r="BL72" i="3"/>
  <c r="AO65" i="1"/>
  <c r="AU65" i="1"/>
  <c r="CB49" i="1"/>
  <c r="M109" i="7"/>
  <c r="CC86" i="1"/>
  <c r="Z248" i="7"/>
  <c r="Z331" i="7" s="1"/>
  <c r="BW125" i="7"/>
  <c r="BO67" i="7"/>
  <c r="BO69" i="7" s="1"/>
  <c r="BR52" i="8"/>
  <c r="CT36" i="7"/>
  <c r="CT34" i="7" s="1"/>
  <c r="CD48" i="8"/>
  <c r="BI46" i="8"/>
  <c r="AK54" i="7"/>
  <c r="AK93" i="7" s="1"/>
  <c r="AH15" i="7"/>
  <c r="BK13" i="7"/>
  <c r="BU67" i="7"/>
  <c r="BU69" i="7" s="1"/>
  <c r="BU131" i="7"/>
  <c r="CD51" i="8"/>
  <c r="O109" i="7"/>
  <c r="CD125" i="3"/>
  <c r="CD126" i="3" s="1"/>
  <c r="CD33" i="4"/>
  <c r="CD120" i="3"/>
  <c r="CD121" i="3"/>
  <c r="CD80" i="4"/>
  <c r="CE70" i="4"/>
  <c r="CD17" i="4"/>
  <c r="BU157" i="3"/>
  <c r="BV158" i="3" s="1"/>
  <c r="AC66" i="3"/>
  <c r="AO20" i="3"/>
  <c r="T74" i="3"/>
  <c r="T158" i="3"/>
  <c r="AX74" i="3"/>
  <c r="G157" i="3"/>
  <c r="I158" i="3" s="1"/>
  <c r="CT22" i="8"/>
  <c r="Q354" i="7"/>
  <c r="CA17" i="7"/>
  <c r="BD135" i="7"/>
  <c r="AO48" i="1"/>
  <c r="AO9" i="1"/>
  <c r="G74" i="3"/>
  <c r="BM108" i="7"/>
  <c r="CV51" i="1"/>
  <c r="CV52" i="1"/>
  <c r="AE23" i="1"/>
  <c r="BM47" i="4"/>
  <c r="AI36" i="9"/>
  <c r="AI37" i="9" s="1"/>
  <c r="BR122" i="1"/>
  <c r="BY105" i="7"/>
  <c r="BP109" i="7"/>
  <c r="BX122" i="1"/>
  <c r="CA152" i="7"/>
  <c r="CA159" i="7"/>
  <c r="CA142" i="7"/>
  <c r="CA141" i="7"/>
  <c r="CA144" i="7"/>
  <c r="CA143" i="7"/>
  <c r="BU152" i="7"/>
  <c r="BW159" i="7"/>
  <c r="BW152" i="7"/>
  <c r="CC159" i="7"/>
  <c r="BA33" i="1"/>
  <c r="CB152" i="7"/>
  <c r="CB159" i="7"/>
  <c r="CB142" i="7"/>
  <c r="CB144" i="7"/>
  <c r="CB143" i="7"/>
  <c r="CB141" i="7"/>
  <c r="BV159" i="7"/>
  <c r="CE50" i="7"/>
  <c r="CE94" i="7" s="1"/>
  <c r="CE64" i="7"/>
  <c r="CE98" i="7" s="1"/>
  <c r="CB109" i="7"/>
  <c r="AK109" i="7"/>
  <c r="CE62" i="7"/>
  <c r="CE52" i="7"/>
  <c r="CE95" i="7" s="1"/>
  <c r="CE117" i="7"/>
  <c r="CD117" i="7" s="1"/>
  <c r="CD118" i="7" s="1"/>
  <c r="AO81" i="36" s="1"/>
  <c r="CE129" i="7"/>
  <c r="CD130" i="7"/>
  <c r="CD114" i="7"/>
  <c r="CD115" i="7" s="1"/>
  <c r="AO80" i="36" s="1"/>
  <c r="BS98" i="7"/>
  <c r="BS52" i="8"/>
  <c r="BX129" i="7"/>
  <c r="CD131" i="7" s="1"/>
  <c r="CD69" i="7"/>
  <c r="AK47" i="8"/>
  <c r="AA109" i="7"/>
  <c r="Z279" i="7"/>
  <c r="AG259" i="7"/>
  <c r="AG258" i="7" s="1"/>
  <c r="W364" i="7"/>
  <c r="W368" i="7" s="1"/>
  <c r="AU64" i="9"/>
  <c r="AU68" i="9" s="1"/>
  <c r="AU36" i="9"/>
  <c r="AU37" i="9" s="1"/>
  <c r="AC64" i="9"/>
  <c r="AC68" i="9" s="1"/>
  <c r="AQ64" i="9"/>
  <c r="AQ68" i="9" s="1"/>
  <c r="BU13" i="9"/>
  <c r="BV13" i="9" s="1"/>
  <c r="BW13" i="9" s="1"/>
  <c r="BX13" i="9" s="1"/>
  <c r="BY13" i="9" s="1"/>
  <c r="BY45" i="9" s="1"/>
  <c r="BU20" i="9"/>
  <c r="BV20" i="9" s="1"/>
  <c r="BW20" i="9" s="1"/>
  <c r="BX20" i="9" s="1"/>
  <c r="BY20" i="9" s="1"/>
  <c r="BY52" i="9" s="1"/>
  <c r="AU38" i="9"/>
  <c r="AY38" i="9"/>
  <c r="AY66" i="9"/>
  <c r="BA64" i="9"/>
  <c r="BA68" i="9" s="1"/>
  <c r="AO64" i="9"/>
  <c r="AO68" i="9" s="1"/>
  <c r="BA66" i="9"/>
  <c r="CE23" i="3"/>
  <c r="BS149" i="3"/>
  <c r="AI149" i="3"/>
  <c r="CA157" i="3"/>
  <c r="CB158" i="3" s="1"/>
  <c r="W120" i="3"/>
  <c r="O157" i="3"/>
  <c r="Q158" i="3" s="1"/>
  <c r="BK109" i="7"/>
  <c r="AT169" i="3"/>
  <c r="BF33" i="1"/>
  <c r="AX135" i="7"/>
  <c r="BL108" i="7"/>
  <c r="BD109" i="7"/>
  <c r="AX139" i="3"/>
  <c r="AY115" i="1"/>
  <c r="AY179" i="3" s="1"/>
  <c r="BQ86" i="1"/>
  <c r="BQ87" i="1"/>
  <c r="W105" i="7"/>
  <c r="W106" i="7" s="1"/>
  <c r="AI105" i="7"/>
  <c r="AI108" i="7" s="1"/>
  <c r="BD20" i="1"/>
  <c r="I74" i="3"/>
  <c r="W47" i="1"/>
  <c r="BR106" i="7"/>
  <c r="BG9" i="1"/>
  <c r="BG79" i="1" s="1"/>
  <c r="AF74" i="3"/>
  <c r="BL145" i="7"/>
  <c r="AL74" i="3"/>
  <c r="AL80" i="1"/>
  <c r="CE92" i="1"/>
  <c r="CE93" i="1" s="1"/>
  <c r="AI168" i="3"/>
  <c r="BG100" i="1"/>
  <c r="AO63" i="1"/>
  <c r="BL106" i="7"/>
  <c r="AM74" i="3"/>
  <c r="AA20" i="1"/>
  <c r="AA24" i="1" s="1"/>
  <c r="CA33" i="1"/>
  <c r="CP52" i="1"/>
  <c r="AM89" i="7"/>
  <c r="AG109" i="7"/>
  <c r="Y354" i="7"/>
  <c r="AI46" i="8"/>
  <c r="BM106" i="7"/>
  <c r="BV109" i="7"/>
  <c r="AC85" i="7"/>
  <c r="AC89" i="7"/>
  <c r="CN29" i="8"/>
  <c r="BJ125" i="7"/>
  <c r="BP125" i="7"/>
  <c r="AC88" i="7"/>
  <c r="AC86" i="7"/>
  <c r="BK131" i="7"/>
  <c r="AI78" i="7"/>
  <c r="AI41" i="8" s="1"/>
  <c r="AC91" i="7"/>
  <c r="CA109" i="7"/>
  <c r="M318" i="7"/>
  <c r="CN21" i="8"/>
  <c r="EL22" i="8" s="1"/>
  <c r="AC90" i="7"/>
  <c r="AC73" i="7"/>
  <c r="AS109" i="7"/>
  <c r="AL109" i="7"/>
  <c r="AL20" i="1"/>
  <c r="AL49" i="1"/>
  <c r="AM80" i="1"/>
  <c r="Y74" i="3"/>
  <c r="AL135" i="7"/>
  <c r="AZ168" i="3"/>
  <c r="BU109" i="7"/>
  <c r="BL79" i="1"/>
  <c r="O20" i="1"/>
  <c r="O60" i="3" s="1"/>
  <c r="CB80" i="1"/>
  <c r="AN84" i="3"/>
  <c r="AN52" i="1"/>
  <c r="BL137" i="3"/>
  <c r="BL84" i="3"/>
  <c r="AN94" i="1"/>
  <c r="BM9" i="1"/>
  <c r="BM146" i="7" s="1"/>
  <c r="BL57" i="1"/>
  <c r="I20" i="1"/>
  <c r="I28" i="1" s="1"/>
  <c r="CB20" i="1"/>
  <c r="AN85" i="3"/>
  <c r="BR108" i="7"/>
  <c r="BY9" i="1"/>
  <c r="AX80" i="1"/>
  <c r="BL71" i="3"/>
  <c r="AR109" i="7"/>
  <c r="AN15" i="1"/>
  <c r="AN49" i="1" s="1"/>
  <c r="BL83" i="3"/>
  <c r="BL52" i="1"/>
  <c r="BX167" i="3"/>
  <c r="BX137" i="3"/>
  <c r="BX83" i="3"/>
  <c r="BX85" i="3"/>
  <c r="AR89" i="7"/>
  <c r="BC81" i="7"/>
  <c r="AW125" i="7"/>
  <c r="AZ49" i="8"/>
  <c r="AX78" i="7"/>
  <c r="AX41" i="8" s="1"/>
  <c r="AS46" i="8"/>
  <c r="AR73" i="7"/>
  <c r="CS66" i="7"/>
  <c r="CS96" i="7" s="1"/>
  <c r="BL151" i="7"/>
  <c r="BK151" i="7" s="1"/>
  <c r="BI13" i="7"/>
  <c r="CB125" i="7"/>
  <c r="AF17" i="7"/>
  <c r="Q109" i="7"/>
  <c r="BF52" i="8"/>
  <c r="AE372" i="7"/>
  <c r="S318" i="7"/>
  <c r="S316" i="7"/>
  <c r="S319" i="7"/>
  <c r="AT98" i="7"/>
  <c r="Q337" i="7"/>
  <c r="AS67" i="7"/>
  <c r="AS69" i="7" s="1"/>
  <c r="AQ13" i="7"/>
  <c r="AA243" i="7"/>
  <c r="AG372" i="7" s="1"/>
  <c r="AW109" i="7"/>
  <c r="AI266" i="7"/>
  <c r="BJ109" i="7"/>
  <c r="S323" i="7"/>
  <c r="S317" i="7"/>
  <c r="S320" i="7"/>
  <c r="AF109" i="7"/>
  <c r="V382" i="7"/>
  <c r="AW13" i="7"/>
  <c r="I361" i="7"/>
  <c r="S321" i="7"/>
  <c r="S331" i="7"/>
  <c r="V365" i="7"/>
  <c r="BD17" i="7"/>
  <c r="CT44" i="7"/>
  <c r="CT42" i="7" s="1"/>
  <c r="AH263" i="7"/>
  <c r="AH348" i="7" s="1"/>
  <c r="AC252" i="7"/>
  <c r="AC256" i="7" s="1"/>
  <c r="AI259" i="7" s="1"/>
  <c r="AH266" i="7"/>
  <c r="AH245" i="7" s="1"/>
  <c r="AH377" i="7" s="1"/>
  <c r="BL126" i="7"/>
  <c r="BR126" i="7"/>
  <c r="BQ73" i="7"/>
  <c r="M334" i="7"/>
  <c r="BW76" i="7"/>
  <c r="AB256" i="7"/>
  <c r="AB243" i="7" s="1"/>
  <c r="AH372" i="7" s="1"/>
  <c r="BU81" i="7"/>
  <c r="AS78" i="7"/>
  <c r="AE75" i="7"/>
  <c r="AE88" i="7" s="1"/>
  <c r="CT34" i="8"/>
  <c r="AM81" i="7"/>
  <c r="AK124" i="7"/>
  <c r="Q304" i="7"/>
  <c r="U248" i="7"/>
  <c r="AM90" i="7"/>
  <c r="AM86" i="7"/>
  <c r="AM85" i="7"/>
  <c r="AE9" i="7"/>
  <c r="AK10" i="7" s="1"/>
  <c r="Q316" i="7"/>
  <c r="Q318" i="7"/>
  <c r="BQ87" i="7"/>
  <c r="CV44" i="7"/>
  <c r="CV36" i="7"/>
  <c r="AC73" i="3"/>
  <c r="AC63" i="1"/>
  <c r="AI63" i="1"/>
  <c r="AC72" i="3"/>
  <c r="AC168" i="3"/>
  <c r="AU64" i="1"/>
  <c r="AA50" i="1"/>
  <c r="W102" i="7"/>
  <c r="W103" i="7" s="1"/>
  <c r="BY48" i="1"/>
  <c r="AN46" i="1"/>
  <c r="AN79" i="1"/>
  <c r="AN86" i="1"/>
  <c r="AF20" i="1"/>
  <c r="AF136" i="7" s="1"/>
  <c r="BQ50" i="1"/>
  <c r="BR103" i="7"/>
  <c r="BX103" i="7"/>
  <c r="BS102" i="7"/>
  <c r="BS103" i="7" s="1"/>
  <c r="C49" i="1"/>
  <c r="E50" i="1"/>
  <c r="C20" i="1"/>
  <c r="AG139" i="3"/>
  <c r="AH72" i="3"/>
  <c r="AH168" i="3"/>
  <c r="AN63" i="1"/>
  <c r="AH73" i="3"/>
  <c r="AH63" i="1"/>
  <c r="AZ169" i="3"/>
  <c r="AZ66" i="1"/>
  <c r="AB169" i="3"/>
  <c r="AB168" i="3"/>
  <c r="AB72" i="3"/>
  <c r="AB73" i="3"/>
  <c r="W96" i="1"/>
  <c r="AO64" i="1"/>
  <c r="AB63" i="1"/>
  <c r="U20" i="1"/>
  <c r="U53" i="1" s="1"/>
  <c r="AN137" i="3"/>
  <c r="AN57" i="1"/>
  <c r="BJ86" i="1"/>
  <c r="AN167" i="3"/>
  <c r="AF49" i="1"/>
  <c r="BK49" i="1"/>
  <c r="BK20" i="1"/>
  <c r="BK53" i="1" s="1"/>
  <c r="AH66" i="1"/>
  <c r="BW86" i="1"/>
  <c r="BW87" i="1"/>
  <c r="BD152" i="7"/>
  <c r="BF66" i="1"/>
  <c r="AN83" i="3"/>
  <c r="K74" i="3"/>
  <c r="AF80" i="1"/>
  <c r="AL50" i="1"/>
  <c r="BL173" i="3"/>
  <c r="BL51" i="1"/>
  <c r="BL46" i="1"/>
  <c r="BL85" i="3"/>
  <c r="BL86" i="1"/>
  <c r="BL94" i="1"/>
  <c r="BM64" i="1"/>
  <c r="AU47" i="1"/>
  <c r="AU12" i="1"/>
  <c r="BA63" i="1" s="1"/>
  <c r="BG101" i="1"/>
  <c r="BK152" i="7"/>
  <c r="BQ159" i="7"/>
  <c r="AM125" i="7"/>
  <c r="AW87" i="7"/>
  <c r="BJ89" i="7"/>
  <c r="M316" i="7"/>
  <c r="BJ27" i="7"/>
  <c r="BA65" i="7"/>
  <c r="BA12" i="7" s="1"/>
  <c r="AL17" i="7"/>
  <c r="AM131" i="7"/>
  <c r="AQ131" i="7"/>
  <c r="AT149" i="7"/>
  <c r="BG132" i="7"/>
  <c r="BJ13" i="7"/>
  <c r="CD50" i="8"/>
  <c r="AW73" i="7"/>
  <c r="BQ36" i="7"/>
  <c r="Q242" i="7"/>
  <c r="CI29" i="8"/>
  <c r="BV17" i="7"/>
  <c r="M304" i="7"/>
  <c r="CA96" i="7"/>
  <c r="AR67" i="7"/>
  <c r="AR69" i="7" s="1"/>
  <c r="AF268" i="7"/>
  <c r="BX12" i="7"/>
  <c r="Q310" i="7"/>
  <c r="M319" i="7"/>
  <c r="Q331" i="7"/>
  <c r="Q319" i="7"/>
  <c r="BV66" i="7"/>
  <c r="BV96" i="7" s="1"/>
  <c r="AF246" i="7"/>
  <c r="CB10" i="7"/>
  <c r="BY65" i="7"/>
  <c r="AS125" i="7"/>
  <c r="BA50" i="7"/>
  <c r="BA48" i="8" s="1"/>
  <c r="Q317" i="7"/>
  <c r="Q323" i="7"/>
  <c r="W309" i="7"/>
  <c r="W312" i="7" s="1"/>
  <c r="AO120" i="7"/>
  <c r="AL13" i="7"/>
  <c r="U315" i="7"/>
  <c r="Y334" i="7"/>
  <c r="AW131" i="7"/>
  <c r="BO125" i="7"/>
  <c r="BV55" i="7"/>
  <c r="BV57" i="7" s="1"/>
  <c r="O289" i="7"/>
  <c r="O337" i="7" s="1"/>
  <c r="U317" i="7"/>
  <c r="Q320" i="7"/>
  <c r="Q322" i="7"/>
  <c r="Q321" i="7"/>
  <c r="AO122" i="7"/>
  <c r="AO126" i="7" s="1"/>
  <c r="BA62" i="7"/>
  <c r="AS131" i="7"/>
  <c r="BP127" i="1"/>
  <c r="BW10" i="7"/>
  <c r="BJ36" i="7"/>
  <c r="BJ88" i="7"/>
  <c r="AF344" i="7"/>
  <c r="AQ88" i="7"/>
  <c r="BJ86" i="7"/>
  <c r="BU125" i="7"/>
  <c r="BJ44" i="7"/>
  <c r="BI67" i="7"/>
  <c r="BI69" i="7" s="1"/>
  <c r="BE131" i="7"/>
  <c r="CJ11" i="8"/>
  <c r="BL149" i="7"/>
  <c r="BJ81" i="7"/>
  <c r="AL10" i="7"/>
  <c r="AQ87" i="7"/>
  <c r="BQ17" i="7"/>
  <c r="CT30" i="8"/>
  <c r="AW81" i="7"/>
  <c r="AF244" i="7"/>
  <c r="AW86" i="7"/>
  <c r="Y238" i="7"/>
  <c r="Z301" i="7"/>
  <c r="AW89" i="7"/>
  <c r="BE10" i="7"/>
  <c r="AO65" i="7"/>
  <c r="AU50" i="8" s="1"/>
  <c r="AT12" i="7"/>
  <c r="AW88" i="7"/>
  <c r="AW91" i="7"/>
  <c r="AW90" i="7"/>
  <c r="BY52" i="7"/>
  <c r="BY95" i="7" s="1"/>
  <c r="AY73" i="7"/>
  <c r="CB93" i="7"/>
  <c r="BD13" i="7"/>
  <c r="AY131" i="7"/>
  <c r="E249" i="7"/>
  <c r="AN12" i="7"/>
  <c r="Q361" i="7"/>
  <c r="BE13" i="7"/>
  <c r="AT124" i="7"/>
  <c r="AW85" i="7"/>
  <c r="AW76" i="7"/>
  <c r="BC46" i="8"/>
  <c r="AF89" i="7"/>
  <c r="BQ67" i="7"/>
  <c r="BQ69" i="7" s="1"/>
  <c r="AU62" i="7"/>
  <c r="AW67" i="7"/>
  <c r="AW69" i="7" s="1"/>
  <c r="AT129" i="7"/>
  <c r="AZ95" i="7"/>
  <c r="AQ89" i="7"/>
  <c r="AX55" i="7"/>
  <c r="AX57" i="7" s="1"/>
  <c r="BI125" i="7"/>
  <c r="BQ89" i="7"/>
  <c r="BW13" i="7"/>
  <c r="BE17" i="7"/>
  <c r="K361" i="7"/>
  <c r="BW46" i="8"/>
  <c r="BW127" i="1"/>
  <c r="BQ13" i="7"/>
  <c r="BW93" i="7"/>
  <c r="BW55" i="7"/>
  <c r="BW57" i="7" s="1"/>
  <c r="CV30" i="8"/>
  <c r="AQ91" i="7"/>
  <c r="BW78" i="7"/>
  <c r="BV13" i="7"/>
  <c r="BG52" i="7"/>
  <c r="BG95" i="7" s="1"/>
  <c r="AU64" i="7"/>
  <c r="AU52" i="8" s="1"/>
  <c r="BQ81" i="7"/>
  <c r="BU44" i="7"/>
  <c r="BU42" i="7" s="1"/>
  <c r="BU27" i="7"/>
  <c r="BU34" i="8"/>
  <c r="AA337" i="7"/>
  <c r="AA291" i="7"/>
  <c r="CJ10" i="8"/>
  <c r="CA125" i="7"/>
  <c r="AQ73" i="7"/>
  <c r="BQ85" i="7"/>
  <c r="AA279" i="7"/>
  <c r="BQ86" i="7"/>
  <c r="BQ90" i="7"/>
  <c r="BO90" i="7"/>
  <c r="BO91" i="7"/>
  <c r="BO88" i="7"/>
  <c r="BU127" i="1"/>
  <c r="BO89" i="7"/>
  <c r="BU78" i="7"/>
  <c r="BO85" i="7"/>
  <c r="BU46" i="8"/>
  <c r="BO86" i="7"/>
  <c r="BO73" i="7"/>
  <c r="BO87" i="7"/>
  <c r="CB34" i="8"/>
  <c r="CB36" i="7"/>
  <c r="CB34" i="7" s="1"/>
  <c r="CB27" i="7"/>
  <c r="CB25" i="7" s="1"/>
  <c r="CB44" i="7"/>
  <c r="AI50" i="7"/>
  <c r="AI48" i="8" s="1"/>
  <c r="AO50" i="7"/>
  <c r="AO94" i="7" s="1"/>
  <c r="CA56" i="7"/>
  <c r="CA34" i="8" s="1"/>
  <c r="G249" i="7"/>
  <c r="AZ130" i="7"/>
  <c r="BA53" i="7"/>
  <c r="BG47" i="8" s="1"/>
  <c r="AF85" i="7"/>
  <c r="AF81" i="7"/>
  <c r="Y371" i="7"/>
  <c r="AQ125" i="7"/>
  <c r="BM64" i="7"/>
  <c r="AN118" i="7"/>
  <c r="M81" i="36" s="1"/>
  <c r="AK98" i="7"/>
  <c r="AK52" i="8"/>
  <c r="Y248" i="7"/>
  <c r="Y249" i="7" s="1"/>
  <c r="AZ66" i="7"/>
  <c r="AZ96" i="7" s="1"/>
  <c r="AF73" i="7"/>
  <c r="AK17" i="7"/>
  <c r="AT66" i="7"/>
  <c r="AT96" i="7" s="1"/>
  <c r="AZ149" i="7"/>
  <c r="AY149" i="7" s="1"/>
  <c r="AY142" i="7" s="1"/>
  <c r="AZ12" i="7"/>
  <c r="AC362" i="7"/>
  <c r="AT50" i="8"/>
  <c r="AI63" i="7"/>
  <c r="AI65" i="7" s="1"/>
  <c r="AN64" i="7"/>
  <c r="BR148" i="7"/>
  <c r="BE67" i="7"/>
  <c r="BE69" i="7" s="1"/>
  <c r="BI10" i="7"/>
  <c r="AK94" i="7"/>
  <c r="AX125" i="7"/>
  <c r="AS96" i="7"/>
  <c r="BX52" i="8"/>
  <c r="AG17" i="7"/>
  <c r="AN50" i="7"/>
  <c r="AN48" i="8" s="1"/>
  <c r="BF68" i="7"/>
  <c r="BF35" i="8" s="1"/>
  <c r="AN129" i="7"/>
  <c r="AY151" i="7"/>
  <c r="AY144" i="7" s="1"/>
  <c r="AG85" i="7"/>
  <c r="AG87" i="7"/>
  <c r="AG76" i="7"/>
  <c r="AM35" i="8"/>
  <c r="AM67" i="7"/>
  <c r="AM69" i="7" s="1"/>
  <c r="Q278" i="7"/>
  <c r="AG81" i="7"/>
  <c r="AG331" i="7"/>
  <c r="AG73" i="7"/>
  <c r="AG90" i="7"/>
  <c r="BK125" i="7"/>
  <c r="AO128" i="7"/>
  <c r="AU132" i="7" s="1"/>
  <c r="M320" i="7"/>
  <c r="AT130" i="7"/>
  <c r="M289" i="7"/>
  <c r="M290" i="7" s="1"/>
  <c r="AN134" i="7"/>
  <c r="BF98" i="7"/>
  <c r="BV125" i="7"/>
  <c r="AY67" i="7"/>
  <c r="AY69" i="7" s="1"/>
  <c r="AA366" i="7"/>
  <c r="U365" i="7"/>
  <c r="AA367" i="7" s="1"/>
  <c r="M239" i="7"/>
  <c r="O240" i="7" s="1"/>
  <c r="AG89" i="7"/>
  <c r="AM46" i="8"/>
  <c r="AM76" i="7"/>
  <c r="AN132" i="7"/>
  <c r="M321" i="7"/>
  <c r="AT126" i="7"/>
  <c r="AK85" i="7"/>
  <c r="AK90" i="7"/>
  <c r="AK89" i="7"/>
  <c r="AQ46" i="8"/>
  <c r="AK87" i="7"/>
  <c r="AK91" i="7"/>
  <c r="AK86" i="7"/>
  <c r="AQ78" i="7"/>
  <c r="AK73" i="7"/>
  <c r="BC67" i="7"/>
  <c r="BC69" i="7" s="1"/>
  <c r="BC35" i="8"/>
  <c r="AK88" i="7"/>
  <c r="O291" i="7"/>
  <c r="O309" i="7" s="1"/>
  <c r="O312" i="7" s="1"/>
  <c r="G361" i="7"/>
  <c r="AM78" i="7"/>
  <c r="AG91" i="7"/>
  <c r="AT132" i="7"/>
  <c r="O307" i="7"/>
  <c r="M317" i="7"/>
  <c r="AZ150" i="7"/>
  <c r="W237" i="7"/>
  <c r="AG88" i="7"/>
  <c r="BK96" i="7"/>
  <c r="BK67" i="7"/>
  <c r="BK69" i="7" s="1"/>
  <c r="AF371" i="7"/>
  <c r="AF373" i="7" s="1"/>
  <c r="AF372" i="7"/>
  <c r="Y242" i="7"/>
  <c r="AZ54" i="7"/>
  <c r="AZ93" i="7" s="1"/>
  <c r="BF95" i="7"/>
  <c r="BJ76" i="7"/>
  <c r="BJ90" i="7"/>
  <c r="BP46" i="8"/>
  <c r="BJ91" i="7"/>
  <c r="BP78" i="7"/>
  <c r="AR131" i="7"/>
  <c r="AL131" i="7"/>
  <c r="Y240" i="7"/>
  <c r="AT97" i="7"/>
  <c r="AT51" i="8"/>
  <c r="BL148" i="7"/>
  <c r="T310" i="7"/>
  <c r="T322" i="7"/>
  <c r="T319" i="7"/>
  <c r="T315" i="7"/>
  <c r="T321" i="7"/>
  <c r="T320" i="7"/>
  <c r="T323" i="7"/>
  <c r="T331" i="7"/>
  <c r="T324" i="7"/>
  <c r="T317" i="7"/>
  <c r="T316" i="7"/>
  <c r="T318" i="7"/>
  <c r="BX130" i="7"/>
  <c r="BS65" i="7"/>
  <c r="EH10" i="8"/>
  <c r="CH28" i="8"/>
  <c r="CN20" i="8"/>
  <c r="EL21" i="8" s="1"/>
  <c r="BQ10" i="7"/>
  <c r="BK17" i="7"/>
  <c r="BF51" i="8"/>
  <c r="BF97" i="7"/>
  <c r="AX46" i="8"/>
  <c r="AR85" i="7"/>
  <c r="AR88" i="7"/>
  <c r="AR87" i="7"/>
  <c r="AR86" i="7"/>
  <c r="AR90" i="7"/>
  <c r="BC131" i="7"/>
  <c r="BI131" i="7"/>
  <c r="BL150" i="7"/>
  <c r="AF377" i="7"/>
  <c r="AF379" i="7" s="1"/>
  <c r="AE377" i="7"/>
  <c r="AE379" i="7" s="1"/>
  <c r="AK378" i="7"/>
  <c r="AE378" i="7"/>
  <c r="AU134" i="7"/>
  <c r="BA132" i="7"/>
  <c r="BD90" i="7"/>
  <c r="BD89" i="7"/>
  <c r="BY50" i="7"/>
  <c r="AL46" i="8"/>
  <c r="AF90" i="7"/>
  <c r="AF88" i="7"/>
  <c r="AL78" i="7"/>
  <c r="BK85" i="7"/>
  <c r="BQ76" i="7"/>
  <c r="BL98" i="7"/>
  <c r="BL52" i="8"/>
  <c r="CI28" i="8"/>
  <c r="K249" i="7"/>
  <c r="AZ50" i="8"/>
  <c r="BC13" i="7"/>
  <c r="AM91" i="7"/>
  <c r="AM88" i="7"/>
  <c r="AM87" i="7"/>
  <c r="M308" i="7"/>
  <c r="AQ96" i="7"/>
  <c r="AQ67" i="7"/>
  <c r="AQ69" i="7" s="1"/>
  <c r="AZ97" i="7"/>
  <c r="AZ51" i="8"/>
  <c r="CB67" i="7"/>
  <c r="CB70" i="7" s="1"/>
  <c r="AM51" i="36" s="1"/>
  <c r="AM64" i="36" s="1"/>
  <c r="AM65" i="36" s="1"/>
  <c r="CB96" i="7"/>
  <c r="BG64" i="7"/>
  <c r="Z337" i="7"/>
  <c r="Z291" i="7"/>
  <c r="BF150" i="7"/>
  <c r="BF149" i="7"/>
  <c r="BG65" i="7"/>
  <c r="BL68" i="7"/>
  <c r="BL35" i="8" s="1"/>
  <c r="BL50" i="8"/>
  <c r="BF118" i="7"/>
  <c r="Y81" i="36" s="1"/>
  <c r="BF12" i="7"/>
  <c r="BF129" i="7"/>
  <c r="BF130" i="7"/>
  <c r="BF66" i="7"/>
  <c r="AK56" i="7"/>
  <c r="AK34" i="8" s="1"/>
  <c r="AA354" i="7"/>
  <c r="AA353" i="7"/>
  <c r="AA355" i="7" s="1"/>
  <c r="AA238" i="7"/>
  <c r="BF151" i="7"/>
  <c r="AX131" i="7"/>
  <c r="BD131" i="7"/>
  <c r="T359" i="7"/>
  <c r="Z361" i="7" s="1"/>
  <c r="Z360" i="7"/>
  <c r="T248" i="7"/>
  <c r="Z240" i="7"/>
  <c r="BE148" i="7"/>
  <c r="BE141" i="7" s="1"/>
  <c r="AO62" i="7"/>
  <c r="AO51" i="8" s="1"/>
  <c r="AI62" i="7"/>
  <c r="M353" i="7"/>
  <c r="M355" i="7" s="1"/>
  <c r="M238" i="7"/>
  <c r="M354" i="7"/>
  <c r="O315" i="7"/>
  <c r="O304" i="7"/>
  <c r="O321" i="7"/>
  <c r="O319" i="7"/>
  <c r="O317" i="7"/>
  <c r="O318" i="7"/>
  <c r="BV131" i="7"/>
  <c r="BP131" i="7"/>
  <c r="AZ115" i="7"/>
  <c r="U80" i="36" s="1"/>
  <c r="O354" i="7"/>
  <c r="BK10" i="7"/>
  <c r="BX48" i="8"/>
  <c r="M315" i="7"/>
  <c r="O316" i="7"/>
  <c r="BU90" i="7"/>
  <c r="BU76" i="7"/>
  <c r="BU87" i="7"/>
  <c r="BU91" i="7"/>
  <c r="BU86" i="7"/>
  <c r="BU88" i="7"/>
  <c r="BU73" i="7"/>
  <c r="BU89" i="7"/>
  <c r="AW46" i="8"/>
  <c r="AQ90" i="7"/>
  <c r="AQ86" i="7"/>
  <c r="AW78" i="7"/>
  <c r="AQ76" i="7"/>
  <c r="AQ85" i="7"/>
  <c r="BR149" i="7"/>
  <c r="BX97" i="7"/>
  <c r="BX51" i="8"/>
  <c r="BW86" i="7"/>
  <c r="BW90" i="7"/>
  <c r="BW87" i="7"/>
  <c r="BW81" i="7"/>
  <c r="BW73" i="7"/>
  <c r="BW85" i="7"/>
  <c r="BW91" i="7"/>
  <c r="BW88" i="7"/>
  <c r="BW89" i="7"/>
  <c r="AT115" i="7"/>
  <c r="Q80" i="36" s="1"/>
  <c r="AZ47" i="8"/>
  <c r="AT75" i="7"/>
  <c r="U52" i="36" s="1"/>
  <c r="U105" i="36" s="1"/>
  <c r="AT123" i="7"/>
  <c r="AT9" i="7"/>
  <c r="O334" i="7"/>
  <c r="O278" i="7"/>
  <c r="BQ93" i="7"/>
  <c r="BQ55" i="7"/>
  <c r="BQ57" i="7" s="1"/>
  <c r="BK88" i="7"/>
  <c r="BQ127" i="1"/>
  <c r="BK91" i="7"/>
  <c r="BK90" i="7"/>
  <c r="BK86" i="7"/>
  <c r="BK73" i="7"/>
  <c r="BK81" i="7"/>
  <c r="BK87" i="7"/>
  <c r="BQ46" i="8"/>
  <c r="BK89" i="7"/>
  <c r="BQ78" i="7"/>
  <c r="BV89" i="7"/>
  <c r="BV86" i="7"/>
  <c r="BV91" i="7"/>
  <c r="BV73" i="7"/>
  <c r="BV87" i="7"/>
  <c r="BV88" i="7"/>
  <c r="BV90" i="7"/>
  <c r="BV81" i="7"/>
  <c r="BV76" i="7"/>
  <c r="Q307" i="7"/>
  <c r="Q308" i="7" s="1"/>
  <c r="AN62" i="7"/>
  <c r="AH65" i="7"/>
  <c r="AZ124" i="7"/>
  <c r="CA10" i="7"/>
  <c r="BK27" i="7"/>
  <c r="AU47" i="8"/>
  <c r="O310" i="7"/>
  <c r="BG62" i="7"/>
  <c r="AX96" i="7"/>
  <c r="AX67" i="7"/>
  <c r="AX69" i="7" s="1"/>
  <c r="BV127" i="1"/>
  <c r="BP76" i="7"/>
  <c r="BV78" i="7"/>
  <c r="BP81" i="7"/>
  <c r="BP73" i="7"/>
  <c r="BV46" i="8"/>
  <c r="BP91" i="7"/>
  <c r="BP87" i="7"/>
  <c r="BP86" i="7"/>
  <c r="BP90" i="7"/>
  <c r="BP89" i="7"/>
  <c r="AT48" i="8"/>
  <c r="AT94" i="7"/>
  <c r="O238" i="7"/>
  <c r="O353" i="7"/>
  <c r="BP88" i="7"/>
  <c r="BP67" i="7"/>
  <c r="BP69" i="7" s="1"/>
  <c r="BP96" i="7"/>
  <c r="BQ34" i="8"/>
  <c r="BQ44" i="7"/>
  <c r="AQ93" i="7"/>
  <c r="AQ55" i="7"/>
  <c r="AQ57" i="7" s="1"/>
  <c r="AS151" i="7"/>
  <c r="BD96" i="7"/>
  <c r="BD67" i="7"/>
  <c r="BD69" i="7" s="1"/>
  <c r="AK51" i="8"/>
  <c r="AK97" i="7"/>
  <c r="BA64" i="7"/>
  <c r="BA52" i="8" s="1"/>
  <c r="BU55" i="7"/>
  <c r="BU57" i="7" s="1"/>
  <c r="BU93" i="7"/>
  <c r="AZ98" i="7"/>
  <c r="AU65" i="7"/>
  <c r="BA52" i="7"/>
  <c r="BA49" i="8" s="1"/>
  <c r="AZ75" i="7"/>
  <c r="BD76" i="7"/>
  <c r="BU17" i="7"/>
  <c r="O331" i="7"/>
  <c r="BL51" i="8"/>
  <c r="AY87" i="7"/>
  <c r="AY88" i="7"/>
  <c r="AY90" i="7"/>
  <c r="BE78" i="7"/>
  <c r="AY86" i="7"/>
  <c r="AY85" i="7"/>
  <c r="AY91" i="7"/>
  <c r="AY89" i="7"/>
  <c r="BE46" i="8"/>
  <c r="BU143" i="7"/>
  <c r="BR150" i="7"/>
  <c r="BU144" i="7"/>
  <c r="BJ46" i="8"/>
  <c r="BD73" i="7"/>
  <c r="BD85" i="7"/>
  <c r="BD87" i="7"/>
  <c r="BD81" i="7"/>
  <c r="BJ127" i="1"/>
  <c r="BJ78" i="7"/>
  <c r="BD88" i="7"/>
  <c r="BD91" i="7"/>
  <c r="AF87" i="7"/>
  <c r="AF86" i="7"/>
  <c r="BW68" i="7"/>
  <c r="BW96" i="7"/>
  <c r="Q353" i="7"/>
  <c r="Q248" i="7"/>
  <c r="Q249" i="7" s="1"/>
  <c r="Q315" i="7"/>
  <c r="Q238" i="7"/>
  <c r="BY97" i="7"/>
  <c r="BY51" i="8"/>
  <c r="AK68" i="7"/>
  <c r="AK35" i="8" s="1"/>
  <c r="AK50" i="8"/>
  <c r="AE129" i="7"/>
  <c r="AK131" i="7" s="1"/>
  <c r="AK130" i="7"/>
  <c r="AE12" i="7"/>
  <c r="AK13" i="7" s="1"/>
  <c r="AK66" i="7"/>
  <c r="BJ73" i="7"/>
  <c r="BJ87" i="7"/>
  <c r="BJ67" i="7"/>
  <c r="BJ69" i="7" s="1"/>
  <c r="BJ96" i="7"/>
  <c r="AZ52" i="8"/>
  <c r="Y366" i="7"/>
  <c r="BS106" i="7"/>
  <c r="AC245" i="7"/>
  <c r="AC377" i="7" s="1"/>
  <c r="AX81" i="7"/>
  <c r="AU56" i="7"/>
  <c r="AU34" i="8" s="1"/>
  <c r="BW17" i="7"/>
  <c r="AG244" i="7"/>
  <c r="AG344" i="7"/>
  <c r="BP44" i="7"/>
  <c r="AK48" i="8"/>
  <c r="BL75" i="7"/>
  <c r="AX88" i="7"/>
  <c r="BP27" i="7"/>
  <c r="BJ93" i="7"/>
  <c r="BJ55" i="7"/>
  <c r="BJ57" i="7" s="1"/>
  <c r="AU100" i="1"/>
  <c r="AI72" i="3"/>
  <c r="AI73" i="3"/>
  <c r="W100" i="1"/>
  <c r="BA100" i="1"/>
  <c r="U49" i="1"/>
  <c r="AX49" i="1"/>
  <c r="AX20" i="1"/>
  <c r="BD139" i="3"/>
  <c r="BE115" i="1"/>
  <c r="BE179" i="3" s="1"/>
  <c r="BA101" i="1"/>
  <c r="T139" i="3"/>
  <c r="U115" i="1"/>
  <c r="AX109" i="7"/>
  <c r="AZ33" i="1"/>
  <c r="Z92" i="3"/>
  <c r="BV95" i="1"/>
  <c r="BV96" i="1" s="1"/>
  <c r="BD107" i="3"/>
  <c r="BD21" i="1"/>
  <c r="BD23" i="1" s="1"/>
  <c r="AZ30" i="4"/>
  <c r="AZ100" i="3" s="1"/>
  <c r="AZ101" i="3" s="1"/>
  <c r="W70" i="4"/>
  <c r="W80" i="4" s="1"/>
  <c r="AZ22" i="1"/>
  <c r="BO77" i="3"/>
  <c r="AK77" i="3"/>
  <c r="AN37" i="4"/>
  <c r="AA47" i="4"/>
  <c r="BW13" i="4"/>
  <c r="BW21" i="1" s="1"/>
  <c r="BW23" i="1" s="1"/>
  <c r="AW77" i="3"/>
  <c r="BA14" i="4"/>
  <c r="Q78" i="3"/>
  <c r="Q59" i="4"/>
  <c r="AC37" i="4"/>
  <c r="AM47" i="4"/>
  <c r="BE26" i="4"/>
  <c r="AY21" i="1"/>
  <c r="AY107" i="3"/>
  <c r="K59" i="4"/>
  <c r="K78" i="3"/>
  <c r="AA95" i="1"/>
  <c r="AA96" i="1" s="1"/>
  <c r="U39" i="3"/>
  <c r="V92" i="3" s="1"/>
  <c r="AY39" i="3"/>
  <c r="AY92" i="3" s="1"/>
  <c r="AC125" i="3"/>
  <c r="AH29" i="4"/>
  <c r="AI29" i="4" s="1"/>
  <c r="AO74" i="4"/>
  <c r="AG125" i="3"/>
  <c r="AG126" i="3" s="1"/>
  <c r="BM33" i="4"/>
  <c r="U33" i="4"/>
  <c r="AO86" i="4"/>
  <c r="BI26" i="4"/>
  <c r="AG47" i="4"/>
  <c r="AA33" i="4"/>
  <c r="V21" i="1"/>
  <c r="V23" i="1" s="1"/>
  <c r="AB126" i="3"/>
  <c r="M23" i="1"/>
  <c r="BD78" i="3"/>
  <c r="BD59" i="4"/>
  <c r="BD50" i="4"/>
  <c r="I60" i="4"/>
  <c r="I79" i="3"/>
  <c r="AR21" i="1"/>
  <c r="BC60" i="4"/>
  <c r="BC80" i="3" s="1"/>
  <c r="AG39" i="3"/>
  <c r="AH92" i="3" s="1"/>
  <c r="AH30" i="4"/>
  <c r="AH100" i="3" s="1"/>
  <c r="AH101" i="3" s="1"/>
  <c r="BM86" i="4"/>
  <c r="AL21" i="1"/>
  <c r="AL95" i="1" s="1"/>
  <c r="AL96" i="1" s="1"/>
  <c r="BL59" i="4"/>
  <c r="BL78" i="3"/>
  <c r="AL92" i="3"/>
  <c r="AM39" i="3"/>
  <c r="AZ41" i="4"/>
  <c r="BA41" i="4" s="1"/>
  <c r="BP107" i="3"/>
  <c r="BP21" i="1"/>
  <c r="BP23" i="1" s="1"/>
  <c r="AC78" i="3"/>
  <c r="O59" i="4"/>
  <c r="O78" i="3"/>
  <c r="O50" i="4"/>
  <c r="O77" i="3" s="1"/>
  <c r="AA23" i="1"/>
  <c r="AB120" i="3"/>
  <c r="BM22" i="1"/>
  <c r="BJ101" i="3"/>
  <c r="AZ120" i="3"/>
  <c r="AO51" i="3"/>
  <c r="AO61" i="3"/>
  <c r="BG67" i="3"/>
  <c r="BG66" i="3"/>
  <c r="BG31" i="3"/>
  <c r="BM157" i="3"/>
  <c r="AC31" i="3"/>
  <c r="AC44" i="3" s="1"/>
  <c r="K45" i="3"/>
  <c r="AU31" i="3"/>
  <c r="AU66" i="3"/>
  <c r="AU67" i="3"/>
  <c r="S120" i="3"/>
  <c r="S121" i="3"/>
  <c r="W121" i="3" s="1"/>
  <c r="W122" i="3" s="1"/>
  <c r="AC117" i="3" s="1"/>
  <c r="AC65" i="3"/>
  <c r="BS68" i="3"/>
  <c r="BS20" i="3"/>
  <c r="BG68" i="3"/>
  <c r="BG65" i="3"/>
  <c r="AU20" i="3"/>
  <c r="AI67" i="3"/>
  <c r="AI68" i="3"/>
  <c r="AI66" i="3"/>
  <c r="AI31" i="3"/>
  <c r="AI65" i="3"/>
  <c r="BY31" i="3"/>
  <c r="BY68" i="3"/>
  <c r="BY65" i="3"/>
  <c r="BY66" i="3"/>
  <c r="BY67" i="3"/>
  <c r="BS51" i="3"/>
  <c r="BS61" i="3"/>
  <c r="BM20" i="3"/>
  <c r="BM68" i="3"/>
  <c r="CC138" i="3"/>
  <c r="CC53" i="1"/>
  <c r="CC165" i="3"/>
  <c r="CC60" i="3"/>
  <c r="BU62" i="1"/>
  <c r="BU40" i="8" s="1"/>
  <c r="Z86" i="1"/>
  <c r="AN62" i="1"/>
  <c r="AN40" i="8" s="1"/>
  <c r="CC136" i="7"/>
  <c r="BL129" i="7"/>
  <c r="BL12" i="7"/>
  <c r="BL130" i="7"/>
  <c r="BR50" i="8"/>
  <c r="BL66" i="7"/>
  <c r="BR68" i="7"/>
  <c r="BR35" i="8" s="1"/>
  <c r="CC67" i="7"/>
  <c r="CC96" i="7"/>
  <c r="BW109" i="7"/>
  <c r="CC109" i="7"/>
  <c r="BR48" i="8"/>
  <c r="CC93" i="7"/>
  <c r="CC55" i="7"/>
  <c r="EI10" i="8"/>
  <c r="CN22" i="8"/>
  <c r="EL23" i="8" s="1"/>
  <c r="CI30" i="8"/>
  <c r="EH12" i="8"/>
  <c r="CH30" i="8"/>
  <c r="BE173" i="3"/>
  <c r="BJ107" i="3"/>
  <c r="BM107" i="3" s="1"/>
  <c r="BJ21" i="1"/>
  <c r="BM21" i="1" s="1"/>
  <c r="BK50" i="4"/>
  <c r="BK59" i="4"/>
  <c r="BK78" i="3"/>
  <c r="S95" i="1"/>
  <c r="S96" i="1" s="1"/>
  <c r="S23" i="1"/>
  <c r="I95" i="1"/>
  <c r="I96" i="1" s="1"/>
  <c r="I23" i="1"/>
  <c r="AK95" i="1"/>
  <c r="AK96" i="1" s="1"/>
  <c r="AK23" i="1"/>
  <c r="BX17" i="4"/>
  <c r="BW171" i="3"/>
  <c r="C60" i="4"/>
  <c r="C79" i="3"/>
  <c r="CC119" i="3"/>
  <c r="CE119" i="3" s="1"/>
  <c r="BP26" i="4"/>
  <c r="AX120" i="3"/>
  <c r="BA119" i="3"/>
  <c r="BM125" i="3"/>
  <c r="BO95" i="1"/>
  <c r="BO96" i="1" s="1"/>
  <c r="BO23" i="1"/>
  <c r="BX83" i="4"/>
  <c r="BW33" i="4"/>
  <c r="CG74" i="4"/>
  <c r="BY78" i="3"/>
  <c r="BY59" i="4"/>
  <c r="BF17" i="4"/>
  <c r="BE171" i="3"/>
  <c r="AX26" i="4"/>
  <c r="AS125" i="3"/>
  <c r="AS126" i="3" s="1"/>
  <c r="AS47" i="4"/>
  <c r="AM171" i="3"/>
  <c r="AM173" i="3"/>
  <c r="AG171" i="3"/>
  <c r="AG173" i="3"/>
  <c r="AS22" i="1"/>
  <c r="AS119" i="3"/>
  <c r="AT14" i="4"/>
  <c r="AM26" i="4"/>
  <c r="AM59" i="4" s="1"/>
  <c r="BG70" i="4"/>
  <c r="AT37" i="4"/>
  <c r="AU37" i="4" s="1"/>
  <c r="BW100" i="3"/>
  <c r="BW101" i="3" s="1"/>
  <c r="AS13" i="4"/>
  <c r="AS107" i="3" s="1"/>
  <c r="AY33" i="4"/>
  <c r="CB20" i="4"/>
  <c r="CC25" i="4"/>
  <c r="CD25" i="4" s="1"/>
  <c r="CD20" i="4" s="1"/>
  <c r="AU15" i="4"/>
  <c r="AT20" i="4"/>
  <c r="AH22" i="4"/>
  <c r="AI22" i="4" s="1"/>
  <c r="AI20" i="4" s="1"/>
  <c r="V32" i="4"/>
  <c r="W32" i="4" s="1"/>
  <c r="AB46" i="4"/>
  <c r="AT29" i="4"/>
  <c r="BY50" i="4"/>
  <c r="BX70" i="4"/>
  <c r="BX80" i="4" s="1"/>
  <c r="BY80" i="4" s="1"/>
  <c r="CC125" i="3"/>
  <c r="CC33" i="4"/>
  <c r="CC13" i="4"/>
  <c r="CD13" i="4" s="1"/>
  <c r="CD107" i="3" s="1"/>
  <c r="CC22" i="1"/>
  <c r="BJ26" i="4"/>
  <c r="BJ50" i="4" s="1"/>
  <c r="E79" i="3"/>
  <c r="E60" i="4"/>
  <c r="AW60" i="4"/>
  <c r="AW79" i="3"/>
  <c r="BI95" i="1"/>
  <c r="BI96" i="1" s="1"/>
  <c r="BI23" i="1"/>
  <c r="AX23" i="1"/>
  <c r="AX121" i="3"/>
  <c r="BK95" i="1"/>
  <c r="BK96" i="1" s="1"/>
  <c r="BK23" i="1"/>
  <c r="BQ119" i="3"/>
  <c r="BQ22" i="1"/>
  <c r="BQ13" i="4"/>
  <c r="BR14" i="4"/>
  <c r="CB95" i="1"/>
  <c r="CB96" i="1" s="1"/>
  <c r="CB23" i="1"/>
  <c r="BL77" i="3"/>
  <c r="AL26" i="4"/>
  <c r="CC100" i="3"/>
  <c r="CC101" i="3" s="1"/>
  <c r="AH70" i="4"/>
  <c r="AH80" i="4" s="1"/>
  <c r="AZ25" i="4"/>
  <c r="BA25" i="4" s="1"/>
  <c r="AY20" i="4"/>
  <c r="AY26" i="4" s="1"/>
  <c r="AY47" i="4"/>
  <c r="AF26" i="4"/>
  <c r="BX41" i="4"/>
  <c r="AQ50" i="4"/>
  <c r="AQ78" i="3"/>
  <c r="AQ59" i="4"/>
  <c r="AK60" i="4"/>
  <c r="AK79" i="3"/>
  <c r="BV59" i="4"/>
  <c r="BV78" i="3"/>
  <c r="U95" i="1"/>
  <c r="U96" i="1" s="1"/>
  <c r="U23" i="1"/>
  <c r="BW47" i="4"/>
  <c r="K38" i="9"/>
  <c r="M66" i="9"/>
  <c r="K66" i="9"/>
  <c r="AO34" i="9"/>
  <c r="AO36" i="9"/>
  <c r="AO37" i="9" s="1"/>
  <c r="BG34" i="9"/>
  <c r="BG36" i="9"/>
  <c r="BG37" i="9" s="1"/>
  <c r="BU25" i="9"/>
  <c r="BV25" i="9" s="1"/>
  <c r="BW25" i="9" s="1"/>
  <c r="BX25" i="9" s="1"/>
  <c r="BY25" i="9" s="1"/>
  <c r="Z38" i="9"/>
  <c r="AA66" i="9"/>
  <c r="BM32" i="9"/>
  <c r="BL34" i="9"/>
  <c r="AI64" i="9"/>
  <c r="AI68" i="9" s="1"/>
  <c r="BU23" i="9"/>
  <c r="BV23" i="9" s="1"/>
  <c r="BW23" i="9" s="1"/>
  <c r="BX23" i="9" s="1"/>
  <c r="BY23" i="9" s="1"/>
  <c r="BG64" i="9"/>
  <c r="BG68" i="9" s="1"/>
  <c r="AN38" i="9"/>
  <c r="AN66" i="9"/>
  <c r="AK38" i="9"/>
  <c r="AL66" i="9"/>
  <c r="AK66" i="9"/>
  <c r="BS12" i="9"/>
  <c r="BS44" i="9" s="1"/>
  <c r="BM61" i="3"/>
  <c r="BM51" i="3"/>
  <c r="AC67" i="3"/>
  <c r="AC68" i="3"/>
  <c r="AE157" i="3"/>
  <c r="AF158" i="3" s="1"/>
  <c r="AI382" i="7"/>
  <c r="AI380" i="7"/>
  <c r="Y360" i="7"/>
  <c r="S359" i="7"/>
  <c r="Y361" i="7" s="1"/>
  <c r="BR54" i="7"/>
  <c r="BR93" i="7" s="1"/>
  <c r="BX66" i="7"/>
  <c r="BX68" i="7" s="1"/>
  <c r="BX67" i="7" s="1"/>
  <c r="AI51" i="7"/>
  <c r="AI52" i="7" s="1"/>
  <c r="AY125" i="7"/>
  <c r="AZ9" i="7"/>
  <c r="AZ123" i="7"/>
  <c r="BF47" i="8"/>
  <c r="G235" i="7"/>
  <c r="I6" i="7"/>
  <c r="BQ151" i="7"/>
  <c r="BS48" i="8"/>
  <c r="CU11" i="8"/>
  <c r="CU43" i="7"/>
  <c r="AL35" i="8"/>
  <c r="AL67" i="7"/>
  <c r="AL69" i="7" s="1"/>
  <c r="AM13" i="7"/>
  <c r="AS13" i="7"/>
  <c r="AK244" i="7"/>
  <c r="AK344" i="7"/>
  <c r="AK258" i="7"/>
  <c r="AA377" i="7"/>
  <c r="AG379" i="7" s="1"/>
  <c r="AG378" i="7"/>
  <c r="AC266" i="7"/>
  <c r="Y291" i="7"/>
  <c r="Y337" i="7"/>
  <c r="BV20" i="1"/>
  <c r="BV49" i="1"/>
  <c r="AH94" i="1"/>
  <c r="K109" i="7"/>
  <c r="BX106" i="7"/>
  <c r="AH167" i="3"/>
  <c r="AH51" i="1"/>
  <c r="AH79" i="1"/>
  <c r="AH83" i="3"/>
  <c r="AH15" i="1"/>
  <c r="AH137" i="3"/>
  <c r="AH71" i="3"/>
  <c r="AH46" i="1"/>
  <c r="AH57" i="1"/>
  <c r="AH52" i="1"/>
  <c r="AH84" i="3"/>
  <c r="AH85" i="3"/>
  <c r="K49" i="1"/>
  <c r="K20" i="1"/>
  <c r="BX108" i="7"/>
  <c r="BC109" i="7"/>
  <c r="BI109" i="7"/>
  <c r="AN108" i="7"/>
  <c r="AN109" i="7" s="1"/>
  <c r="AN103" i="7"/>
  <c r="AT103" i="7"/>
  <c r="V71" i="3"/>
  <c r="V57" i="1"/>
  <c r="V85" i="3"/>
  <c r="V83" i="3"/>
  <c r="V51" i="1"/>
  <c r="V84" i="3"/>
  <c r="V173" i="3"/>
  <c r="V79" i="1"/>
  <c r="V94" i="1"/>
  <c r="V137" i="3"/>
  <c r="V167" i="3"/>
  <c r="V86" i="1"/>
  <c r="AQ152" i="7"/>
  <c r="AO102" i="7"/>
  <c r="AO47" i="1"/>
  <c r="BR145" i="7"/>
  <c r="BR94" i="1"/>
  <c r="BR71" i="3"/>
  <c r="BR52" i="1"/>
  <c r="BR167" i="3"/>
  <c r="BR83" i="3"/>
  <c r="BR86" i="1"/>
  <c r="BR57" i="1"/>
  <c r="BR79" i="1"/>
  <c r="BR85" i="3"/>
  <c r="BR137" i="3"/>
  <c r="BX62" i="1"/>
  <c r="BX40" i="8" s="1"/>
  <c r="BR84" i="3"/>
  <c r="BR51" i="1"/>
  <c r="BR62" i="1"/>
  <c r="BR40" i="8" s="1"/>
  <c r="AZ103" i="7"/>
  <c r="AZ108" i="7"/>
  <c r="K50" i="1"/>
  <c r="I49" i="1"/>
  <c r="I50" i="1"/>
  <c r="BA102" i="7"/>
  <c r="BA47" i="1"/>
  <c r="BA9" i="1"/>
  <c r="AB103" i="7"/>
  <c r="AH103" i="7"/>
  <c r="AZ167" i="3"/>
  <c r="AZ83" i="3"/>
  <c r="AZ52" i="1"/>
  <c r="AZ57" i="1"/>
  <c r="AZ137" i="3"/>
  <c r="AZ85" i="3"/>
  <c r="AZ84" i="3"/>
  <c r="AZ51" i="1"/>
  <c r="AZ79" i="1"/>
  <c r="AZ145" i="7"/>
  <c r="AZ86" i="1"/>
  <c r="AZ46" i="1"/>
  <c r="AZ15" i="1"/>
  <c r="AZ71" i="3"/>
  <c r="T20" i="1"/>
  <c r="T80" i="1"/>
  <c r="T49" i="1"/>
  <c r="AZ94" i="1"/>
  <c r="AY109" i="7"/>
  <c r="BE109" i="7"/>
  <c r="AC102" i="7"/>
  <c r="AC47" i="1"/>
  <c r="Q50" i="1"/>
  <c r="Q80" i="1"/>
  <c r="Q49" i="1"/>
  <c r="Q20" i="1"/>
  <c r="BA105" i="7"/>
  <c r="BA48" i="1"/>
  <c r="BR49" i="8"/>
  <c r="AX89" i="7"/>
  <c r="BP55" i="7"/>
  <c r="BP57" i="7" s="1"/>
  <c r="BK55" i="7"/>
  <c r="BK57" i="7" s="1"/>
  <c r="BX49" i="8"/>
  <c r="AO9" i="7"/>
  <c r="AO183" i="7" s="1"/>
  <c r="AZ94" i="7"/>
  <c r="AZ48" i="8"/>
  <c r="BD93" i="7"/>
  <c r="BD55" i="7"/>
  <c r="BD57" i="7" s="1"/>
  <c r="BO10" i="7"/>
  <c r="BI17" i="7"/>
  <c r="BP34" i="8"/>
  <c r="BE93" i="7"/>
  <c r="BE55" i="7"/>
  <c r="BE57" i="7" s="1"/>
  <c r="BK44" i="7"/>
  <c r="BK34" i="8"/>
  <c r="AX73" i="7"/>
  <c r="BD78" i="7"/>
  <c r="BD46" i="8"/>
  <c r="AX91" i="7"/>
  <c r="AX90" i="7"/>
  <c r="AX87" i="7"/>
  <c r="AX76" i="7"/>
  <c r="AX85" i="7"/>
  <c r="AM55" i="7"/>
  <c r="AM57" i="7" s="1"/>
  <c r="AM93" i="7"/>
  <c r="BO93" i="7"/>
  <c r="BO55" i="7"/>
  <c r="BO57" i="7" s="1"/>
  <c r="BO36" i="7"/>
  <c r="BO44" i="7"/>
  <c r="BO27" i="7"/>
  <c r="BO34" i="8"/>
  <c r="BI85" i="7"/>
  <c r="BO78" i="7"/>
  <c r="BI88" i="7"/>
  <c r="BI87" i="7"/>
  <c r="BI86" i="7"/>
  <c r="BI73" i="7"/>
  <c r="BO76" i="7"/>
  <c r="BO127" i="1"/>
  <c r="BI89" i="7"/>
  <c r="BO46" i="8"/>
  <c r="BI91" i="7"/>
  <c r="BI90" i="7"/>
  <c r="AU53" i="7"/>
  <c r="AU123" i="7" s="1"/>
  <c r="BC17" i="7"/>
  <c r="AU50" i="7"/>
  <c r="AU48" i="8" s="1"/>
  <c r="BC125" i="7"/>
  <c r="BE125" i="7"/>
  <c r="BD125" i="7"/>
  <c r="BE87" i="7"/>
  <c r="BK78" i="7"/>
  <c r="BE76" i="7"/>
  <c r="BE90" i="7"/>
  <c r="BK46" i="8"/>
  <c r="BE91" i="7"/>
  <c r="BE73" i="7"/>
  <c r="BE88" i="7"/>
  <c r="BE89" i="7"/>
  <c r="BK127" i="1"/>
  <c r="BE86" i="7"/>
  <c r="BK76" i="7"/>
  <c r="BE85" i="7"/>
  <c r="BG50" i="7"/>
  <c r="BM50" i="7"/>
  <c r="BM48" i="8" s="1"/>
  <c r="AR46" i="8"/>
  <c r="AL91" i="7"/>
  <c r="AL88" i="7"/>
  <c r="AL89" i="7"/>
  <c r="AL86" i="7"/>
  <c r="AR76" i="7"/>
  <c r="AL90" i="7"/>
  <c r="AR78" i="7"/>
  <c r="AL73" i="7"/>
  <c r="AL81" i="7"/>
  <c r="AL87" i="7"/>
  <c r="AL76" i="7"/>
  <c r="BM53" i="7"/>
  <c r="BM40" i="7" s="1"/>
  <c r="BL54" i="7"/>
  <c r="BL93" i="7" s="1"/>
  <c r="AT95" i="7"/>
  <c r="BL94" i="7"/>
  <c r="AY93" i="7"/>
  <c r="AY55" i="7"/>
  <c r="AY57" i="7" s="1"/>
  <c r="AN95" i="7"/>
  <c r="AU95" i="7"/>
  <c r="AU49" i="8"/>
  <c r="BS52" i="7"/>
  <c r="BS95" i="7" s="1"/>
  <c r="BL124" i="7"/>
  <c r="BI55" i="7"/>
  <c r="BI57" i="7" s="1"/>
  <c r="BI93" i="7"/>
  <c r="AT49" i="8"/>
  <c r="BF94" i="7"/>
  <c r="BF48" i="8"/>
  <c r="AS93" i="7"/>
  <c r="AS55" i="7"/>
  <c r="AS57" i="7" s="1"/>
  <c r="AL93" i="7"/>
  <c r="AL55" i="7"/>
  <c r="AL57" i="7" s="1"/>
  <c r="AR55" i="7"/>
  <c r="AR57" i="7" s="1"/>
  <c r="AR93" i="7"/>
  <c r="AH53" i="7"/>
  <c r="M47" i="36" s="1"/>
  <c r="AN49" i="8"/>
  <c r="AW93" i="7"/>
  <c r="AW55" i="7"/>
  <c r="AW57" i="7" s="1"/>
  <c r="AY10" i="7"/>
  <c r="AS17" i="7"/>
  <c r="AL85" i="7"/>
  <c r="BR47" i="8"/>
  <c r="BM52" i="7"/>
  <c r="BL123" i="7"/>
  <c r="BR56" i="7"/>
  <c r="BR27" i="7" s="1"/>
  <c r="BC55" i="7"/>
  <c r="BC93" i="7"/>
  <c r="BI36" i="7"/>
  <c r="BI44" i="7"/>
  <c r="BI34" i="8"/>
  <c r="BI27" i="7"/>
  <c r="BI127" i="1"/>
  <c r="BC90" i="7"/>
  <c r="BC73" i="7"/>
  <c r="BC88" i="7"/>
  <c r="BC86" i="7"/>
  <c r="BI78" i="7"/>
  <c r="BC87" i="7"/>
  <c r="BC76" i="7"/>
  <c r="BC89" i="7"/>
  <c r="BC91" i="7"/>
  <c r="BI76" i="7"/>
  <c r="AN9" i="7"/>
  <c r="AN115" i="7"/>
  <c r="M80" i="36" s="1"/>
  <c r="AN75" i="7"/>
  <c r="AT54" i="7"/>
  <c r="AN123" i="7"/>
  <c r="AT47" i="8"/>
  <c r="BL95" i="7"/>
  <c r="BL49" i="8"/>
  <c r="BF9" i="7"/>
  <c r="BL47" i="8"/>
  <c r="BF115" i="7"/>
  <c r="Y80" i="36" s="1"/>
  <c r="BF123" i="7"/>
  <c r="BF75" i="7"/>
  <c r="AC52" i="36" s="1"/>
  <c r="BF54" i="7"/>
  <c r="BF124" i="7"/>
  <c r="BC10" i="7"/>
  <c r="AW17" i="7"/>
  <c r="AW10" i="7"/>
  <c r="AS91" i="7"/>
  <c r="AS73" i="7"/>
  <c r="AS88" i="7"/>
  <c r="AS89" i="7"/>
  <c r="AS87" i="7"/>
  <c r="AS86" i="7"/>
  <c r="AY78" i="7"/>
  <c r="AY46" i="8"/>
  <c r="AS76" i="7"/>
  <c r="AY76" i="7"/>
  <c r="AS90" i="7"/>
  <c r="AS85" i="7"/>
  <c r="BR9" i="7"/>
  <c r="BX47" i="8"/>
  <c r="BR123" i="7"/>
  <c r="BR124" i="7"/>
  <c r="CE154" i="3"/>
  <c r="AS39" i="3"/>
  <c r="AR92" i="3"/>
  <c r="BS29" i="4"/>
  <c r="AN30" i="4"/>
  <c r="AN33" i="4" s="1"/>
  <c r="AM100" i="3"/>
  <c r="AM33" i="4"/>
  <c r="AH46" i="4"/>
  <c r="AI46" i="4" s="1"/>
  <c r="BE120" i="3"/>
  <c r="BE121" i="3"/>
  <c r="BS17" i="4"/>
  <c r="BR171" i="3"/>
  <c r="BR173" i="3"/>
  <c r="BG14" i="4"/>
  <c r="BF13" i="4"/>
  <c r="BG13" i="4" s="1"/>
  <c r="BF119" i="3"/>
  <c r="BF22" i="1"/>
  <c r="U126" i="3"/>
  <c r="AB30" i="4"/>
  <c r="AC30" i="4" s="1"/>
  <c r="AA100" i="3"/>
  <c r="BE107" i="3"/>
  <c r="BE21" i="1"/>
  <c r="W29" i="4"/>
  <c r="BR21" i="4"/>
  <c r="BR20" i="4" s="1"/>
  <c r="BR26" i="4" s="1"/>
  <c r="BQ20" i="4"/>
  <c r="BG80" i="4"/>
  <c r="AB23" i="1"/>
  <c r="AB95" i="1"/>
  <c r="AB96" i="1" s="1"/>
  <c r="AN20" i="4"/>
  <c r="BG49" i="4"/>
  <c r="AC70" i="4"/>
  <c r="AC80" i="4" s="1"/>
  <c r="AZ18" i="4"/>
  <c r="BA18" i="4" s="1"/>
  <c r="AO29" i="4"/>
  <c r="AN125" i="3"/>
  <c r="AN126" i="3" s="1"/>
  <c r="BA23" i="4"/>
  <c r="V71" i="4"/>
  <c r="W71" i="4" s="1"/>
  <c r="AO12" i="4"/>
  <c r="AT12" i="4"/>
  <c r="AT30" i="4"/>
  <c r="AS100" i="3"/>
  <c r="AS33" i="4"/>
  <c r="C54" i="4"/>
  <c r="C77" i="3"/>
  <c r="O72" i="4"/>
  <c r="Q68" i="4" s="1"/>
  <c r="O77" i="4"/>
  <c r="O78" i="4"/>
  <c r="O76" i="4"/>
  <c r="AZ13" i="4"/>
  <c r="AI12" i="4"/>
  <c r="AI86" i="4"/>
  <c r="AG33" i="4"/>
  <c r="AB32" i="4"/>
  <c r="AO70" i="4"/>
  <c r="AO80" i="4" s="1"/>
  <c r="AN80" i="4"/>
  <c r="AH21" i="1"/>
  <c r="AH107" i="3"/>
  <c r="AI107" i="3" s="1"/>
  <c r="W39" i="4"/>
  <c r="W47" i="4" s="1"/>
  <c r="V47" i="4"/>
  <c r="AH37" i="4"/>
  <c r="AI37" i="4" s="1"/>
  <c r="Z95" i="1"/>
  <c r="Z96" i="1" s="1"/>
  <c r="Z23" i="1"/>
  <c r="BA17" i="4"/>
  <c r="AZ173" i="3"/>
  <c r="AZ171" i="3"/>
  <c r="CE147" i="3"/>
  <c r="CB88" i="7"/>
  <c r="CB73" i="7"/>
  <c r="CB91" i="7"/>
  <c r="CB85" i="7"/>
  <c r="CB90" i="7"/>
  <c r="CB81" i="7"/>
  <c r="CB89" i="7"/>
  <c r="CB87" i="7"/>
  <c r="CB86" i="7"/>
  <c r="CV11" i="8"/>
  <c r="CV43" i="7"/>
  <c r="CB76" i="7"/>
  <c r="CB77" i="7" s="1"/>
  <c r="CB80" i="7" s="1"/>
  <c r="AM52" i="36" s="1"/>
  <c r="BM97" i="7"/>
  <c r="BM51" i="8"/>
  <c r="Y301" i="7"/>
  <c r="Y341" i="7"/>
  <c r="BR129" i="7"/>
  <c r="BX50" i="8"/>
  <c r="BR75" i="7"/>
  <c r="BR12" i="7"/>
  <c r="BR130" i="7"/>
  <c r="BR66" i="7"/>
  <c r="BX57" i="7"/>
  <c r="BS51" i="8"/>
  <c r="AX148" i="7"/>
  <c r="BA72" i="3"/>
  <c r="BA168" i="3"/>
  <c r="BA73" i="3"/>
  <c r="BD49" i="1"/>
  <c r="BD50" i="1"/>
  <c r="AU107" i="1"/>
  <c r="AU33" i="1" s="1"/>
  <c r="BU33" i="1"/>
  <c r="BY107" i="1"/>
  <c r="BA80" i="4"/>
  <c r="CC28" i="1"/>
  <c r="BR125" i="3"/>
  <c r="BR126" i="3" s="1"/>
  <c r="BR33" i="4"/>
  <c r="AF33" i="4"/>
  <c r="AB80" i="4"/>
  <c r="BK34" i="9"/>
  <c r="BK66" i="9" s="1"/>
  <c r="BK36" i="9"/>
  <c r="AO17" i="4"/>
  <c r="AN171" i="3"/>
  <c r="AN173" i="3"/>
  <c r="AT16" i="4"/>
  <c r="AU16" i="4" s="1"/>
  <c r="W64" i="9"/>
  <c r="W68" i="9" s="1"/>
  <c r="AW64" i="9"/>
  <c r="AW68" i="9" s="1"/>
  <c r="AR120" i="3"/>
  <c r="AR121" i="3"/>
  <c r="AX17" i="7"/>
  <c r="BD10" i="7"/>
  <c r="AX10" i="7"/>
  <c r="AR85" i="3"/>
  <c r="AR71" i="3"/>
  <c r="AR74" i="3" s="1"/>
  <c r="AR101" i="3"/>
  <c r="AR84" i="3"/>
  <c r="AR57" i="1"/>
  <c r="AR81" i="7"/>
  <c r="AR167" i="3"/>
  <c r="AR83" i="3"/>
  <c r="AR145" i="7"/>
  <c r="AR51" i="1"/>
  <c r="AR62" i="1"/>
  <c r="AR40" i="8" s="1"/>
  <c r="AR137" i="3"/>
  <c r="AR173" i="3"/>
  <c r="AX62" i="1"/>
  <c r="AX40" i="8" s="1"/>
  <c r="AR79" i="1"/>
  <c r="AR86" i="1"/>
  <c r="AR52" i="1"/>
  <c r="AR94" i="1"/>
  <c r="AR46" i="1"/>
  <c r="AR15" i="1"/>
  <c r="AC17" i="7"/>
  <c r="AQ168" i="3"/>
  <c r="AQ46" i="1"/>
  <c r="AQ73" i="3"/>
  <c r="AQ63" i="1"/>
  <c r="AQ72" i="3"/>
  <c r="AW63" i="1"/>
  <c r="AQ15" i="1"/>
  <c r="AW50" i="1" s="1"/>
  <c r="BI145" i="7"/>
  <c r="BI86" i="1"/>
  <c r="BI173" i="3"/>
  <c r="BI137" i="3"/>
  <c r="BI15" i="1"/>
  <c r="BI101" i="3"/>
  <c r="BI57" i="1"/>
  <c r="BI46" i="1"/>
  <c r="BI51" i="1"/>
  <c r="BI85" i="3"/>
  <c r="BI71" i="3"/>
  <c r="BI74" i="3" s="1"/>
  <c r="BI52" i="1"/>
  <c r="BI84" i="3"/>
  <c r="BI83" i="3"/>
  <c r="BI81" i="7"/>
  <c r="BI79" i="1"/>
  <c r="BI167" i="3"/>
  <c r="BI62" i="1"/>
  <c r="BI40" i="8" s="1"/>
  <c r="BU141" i="7"/>
  <c r="BU142" i="7"/>
  <c r="BU20" i="1"/>
  <c r="BU49" i="1"/>
  <c r="BU80" i="1"/>
  <c r="M79" i="1"/>
  <c r="BJ152" i="7"/>
  <c r="BP159" i="7"/>
  <c r="BJ159" i="7"/>
  <c r="CA28" i="9"/>
  <c r="CB28" i="9" s="1"/>
  <c r="CC28" i="9" s="1"/>
  <c r="CD28" i="9" s="1"/>
  <c r="CE28" i="9" s="1"/>
  <c r="BY60" i="9"/>
  <c r="CA30" i="9"/>
  <c r="CB30" i="9" s="1"/>
  <c r="CC30" i="9" s="1"/>
  <c r="CD30" i="9" s="1"/>
  <c r="CE30" i="9" s="1"/>
  <c r="BY62" i="9"/>
  <c r="AS152" i="7"/>
  <c r="AS141" i="7"/>
  <c r="Y95" i="1"/>
  <c r="Y96" i="1" s="1"/>
  <c r="Y23" i="1"/>
  <c r="W107" i="3"/>
  <c r="V115" i="3"/>
  <c r="V114" i="3"/>
  <c r="AC48" i="1"/>
  <c r="AC9" i="1"/>
  <c r="AC105" i="7"/>
  <c r="CA19" i="9"/>
  <c r="CB19" i="9" s="1"/>
  <c r="CC19" i="9" s="1"/>
  <c r="CD19" i="9" s="1"/>
  <c r="CE19" i="9" s="1"/>
  <c r="BY51" i="9"/>
  <c r="AY141" i="7"/>
  <c r="AY152" i="7"/>
  <c r="AY159" i="7"/>
  <c r="AO19" i="1"/>
  <c r="AR148" i="7"/>
  <c r="AY101" i="3"/>
  <c r="S110" i="3"/>
  <c r="T99" i="3"/>
  <c r="S114" i="3"/>
  <c r="BF29" i="4"/>
  <c r="BG29" i="4" s="1"/>
  <c r="BE33" i="4"/>
  <c r="BE125" i="3"/>
  <c r="CO67" i="7"/>
  <c r="CO12" i="8"/>
  <c r="BF71" i="4"/>
  <c r="BG71" i="4" s="1"/>
  <c r="CO35" i="7"/>
  <c r="CO10" i="8"/>
  <c r="CU10" i="8"/>
  <c r="DA20" i="8" s="1"/>
  <c r="CU35" i="7"/>
  <c r="CV38" i="7"/>
  <c r="CA76" i="7"/>
  <c r="CA77" i="7" s="1"/>
  <c r="CA80" i="7" s="1"/>
  <c r="AL52" i="36" s="1"/>
  <c r="AL105" i="36" s="1"/>
  <c r="AL106" i="36" s="1"/>
  <c r="CA91" i="7"/>
  <c r="CA88" i="7"/>
  <c r="CA90" i="7"/>
  <c r="CA87" i="7"/>
  <c r="CA85" i="7"/>
  <c r="CA81" i="7"/>
  <c r="CA86" i="7"/>
  <c r="CA89" i="7"/>
  <c r="CA73" i="7"/>
  <c r="AO69" i="4"/>
  <c r="BR80" i="4"/>
  <c r="BS80" i="4" s="1"/>
  <c r="CU30" i="8"/>
  <c r="BV36" i="7"/>
  <c r="BV44" i="7"/>
  <c r="BV42" i="7" s="1"/>
  <c r="BV34" i="8"/>
  <c r="BV27" i="7"/>
  <c r="BV25" i="7" s="1"/>
  <c r="BD101" i="3"/>
  <c r="CG66" i="7"/>
  <c r="U101" i="3"/>
  <c r="BP101" i="3"/>
  <c r="BR47" i="4"/>
  <c r="BS49" i="4"/>
  <c r="AZ125" i="3"/>
  <c r="CB74" i="3"/>
  <c r="BS40" i="4"/>
  <c r="BS47" i="4" s="1"/>
  <c r="BG43" i="4"/>
  <c r="BG36" i="4"/>
  <c r="BG44" i="4"/>
  <c r="Y64" i="9"/>
  <c r="Y68" i="9" s="1"/>
  <c r="CC94" i="1"/>
  <c r="Z66" i="9"/>
  <c r="Y38" i="9"/>
  <c r="AH38" i="9"/>
  <c r="AH66" i="9"/>
  <c r="BF38" i="9"/>
  <c r="BF66" i="9"/>
  <c r="BR47" i="1"/>
  <c r="BR12" i="1"/>
  <c r="BS13" i="1"/>
  <c r="BS47" i="1" s="1"/>
  <c r="AU101" i="1"/>
  <c r="Z94" i="1"/>
  <c r="Z71" i="3"/>
  <c r="Z74" i="3" s="1"/>
  <c r="Z84" i="3"/>
  <c r="Z46" i="1"/>
  <c r="Z167" i="3"/>
  <c r="Z85" i="3"/>
  <c r="Z83" i="3"/>
  <c r="Z52" i="1"/>
  <c r="Z15" i="1"/>
  <c r="Z173" i="3"/>
  <c r="Z75" i="7"/>
  <c r="Z51" i="1"/>
  <c r="Z57" i="1"/>
  <c r="Z79" i="1"/>
  <c r="Z62" i="1"/>
  <c r="Z40" i="8" s="1"/>
  <c r="Z137" i="3"/>
  <c r="Z101" i="3"/>
  <c r="AF62" i="1"/>
  <c r="AF40" i="8" s="1"/>
  <c r="AY17" i="7"/>
  <c r="AY13" i="7"/>
  <c r="AU11" i="1"/>
  <c r="AT9" i="1"/>
  <c r="AT105" i="7"/>
  <c r="AT48" i="1"/>
  <c r="BW80" i="1"/>
  <c r="BW49" i="1"/>
  <c r="BW50" i="1"/>
  <c r="BW20" i="1"/>
  <c r="BI94" i="1"/>
  <c r="CA17" i="9"/>
  <c r="CB17" i="9" s="1"/>
  <c r="CC17" i="9" s="1"/>
  <c r="CD17" i="9" s="1"/>
  <c r="CE17" i="9" s="1"/>
  <c r="BY49" i="9"/>
  <c r="BC50" i="1"/>
  <c r="BC20" i="1"/>
  <c r="BC49" i="1"/>
  <c r="BC135" i="7"/>
  <c r="BC80" i="1"/>
  <c r="BS107" i="1"/>
  <c r="BS33" i="1" s="1"/>
  <c r="AE135" i="7"/>
  <c r="AE80" i="1"/>
  <c r="AE49" i="1"/>
  <c r="AE20" i="1"/>
  <c r="AE50" i="1"/>
  <c r="I249" i="7"/>
  <c r="BC33" i="1"/>
  <c r="BG107" i="1"/>
  <c r="BG33" i="1" s="1"/>
  <c r="AC107" i="1"/>
  <c r="AC33" i="1" s="1"/>
  <c r="V239" i="7"/>
  <c r="AB289" i="7"/>
  <c r="AB337" i="7" s="1"/>
  <c r="BX20" i="4"/>
  <c r="W19" i="1"/>
  <c r="AC65" i="1"/>
  <c r="W65" i="1"/>
  <c r="AB66" i="1"/>
  <c r="V169" i="3"/>
  <c r="AY49" i="1"/>
  <c r="CV66" i="7"/>
  <c r="CV96" i="7" s="1"/>
  <c r="CG85" i="4"/>
  <c r="CG41" i="1"/>
  <c r="CO43" i="7"/>
  <c r="CO11" i="8"/>
  <c r="BF41" i="4"/>
  <c r="AH173" i="3"/>
  <c r="AH171" i="3"/>
  <c r="CU34" i="8"/>
  <c r="CU44" i="7"/>
  <c r="CU36" i="7"/>
  <c r="BR100" i="3"/>
  <c r="BR101" i="3" s="1"/>
  <c r="AZ80" i="4"/>
  <c r="BG45" i="4"/>
  <c r="BP17" i="7"/>
  <c r="BP10" i="7"/>
  <c r="BV10" i="7"/>
  <c r="BE100" i="3"/>
  <c r="BE101" i="3" s="1"/>
  <c r="BF30" i="4"/>
  <c r="BG30" i="4" s="1"/>
  <c r="V100" i="3"/>
  <c r="V101" i="3" s="1"/>
  <c r="W30" i="4"/>
  <c r="BQ100" i="3"/>
  <c r="BQ101" i="3" s="1"/>
  <c r="BS30" i="4"/>
  <c r="CJ12" i="8"/>
  <c r="BG20" i="4"/>
  <c r="BG40" i="4"/>
  <c r="BO17" i="7"/>
  <c r="BU13" i="7"/>
  <c r="BO13" i="7"/>
  <c r="BX100" i="3"/>
  <c r="BX101" i="3" s="1"/>
  <c r="BX33" i="4"/>
  <c r="BQ125" i="3"/>
  <c r="BQ33" i="4"/>
  <c r="AU22" i="4"/>
  <c r="AU20" i="4" s="1"/>
  <c r="BS71" i="4"/>
  <c r="AZ31" i="4"/>
  <c r="BA31" i="4" s="1"/>
  <c r="AN21" i="1"/>
  <c r="AN107" i="3"/>
  <c r="AA80" i="4"/>
  <c r="CA26" i="4"/>
  <c r="BF39" i="4"/>
  <c r="BG39" i="4" s="1"/>
  <c r="BE47" i="4"/>
  <c r="AT10" i="4"/>
  <c r="AS26" i="4"/>
  <c r="AT17" i="4"/>
  <c r="AU17" i="4" s="1"/>
  <c r="AS171" i="3"/>
  <c r="AS173" i="3"/>
  <c r="AU36" i="4"/>
  <c r="AO10" i="4"/>
  <c r="AH31" i="4"/>
  <c r="AI41" i="4"/>
  <c r="AI17" i="4"/>
  <c r="AH32" i="4"/>
  <c r="AI32" i="4" s="1"/>
  <c r="AO21" i="4"/>
  <c r="AO20" i="4" s="1"/>
  <c r="BO101" i="3"/>
  <c r="BO51" i="1"/>
  <c r="BO57" i="1"/>
  <c r="BO167" i="3"/>
  <c r="BO137" i="3"/>
  <c r="BO15" i="1"/>
  <c r="BO85" i="3"/>
  <c r="BO81" i="7"/>
  <c r="BO62" i="1"/>
  <c r="BO40" i="8" s="1"/>
  <c r="BO173" i="3"/>
  <c r="BO84" i="3"/>
  <c r="BO52" i="1"/>
  <c r="BO46" i="1"/>
  <c r="BO83" i="3"/>
  <c r="BO71" i="3"/>
  <c r="BO74" i="3" s="1"/>
  <c r="BO145" i="7"/>
  <c r="BU159" i="7" s="1"/>
  <c r="BO86" i="1"/>
  <c r="BO79" i="1"/>
  <c r="AU166" i="3"/>
  <c r="O62" i="1"/>
  <c r="M15" i="1"/>
  <c r="M51" i="1"/>
  <c r="M173" i="3"/>
  <c r="M85" i="3"/>
  <c r="M62" i="1"/>
  <c r="M84" i="3"/>
  <c r="M52" i="1"/>
  <c r="M94" i="1"/>
  <c r="M46" i="1"/>
  <c r="M137" i="3"/>
  <c r="M158" i="3" s="1"/>
  <c r="M83" i="3"/>
  <c r="M57" i="1"/>
  <c r="M167" i="3"/>
  <c r="M71" i="3"/>
  <c r="M74" i="3" s="1"/>
  <c r="M101" i="3"/>
  <c r="M310" i="7"/>
  <c r="AR17" i="7"/>
  <c r="AR10" i="7"/>
  <c r="BE158" i="3"/>
  <c r="BE152" i="7"/>
  <c r="BE159" i="7"/>
  <c r="BK159" i="7"/>
  <c r="BW74" i="3"/>
  <c r="CA29" i="9"/>
  <c r="CB29" i="9" s="1"/>
  <c r="CC29" i="9" s="1"/>
  <c r="CD29" i="9" s="1"/>
  <c r="CE29" i="9" s="1"/>
  <c r="AW80" i="1"/>
  <c r="AW135" i="7"/>
  <c r="AW49" i="1"/>
  <c r="AW20" i="1"/>
  <c r="AI87" i="1"/>
  <c r="CA27" i="9"/>
  <c r="CB27" i="9" s="1"/>
  <c r="CC27" i="9" s="1"/>
  <c r="CD27" i="9" s="1"/>
  <c r="CE27" i="9" s="1"/>
  <c r="AM50" i="1"/>
  <c r="AG135" i="7"/>
  <c r="AG49" i="1"/>
  <c r="AG80" i="1"/>
  <c r="AG20" i="1"/>
  <c r="AG50" i="1"/>
  <c r="CA22" i="9"/>
  <c r="CB22" i="9" s="1"/>
  <c r="CC22" i="9" s="1"/>
  <c r="CD22" i="9" s="1"/>
  <c r="CE22" i="9" s="1"/>
  <c r="BY54" i="9"/>
  <c r="BW86" i="4"/>
  <c r="BC152" i="7"/>
  <c r="BC159" i="7"/>
  <c r="BG13" i="1"/>
  <c r="BG47" i="1" s="1"/>
  <c r="BF47" i="1"/>
  <c r="BF12" i="1"/>
  <c r="W289" i="7"/>
  <c r="Y109" i="7"/>
  <c r="AE109" i="7"/>
  <c r="AS74" i="3"/>
  <c r="AE46" i="8"/>
  <c r="Y50" i="1"/>
  <c r="Y20" i="1"/>
  <c r="Y80" i="1"/>
  <c r="Y49" i="1"/>
  <c r="BW20" i="4"/>
  <c r="BW26" i="4" s="1"/>
  <c r="AH106" i="7"/>
  <c r="AB106" i="7"/>
  <c r="AB108" i="7"/>
  <c r="AK20" i="1"/>
  <c r="AK80" i="1"/>
  <c r="AK49" i="1"/>
  <c r="AK135" i="7"/>
  <c r="AK50" i="1"/>
  <c r="S66" i="9"/>
  <c r="Q38" i="9"/>
  <c r="Q66" i="9"/>
  <c r="BI64" i="9"/>
  <c r="BI68" i="9" s="1"/>
  <c r="AR13" i="7"/>
  <c r="AX13" i="7"/>
  <c r="AM17" i="7"/>
  <c r="AS10" i="7"/>
  <c r="AM10" i="7"/>
  <c r="BE80" i="1"/>
  <c r="BE49" i="1"/>
  <c r="BE20" i="1"/>
  <c r="BE135" i="7"/>
  <c r="BK50" i="1"/>
  <c r="BO94" i="1"/>
  <c r="AW152" i="7"/>
  <c r="AW159" i="7"/>
  <c r="AH87" i="1"/>
  <c r="AH86" i="1"/>
  <c r="BJ20" i="1"/>
  <c r="BJ80" i="1"/>
  <c r="BJ50" i="1"/>
  <c r="BJ49" i="1"/>
  <c r="BM87" i="1"/>
  <c r="CA21" i="9"/>
  <c r="CB21" i="9" s="1"/>
  <c r="CC21" i="9" s="1"/>
  <c r="CD21" i="9" s="1"/>
  <c r="CE21" i="9" s="1"/>
  <c r="BY53" i="9"/>
  <c r="AN121" i="3"/>
  <c r="AN120" i="3"/>
  <c r="AK331" i="7"/>
  <c r="AK306" i="7"/>
  <c r="U33" i="1"/>
  <c r="W107" i="1"/>
  <c r="W33" i="1" s="1"/>
  <c r="BL33" i="1"/>
  <c r="AI66" i="9"/>
  <c r="AE66" i="9"/>
  <c r="AC38" i="9"/>
  <c r="AS50" i="1"/>
  <c r="AS135" i="7"/>
  <c r="AS80" i="1"/>
  <c r="AS20" i="1"/>
  <c r="AS49" i="1"/>
  <c r="AB86" i="1"/>
  <c r="AB71" i="3"/>
  <c r="AB62" i="1"/>
  <c r="AB40" i="8" s="1"/>
  <c r="AB79" i="1"/>
  <c r="AB173" i="3"/>
  <c r="AB94" i="1"/>
  <c r="AB15" i="1"/>
  <c r="AB57" i="1"/>
  <c r="AB52" i="1"/>
  <c r="AB137" i="3"/>
  <c r="AB75" i="7"/>
  <c r="AB46" i="1"/>
  <c r="AB83" i="3"/>
  <c r="AB167" i="3"/>
  <c r="AB85" i="3"/>
  <c r="AH62" i="1"/>
  <c r="AH40" i="8" s="1"/>
  <c r="AB84" i="3"/>
  <c r="AB51" i="1"/>
  <c r="AN66" i="1"/>
  <c r="AT66" i="1"/>
  <c r="AN169" i="3"/>
  <c r="AA92" i="3"/>
  <c r="AB92" i="3"/>
  <c r="CD106" i="7" l="1"/>
  <c r="CJ106" i="7"/>
  <c r="BY48" i="9"/>
  <c r="CA26" i="9"/>
  <c r="CB26" i="9" s="1"/>
  <c r="CC26" i="9" s="1"/>
  <c r="CD26" i="9" s="1"/>
  <c r="CE26" i="9" s="1"/>
  <c r="Y66" i="9"/>
  <c r="W66" i="9"/>
  <c r="AC66" i="9"/>
  <c r="W298" i="7"/>
  <c r="AG326" i="7"/>
  <c r="V306" i="7"/>
  <c r="V318" i="7" s="1"/>
  <c r="AB299" i="7"/>
  <c r="AB341" i="7" s="1"/>
  <c r="BS9" i="7"/>
  <c r="AE373" i="7"/>
  <c r="AU18" i="36"/>
  <c r="BG123" i="7"/>
  <c r="AE248" i="7"/>
  <c r="AK249" i="7" s="1"/>
  <c r="AI243" i="7"/>
  <c r="AI371" i="7" s="1"/>
  <c r="AC295" i="7"/>
  <c r="AC342" i="7" s="1"/>
  <c r="BG75" i="7"/>
  <c r="BM127" i="1" s="1"/>
  <c r="AC299" i="7"/>
  <c r="AK372" i="7"/>
  <c r="CA10" i="9"/>
  <c r="CB10" i="9" s="1"/>
  <c r="CC10" i="9" s="1"/>
  <c r="CD10" i="9" s="1"/>
  <c r="CE10" i="9" s="1"/>
  <c r="CE42" i="9" s="1"/>
  <c r="CG18" i="9"/>
  <c r="CH18" i="9" s="1"/>
  <c r="CI18" i="9" s="1"/>
  <c r="CJ18" i="9" s="1"/>
  <c r="CK18" i="9" s="1"/>
  <c r="CM18" i="9" s="1"/>
  <c r="CN18" i="9" s="1"/>
  <c r="CO18" i="9" s="1"/>
  <c r="CP18" i="9" s="1"/>
  <c r="CQ18" i="9" s="1"/>
  <c r="CQ50" i="9" s="1"/>
  <c r="BY50" i="9"/>
  <c r="AS21" i="1"/>
  <c r="AN107" i="1"/>
  <c r="BE50" i="1"/>
  <c r="AO101" i="1"/>
  <c r="AY80" i="1"/>
  <c r="AB115" i="1"/>
  <c r="AB179" i="3" s="1"/>
  <c r="AY20" i="1"/>
  <c r="BE68" i="1" s="1"/>
  <c r="AE244" i="7"/>
  <c r="AE258" i="7"/>
  <c r="AA301" i="7"/>
  <c r="BU77" i="3"/>
  <c r="BE59" i="4"/>
  <c r="AE268" i="7"/>
  <c r="AF248" i="7"/>
  <c r="AF306" i="7" s="1"/>
  <c r="AF325" i="7" s="1"/>
  <c r="AK246" i="7"/>
  <c r="V106" i="36"/>
  <c r="AH51" i="3"/>
  <c r="AC51" i="3"/>
  <c r="BS68" i="7"/>
  <c r="BS35" i="8" s="1"/>
  <c r="BF131" i="7"/>
  <c r="CA87" i="1"/>
  <c r="AC61" i="3"/>
  <c r="BA157" i="3"/>
  <c r="BC158" i="3" s="1"/>
  <c r="BY51" i="3"/>
  <c r="AI157" i="3"/>
  <c r="AK158" i="3" s="1"/>
  <c r="W66" i="3"/>
  <c r="AI23" i="1"/>
  <c r="CE80" i="4"/>
  <c r="AB114" i="3"/>
  <c r="AC107" i="3"/>
  <c r="AO22" i="1"/>
  <c r="BS157" i="3"/>
  <c r="BU158" i="3" s="1"/>
  <c r="AC157" i="3"/>
  <c r="AE158" i="3" s="1"/>
  <c r="AC273" i="7"/>
  <c r="AC335" i="7" s="1"/>
  <c r="AE246" i="7"/>
  <c r="T86" i="36"/>
  <c r="BM12" i="7"/>
  <c r="CA44" i="7"/>
  <c r="R86" i="36"/>
  <c r="AE90" i="7"/>
  <c r="BG40" i="7"/>
  <c r="BM42" i="7" s="1"/>
  <c r="BC77" i="7"/>
  <c r="BC79" i="7" s="1"/>
  <c r="BC82" i="7" s="1"/>
  <c r="AK268" i="7"/>
  <c r="BS123" i="7"/>
  <c r="AG329" i="7"/>
  <c r="AG330" i="7"/>
  <c r="BM57" i="7"/>
  <c r="BM47" i="8"/>
  <c r="BC36" i="8"/>
  <c r="AG327" i="7"/>
  <c r="AG310" i="7"/>
  <c r="BG9" i="7"/>
  <c r="BG182" i="7" s="1"/>
  <c r="BG115" i="7"/>
  <c r="BC41" i="8"/>
  <c r="BC42" i="8" s="1"/>
  <c r="CB18" i="7"/>
  <c r="AG325" i="7"/>
  <c r="CA20" i="9"/>
  <c r="CB20" i="9" s="1"/>
  <c r="CC20" i="9" s="1"/>
  <c r="CD20" i="9" s="1"/>
  <c r="CE20" i="9" s="1"/>
  <c r="CE52" i="9" s="1"/>
  <c r="CG15" i="9"/>
  <c r="CH15" i="9" s="1"/>
  <c r="CI15" i="9" s="1"/>
  <c r="CJ15" i="9" s="1"/>
  <c r="CK15" i="9" s="1"/>
  <c r="CM15" i="9" s="1"/>
  <c r="CN15" i="9" s="1"/>
  <c r="CO15" i="9" s="1"/>
  <c r="CP15" i="9" s="1"/>
  <c r="CQ15" i="9" s="1"/>
  <c r="CQ47" i="9" s="1"/>
  <c r="CD26" i="4"/>
  <c r="CD78" i="3" s="1"/>
  <c r="BM117" i="7"/>
  <c r="U320" i="7"/>
  <c r="AZ131" i="7"/>
  <c r="AH379" i="7"/>
  <c r="V86" i="36"/>
  <c r="AS139" i="3"/>
  <c r="AS179" i="3"/>
  <c r="V20" i="1"/>
  <c r="V24" i="1" s="1"/>
  <c r="AA139" i="3"/>
  <c r="BY33" i="1"/>
  <c r="AH115" i="1"/>
  <c r="CA49" i="1"/>
  <c r="AL82" i="36" s="1"/>
  <c r="CA20" i="1"/>
  <c r="CA24" i="1" s="1"/>
  <c r="CA56" i="1" s="1"/>
  <c r="AN115" i="1"/>
  <c r="AM179" i="3"/>
  <c r="CK41" i="3"/>
  <c r="CJ190" i="3"/>
  <c r="AI50" i="3"/>
  <c r="AI185" i="3"/>
  <c r="CK32" i="3"/>
  <c r="CJ191" i="3"/>
  <c r="AH198" i="3"/>
  <c r="AH199" i="3"/>
  <c r="AN198" i="3"/>
  <c r="AN199" i="3"/>
  <c r="AB198" i="3"/>
  <c r="AB199" i="3"/>
  <c r="BA199" i="3"/>
  <c r="BA198" i="3"/>
  <c r="AU199" i="3"/>
  <c r="AU198" i="3"/>
  <c r="AO199" i="3"/>
  <c r="AO198" i="3"/>
  <c r="AC199" i="3"/>
  <c r="AC198" i="3"/>
  <c r="BP80" i="1"/>
  <c r="BP20" i="1"/>
  <c r="BP60" i="3" s="1"/>
  <c r="AC288" i="7"/>
  <c r="AC239" i="7" s="1"/>
  <c r="AC359" i="7" s="1"/>
  <c r="U323" i="7"/>
  <c r="U324" i="7"/>
  <c r="Z42" i="8"/>
  <c r="AV7" i="36"/>
  <c r="AV18" i="36" s="1"/>
  <c r="EM10" i="8"/>
  <c r="AB42" i="8"/>
  <c r="AV8" i="36"/>
  <c r="AV19" i="36" s="1"/>
  <c r="EM11" i="8"/>
  <c r="AH42" i="8"/>
  <c r="AV9" i="36"/>
  <c r="AV20" i="36" s="1"/>
  <c r="EM12" i="8"/>
  <c r="BU60" i="4"/>
  <c r="BU62" i="4" s="1"/>
  <c r="BE78" i="3"/>
  <c r="AO119" i="3"/>
  <c r="BV77" i="3"/>
  <c r="AU157" i="3"/>
  <c r="AW158" i="3" s="1"/>
  <c r="AT44" i="3"/>
  <c r="AT45" i="3" s="1"/>
  <c r="AO41" i="4"/>
  <c r="AZ45" i="3"/>
  <c r="BG51" i="3"/>
  <c r="BP50" i="1"/>
  <c r="H96" i="36"/>
  <c r="AY135" i="7"/>
  <c r="BV50" i="1"/>
  <c r="BP49" i="1"/>
  <c r="AE82" i="36" s="1"/>
  <c r="BY168" i="3"/>
  <c r="CA50" i="1"/>
  <c r="AM121" i="3"/>
  <c r="BM169" i="3"/>
  <c r="BF71" i="3"/>
  <c r="BY73" i="3"/>
  <c r="X82" i="36"/>
  <c r="B82" i="36"/>
  <c r="F82" i="36"/>
  <c r="W82" i="36"/>
  <c r="AI82" i="36"/>
  <c r="S82" i="36"/>
  <c r="M82" i="36"/>
  <c r="K82" i="36"/>
  <c r="AM82" i="36"/>
  <c r="AW82" i="36"/>
  <c r="AW76" i="36" s="1"/>
  <c r="AA82" i="36"/>
  <c r="R82" i="36"/>
  <c r="P82" i="36"/>
  <c r="J82" i="36"/>
  <c r="H82" i="36"/>
  <c r="H76" i="36" s="1"/>
  <c r="T82" i="36"/>
  <c r="T76" i="36" s="1"/>
  <c r="V82" i="36"/>
  <c r="AJ82" i="36"/>
  <c r="AN76" i="36" s="1"/>
  <c r="AH82" i="36"/>
  <c r="AB82" i="36"/>
  <c r="G82" i="36"/>
  <c r="AF82" i="36"/>
  <c r="AF76" i="36" s="1"/>
  <c r="L82" i="36"/>
  <c r="L76" i="36" s="1"/>
  <c r="L88" i="36" s="1"/>
  <c r="AU65" i="3"/>
  <c r="AU68" i="3"/>
  <c r="BS67" i="3"/>
  <c r="AO13" i="4"/>
  <c r="AB47" i="4"/>
  <c r="AM107" i="3"/>
  <c r="AO107" i="3" s="1"/>
  <c r="BU79" i="3"/>
  <c r="AM23" i="1"/>
  <c r="AC46" i="4"/>
  <c r="AC47" i="4" s="1"/>
  <c r="AH125" i="3"/>
  <c r="AH126" i="3" s="1"/>
  <c r="CE48" i="9"/>
  <c r="CG16" i="9"/>
  <c r="CH16" i="9" s="1"/>
  <c r="CI16" i="9" s="1"/>
  <c r="CJ16" i="9" s="1"/>
  <c r="CK16" i="9" s="1"/>
  <c r="CE58" i="9"/>
  <c r="CG26" i="9"/>
  <c r="CH26" i="9" s="1"/>
  <c r="CI26" i="9" s="1"/>
  <c r="CJ26" i="9" s="1"/>
  <c r="CK26" i="9" s="1"/>
  <c r="CE59" i="9"/>
  <c r="CG27" i="9"/>
  <c r="CH27" i="9" s="1"/>
  <c r="CI27" i="9" s="1"/>
  <c r="CJ27" i="9" s="1"/>
  <c r="CK27" i="9" s="1"/>
  <c r="CE51" i="9"/>
  <c r="CG19" i="9"/>
  <c r="CH19" i="9" s="1"/>
  <c r="CI19" i="9" s="1"/>
  <c r="CJ19" i="9" s="1"/>
  <c r="CK19" i="9" s="1"/>
  <c r="CE62" i="9"/>
  <c r="CG30" i="9"/>
  <c r="CH30" i="9" s="1"/>
  <c r="CI30" i="9" s="1"/>
  <c r="CJ30" i="9" s="1"/>
  <c r="CK30" i="9" s="1"/>
  <c r="CE54" i="9"/>
  <c r="CG22" i="9"/>
  <c r="CH22" i="9" s="1"/>
  <c r="CI22" i="9" s="1"/>
  <c r="CJ22" i="9" s="1"/>
  <c r="CK22" i="9" s="1"/>
  <c r="CE61" i="9"/>
  <c r="CG29" i="9"/>
  <c r="CH29" i="9" s="1"/>
  <c r="CI29" i="9" s="1"/>
  <c r="CJ29" i="9" s="1"/>
  <c r="CK29" i="9" s="1"/>
  <c r="CE49" i="9"/>
  <c r="CG17" i="9"/>
  <c r="CH17" i="9" s="1"/>
  <c r="CI17" i="9" s="1"/>
  <c r="CJ17" i="9" s="1"/>
  <c r="CK17" i="9" s="1"/>
  <c r="CE60" i="9"/>
  <c r="CG28" i="9"/>
  <c r="CH28" i="9" s="1"/>
  <c r="CI28" i="9" s="1"/>
  <c r="CJ28" i="9" s="1"/>
  <c r="CK28" i="9" s="1"/>
  <c r="CK35" i="9"/>
  <c r="CQ35" i="9"/>
  <c r="CK43" i="9"/>
  <c r="CM11" i="9"/>
  <c r="CN11" i="9" s="1"/>
  <c r="CO11" i="9" s="1"/>
  <c r="CP11" i="9" s="1"/>
  <c r="CQ11" i="9" s="1"/>
  <c r="CQ43" i="9" s="1"/>
  <c r="CE53" i="9"/>
  <c r="CG21" i="9"/>
  <c r="CH21" i="9" s="1"/>
  <c r="CI21" i="9" s="1"/>
  <c r="CJ21" i="9" s="1"/>
  <c r="CK21" i="9" s="1"/>
  <c r="CU29" i="8"/>
  <c r="DA21" i="8"/>
  <c r="CY29" i="8"/>
  <c r="DB21" i="8"/>
  <c r="AU20" i="36"/>
  <c r="BL103" i="7"/>
  <c r="CD168" i="3"/>
  <c r="CD46" i="1"/>
  <c r="CD73" i="3"/>
  <c r="CD72" i="3"/>
  <c r="CE12" i="1"/>
  <c r="CE63" i="1" s="1"/>
  <c r="CD122" i="1"/>
  <c r="CD83" i="3"/>
  <c r="CP83" i="3" s="1"/>
  <c r="CV83" i="3" s="1"/>
  <c r="DB83" i="3" s="1"/>
  <c r="DH83" i="3" s="1"/>
  <c r="CD51" i="1"/>
  <c r="CD57" i="1"/>
  <c r="CD84" i="3"/>
  <c r="CP84" i="3" s="1"/>
  <c r="CV84" i="3" s="1"/>
  <c r="DB84" i="3" s="1"/>
  <c r="DH84" i="3" s="1"/>
  <c r="CD167" i="3"/>
  <c r="CD71" i="3"/>
  <c r="CD145" i="7"/>
  <c r="CD159" i="7" s="1"/>
  <c r="CD85" i="3"/>
  <c r="CP85" i="3" s="1"/>
  <c r="CV85" i="3" s="1"/>
  <c r="DB85" i="3" s="1"/>
  <c r="DH85" i="3" s="1"/>
  <c r="CD79" i="1"/>
  <c r="CD52" i="1"/>
  <c r="CD86" i="1"/>
  <c r="CD94" i="1"/>
  <c r="CD63" i="1"/>
  <c r="CD108" i="7"/>
  <c r="CE105" i="7"/>
  <c r="CD62" i="1"/>
  <c r="CD101" i="3"/>
  <c r="AU75" i="9"/>
  <c r="CP119" i="3"/>
  <c r="CP14" i="4" s="1"/>
  <c r="CP22" i="1" s="1"/>
  <c r="AC45" i="3"/>
  <c r="V158" i="3"/>
  <c r="AN158" i="3"/>
  <c r="BA20" i="3"/>
  <c r="W31" i="3"/>
  <c r="W44" i="3" s="1"/>
  <c r="W45" i="3" s="1"/>
  <c r="W68" i="3"/>
  <c r="BS65" i="3"/>
  <c r="BS66" i="3"/>
  <c r="AO31" i="3"/>
  <c r="AO66" i="3"/>
  <c r="W65" i="3"/>
  <c r="BA65" i="3"/>
  <c r="AO65" i="3"/>
  <c r="AO68" i="3"/>
  <c r="BA68" i="3"/>
  <c r="AH44" i="3"/>
  <c r="AH45" i="3" s="1"/>
  <c r="AN44" i="3"/>
  <c r="AN45" i="3" s="1"/>
  <c r="G61" i="4"/>
  <c r="CN83" i="3"/>
  <c r="CT83" i="3" s="1"/>
  <c r="CZ83" i="3" s="1"/>
  <c r="DF83" i="3" s="1"/>
  <c r="CN84" i="3"/>
  <c r="CT84" i="3" s="1"/>
  <c r="CZ84" i="3" s="1"/>
  <c r="CN85" i="3"/>
  <c r="CT85" i="3" s="1"/>
  <c r="CZ85" i="3" s="1"/>
  <c r="BF108" i="7"/>
  <c r="BL109" i="7" s="1"/>
  <c r="BF85" i="3"/>
  <c r="BF145" i="7"/>
  <c r="BL159" i="7" s="1"/>
  <c r="BF103" i="7"/>
  <c r="R87" i="36"/>
  <c r="X96" i="36"/>
  <c r="AI52" i="1"/>
  <c r="AI86" i="1"/>
  <c r="AI167" i="3"/>
  <c r="BM72" i="3"/>
  <c r="CA13" i="9"/>
  <c r="CB13" i="9" s="1"/>
  <c r="CC13" i="9" s="1"/>
  <c r="CD13" i="9" s="1"/>
  <c r="CE13" i="9" s="1"/>
  <c r="CA24" i="9"/>
  <c r="CB24" i="9" s="1"/>
  <c r="CC24" i="9" s="1"/>
  <c r="CD24" i="9" s="1"/>
  <c r="CE24" i="9" s="1"/>
  <c r="S87" i="36"/>
  <c r="U74" i="36"/>
  <c r="BD79" i="3"/>
  <c r="BD60" i="4"/>
  <c r="BD80" i="3" s="1"/>
  <c r="BA22" i="1"/>
  <c r="AN47" i="4"/>
  <c r="AI71" i="3"/>
  <c r="AI74" i="3" s="1"/>
  <c r="BF62" i="1"/>
  <c r="BF40" i="8" s="1"/>
  <c r="BF167" i="3"/>
  <c r="BF137" i="3"/>
  <c r="BF94" i="1"/>
  <c r="BF79" i="1"/>
  <c r="BF86" i="1"/>
  <c r="BS51" i="1"/>
  <c r="CK92" i="3"/>
  <c r="AB87" i="36"/>
  <c r="AF87" i="36"/>
  <c r="AE87" i="36"/>
  <c r="AA87" i="36"/>
  <c r="AG268" i="7"/>
  <c r="Y75" i="36"/>
  <c r="Y87" i="36" s="1"/>
  <c r="AC75" i="36"/>
  <c r="U321" i="7"/>
  <c r="U316" i="7"/>
  <c r="U310" i="7"/>
  <c r="AS75" i="36"/>
  <c r="AF86" i="36"/>
  <c r="AB86" i="36"/>
  <c r="W87" i="36"/>
  <c r="W86" i="36"/>
  <c r="BL10" i="7"/>
  <c r="AG347" i="7"/>
  <c r="BY52" i="8"/>
  <c r="U319" i="7"/>
  <c r="U331" i="7"/>
  <c r="AS74" i="36"/>
  <c r="AE86" i="36"/>
  <c r="AA86" i="36"/>
  <c r="Z86" i="36"/>
  <c r="AD86" i="36"/>
  <c r="AD87" i="36"/>
  <c r="Z87" i="36"/>
  <c r="BR10" i="7"/>
  <c r="Y74" i="36"/>
  <c r="Q74" i="36"/>
  <c r="Z249" i="7"/>
  <c r="U318" i="7"/>
  <c r="Q75" i="36"/>
  <c r="U87" i="36" s="1"/>
  <c r="X87" i="36"/>
  <c r="S86" i="36"/>
  <c r="V87" i="36"/>
  <c r="BE60" i="4"/>
  <c r="BE80" i="3" s="1"/>
  <c r="AG78" i="3"/>
  <c r="AR59" i="4"/>
  <c r="M79" i="3"/>
  <c r="AM50" i="4"/>
  <c r="U65" i="36"/>
  <c r="U33" i="36" s="1"/>
  <c r="AT33" i="36"/>
  <c r="BA44" i="3"/>
  <c r="U92" i="3"/>
  <c r="W92" i="3" s="1"/>
  <c r="P96" i="36"/>
  <c r="AT115" i="1"/>
  <c r="AN74" i="3"/>
  <c r="AI85" i="3"/>
  <c r="AI15" i="1"/>
  <c r="AI80" i="1" s="1"/>
  <c r="AI79" i="1"/>
  <c r="AK62" i="4"/>
  <c r="CM74" i="3"/>
  <c r="AI83" i="3"/>
  <c r="AI51" i="1"/>
  <c r="AI65" i="36"/>
  <c r="AI33" i="36" s="1"/>
  <c r="AU29" i="4"/>
  <c r="AT47" i="4"/>
  <c r="AH20" i="4"/>
  <c r="AH26" i="4" s="1"/>
  <c r="AH59" i="4" s="1"/>
  <c r="BY125" i="3"/>
  <c r="AR78" i="3"/>
  <c r="AL23" i="1"/>
  <c r="BM26" i="4"/>
  <c r="AR50" i="4"/>
  <c r="AE80" i="3"/>
  <c r="AG50" i="4"/>
  <c r="AU169" i="3"/>
  <c r="AC169" i="3"/>
  <c r="W62" i="1"/>
  <c r="BG169" i="3"/>
  <c r="AI66" i="1"/>
  <c r="BY66" i="1"/>
  <c r="V49" i="1"/>
  <c r="J96" i="36"/>
  <c r="AU66" i="1"/>
  <c r="BM73" i="3"/>
  <c r="BM66" i="1"/>
  <c r="BS169" i="3"/>
  <c r="V74" i="3"/>
  <c r="V95" i="1"/>
  <c r="V96" i="1" s="1"/>
  <c r="AR19" i="36"/>
  <c r="AR18" i="36"/>
  <c r="AQ18" i="36"/>
  <c r="AS65" i="36"/>
  <c r="AS33" i="36" s="1"/>
  <c r="AI105" i="36"/>
  <c r="AM66" i="36"/>
  <c r="AI57" i="36"/>
  <c r="AI29" i="36" s="1"/>
  <c r="AB106" i="36"/>
  <c r="AG57" i="36"/>
  <c r="AG29" i="36" s="1"/>
  <c r="T106" i="36"/>
  <c r="AA65" i="36"/>
  <c r="AA33" i="36" s="1"/>
  <c r="AK65" i="36"/>
  <c r="AK33" i="36" s="1"/>
  <c r="F96" i="36"/>
  <c r="V96" i="36"/>
  <c r="CC54" i="1"/>
  <c r="AJ96" i="36"/>
  <c r="BK138" i="3"/>
  <c r="AB96" i="36"/>
  <c r="AF383" i="7"/>
  <c r="CB53" i="1"/>
  <c r="AM96" i="36"/>
  <c r="K96" i="36"/>
  <c r="BD165" i="3"/>
  <c r="W96" i="36"/>
  <c r="AF96" i="36"/>
  <c r="AA96" i="36"/>
  <c r="AI137" i="3"/>
  <c r="AI94" i="1"/>
  <c r="AI46" i="1"/>
  <c r="AI84" i="3"/>
  <c r="AI57" i="1"/>
  <c r="T96" i="36"/>
  <c r="BD136" i="7"/>
  <c r="G60" i="3"/>
  <c r="BA66" i="1"/>
  <c r="AC105" i="36"/>
  <c r="AZ74" i="3"/>
  <c r="BF57" i="1"/>
  <c r="BL62" i="1"/>
  <c r="BL40" i="8" s="1"/>
  <c r="BF51" i="1"/>
  <c r="BF83" i="3"/>
  <c r="BF84" i="3"/>
  <c r="BF173" i="3"/>
  <c r="BF52" i="1"/>
  <c r="CA96" i="1"/>
  <c r="BY72" i="3"/>
  <c r="AX53" i="1"/>
  <c r="S28" i="1"/>
  <c r="S172" i="3" s="1"/>
  <c r="L96" i="36"/>
  <c r="L102" i="36" s="1"/>
  <c r="BS66" i="1"/>
  <c r="AL96" i="36"/>
  <c r="AN96" i="36"/>
  <c r="AM29" i="36"/>
  <c r="AE66" i="36"/>
  <c r="AE105" i="36"/>
  <c r="AA66" i="36"/>
  <c r="AA105" i="36"/>
  <c r="AA106" i="36" s="1"/>
  <c r="AD66" i="36"/>
  <c r="AE67" i="36" s="1"/>
  <c r="AE68" i="36" s="1"/>
  <c r="Z105" i="36"/>
  <c r="AF106" i="36"/>
  <c r="AM105" i="36"/>
  <c r="S66" i="36"/>
  <c r="S105" i="36"/>
  <c r="S106" i="36" s="1"/>
  <c r="AO64" i="36"/>
  <c r="AO65" i="36" s="1"/>
  <c r="AO33" i="36" s="1"/>
  <c r="AJ66" i="36"/>
  <c r="AJ105" i="36"/>
  <c r="AJ106" i="36" s="1"/>
  <c r="L66" i="36"/>
  <c r="L105" i="36"/>
  <c r="L106" i="36" s="1"/>
  <c r="R106" i="36"/>
  <c r="X106" i="36"/>
  <c r="O106" i="36"/>
  <c r="I52" i="36"/>
  <c r="I105" i="36" s="1"/>
  <c r="E43" i="36"/>
  <c r="G52" i="36"/>
  <c r="G105" i="36" s="1"/>
  <c r="K106" i="36" s="1"/>
  <c r="C43" i="36"/>
  <c r="AF57" i="36"/>
  <c r="AF29" i="36" s="1"/>
  <c r="AB66" i="36"/>
  <c r="O66" i="36"/>
  <c r="AK57" i="36"/>
  <c r="AK29" i="36" s="1"/>
  <c r="T66" i="36"/>
  <c r="AL66" i="36"/>
  <c r="AC43" i="36"/>
  <c r="AG52" i="36"/>
  <c r="I42" i="36"/>
  <c r="M51" i="36"/>
  <c r="Q64" i="36" s="1"/>
  <c r="U56" i="36"/>
  <c r="Y56" i="36"/>
  <c r="AL57" i="36"/>
  <c r="AL29" i="36" s="1"/>
  <c r="N65" i="36"/>
  <c r="N33" i="36" s="1"/>
  <c r="O65" i="36"/>
  <c r="O33" i="36" s="1"/>
  <c r="V66" i="36"/>
  <c r="AI66" i="36"/>
  <c r="R66" i="36"/>
  <c r="X66" i="36"/>
  <c r="P66" i="36"/>
  <c r="W66" i="36"/>
  <c r="AC56" i="36"/>
  <c r="AD57" i="36" s="1"/>
  <c r="AD29" i="36" s="1"/>
  <c r="AG43" i="36"/>
  <c r="AK52" i="36"/>
  <c r="AK105" i="36" s="1"/>
  <c r="M43" i="36"/>
  <c r="Q52" i="36"/>
  <c r="Q105" i="36" s="1"/>
  <c r="U43" i="36"/>
  <c r="Y52" i="36"/>
  <c r="AQ64" i="36"/>
  <c r="AR65" i="36" s="1"/>
  <c r="AR33" i="36" s="1"/>
  <c r="F43" i="36"/>
  <c r="J52" i="36"/>
  <c r="J105" i="36" s="1"/>
  <c r="J106" i="36" s="1"/>
  <c r="X65" i="36"/>
  <c r="X33" i="36" s="1"/>
  <c r="AF66" i="36"/>
  <c r="AG64" i="36"/>
  <c r="Q56" i="36"/>
  <c r="R57" i="36" s="1"/>
  <c r="R29" i="36" s="1"/>
  <c r="Z66" i="36"/>
  <c r="P57" i="36"/>
  <c r="P29" i="36" s="1"/>
  <c r="S65" i="36"/>
  <c r="S33" i="36" s="1"/>
  <c r="AJ57" i="36"/>
  <c r="AJ29" i="36" s="1"/>
  <c r="AH57" i="36"/>
  <c r="AH29" i="36" s="1"/>
  <c r="AI253" i="7"/>
  <c r="AI345" i="7" s="1"/>
  <c r="Y43" i="36"/>
  <c r="AN54" i="7"/>
  <c r="AN93" i="7" s="1"/>
  <c r="I38" i="36"/>
  <c r="Q43" i="36"/>
  <c r="BR127" i="1"/>
  <c r="AE86" i="7"/>
  <c r="BR88" i="7"/>
  <c r="AN85" i="7"/>
  <c r="AZ90" i="7"/>
  <c r="AL12" i="36"/>
  <c r="T12" i="36"/>
  <c r="BX13" i="7"/>
  <c r="X12" i="36"/>
  <c r="CJ22" i="8"/>
  <c r="EJ23" i="8" s="1"/>
  <c r="AS9" i="36"/>
  <c r="CJ20" i="8"/>
  <c r="EJ21" i="8" s="1"/>
  <c r="AS7" i="36"/>
  <c r="CJ21" i="8"/>
  <c r="EJ22" i="8" s="1"/>
  <c r="AS8" i="36"/>
  <c r="BM168" i="3"/>
  <c r="W51" i="1"/>
  <c r="BX20" i="1"/>
  <c r="BX138" i="3" s="1"/>
  <c r="DV15" i="1"/>
  <c r="BS94" i="1"/>
  <c r="BG66" i="1"/>
  <c r="AM136" i="7"/>
  <c r="AO85" i="3"/>
  <c r="BY57" i="1"/>
  <c r="E60" i="3"/>
  <c r="W84" i="3"/>
  <c r="E383" i="7"/>
  <c r="BX49" i="1"/>
  <c r="BG137" i="3"/>
  <c r="BG158" i="3" s="1"/>
  <c r="BS86" i="1"/>
  <c r="AA383" i="7"/>
  <c r="CN74" i="3"/>
  <c r="CE52" i="8"/>
  <c r="CE48" i="8"/>
  <c r="Z306" i="7"/>
  <c r="Z307" i="7" s="1"/>
  <c r="Z308" i="7" s="1"/>
  <c r="BL141" i="7"/>
  <c r="BX141" i="7"/>
  <c r="BX159" i="7"/>
  <c r="BX74" i="3"/>
  <c r="BW107" i="3"/>
  <c r="AY50" i="4"/>
  <c r="BX13" i="4"/>
  <c r="BX21" i="1" s="1"/>
  <c r="BY84" i="3"/>
  <c r="W57" i="1"/>
  <c r="W79" i="1"/>
  <c r="W173" i="3"/>
  <c r="BS71" i="3"/>
  <c r="BS167" i="3"/>
  <c r="BS137" i="3"/>
  <c r="BS158" i="3" s="1"/>
  <c r="BM137" i="3"/>
  <c r="BM158" i="3" s="1"/>
  <c r="BM57" i="1"/>
  <c r="W52" i="1"/>
  <c r="BD138" i="3"/>
  <c r="BD140" i="3" s="1"/>
  <c r="BD141" i="3" s="1"/>
  <c r="BD142" i="3" s="1"/>
  <c r="BD136" i="3" s="1"/>
  <c r="BY94" i="1"/>
  <c r="W137" i="3"/>
  <c r="W158" i="3" s="1"/>
  <c r="W15" i="1"/>
  <c r="W50" i="1" s="1"/>
  <c r="W71" i="3"/>
  <c r="W74" i="3" s="1"/>
  <c r="W46" i="1"/>
  <c r="BS57" i="1"/>
  <c r="BS84" i="3"/>
  <c r="BS52" i="1"/>
  <c r="BS83" i="3"/>
  <c r="BS85" i="3"/>
  <c r="W94" i="1"/>
  <c r="W86" i="1"/>
  <c r="BD28" i="1"/>
  <c r="BD30" i="1" s="1"/>
  <c r="BM46" i="1"/>
  <c r="BY46" i="1"/>
  <c r="W167" i="3"/>
  <c r="W83" i="3"/>
  <c r="BS146" i="7"/>
  <c r="BA20" i="4"/>
  <c r="BA26" i="4" s="1"/>
  <c r="BD77" i="3"/>
  <c r="CB26" i="4"/>
  <c r="BW121" i="3"/>
  <c r="BW120" i="3"/>
  <c r="BX119" i="3"/>
  <c r="BX22" i="1"/>
  <c r="G28" i="1"/>
  <c r="G58" i="1" s="1"/>
  <c r="U383" i="7"/>
  <c r="BQ136" i="7"/>
  <c r="O24" i="1"/>
  <c r="O56" i="1" s="1"/>
  <c r="S165" i="3"/>
  <c r="S138" i="3"/>
  <c r="S140" i="3" s="1"/>
  <c r="S141" i="3" s="1"/>
  <c r="S142" i="3" s="1"/>
  <c r="S136" i="3" s="1"/>
  <c r="S53" i="1"/>
  <c r="S24" i="1"/>
  <c r="S97" i="1" s="1"/>
  <c r="S60" i="3"/>
  <c r="AI169" i="3"/>
  <c r="G165" i="3"/>
  <c r="AL136" i="7"/>
  <c r="CB28" i="1"/>
  <c r="AL53" i="1"/>
  <c r="BQ165" i="3"/>
  <c r="BQ28" i="1"/>
  <c r="BQ172" i="3" s="1"/>
  <c r="BM62" i="1"/>
  <c r="BM40" i="8" s="1"/>
  <c r="G24" i="1"/>
  <c r="G164" i="3" s="1"/>
  <c r="G138" i="3"/>
  <c r="G140" i="3" s="1"/>
  <c r="G141" i="3" s="1"/>
  <c r="G142" i="3" s="1"/>
  <c r="G136" i="3" s="1"/>
  <c r="CB138" i="3"/>
  <c r="CB60" i="3"/>
  <c r="CB165" i="3"/>
  <c r="BQ53" i="1"/>
  <c r="AN20" i="1"/>
  <c r="AN165" i="3" s="1"/>
  <c r="G53" i="1"/>
  <c r="CB24" i="1"/>
  <c r="CB56" i="1" s="1"/>
  <c r="CB136" i="7"/>
  <c r="BQ138" i="3"/>
  <c r="CB68" i="1"/>
  <c r="BG85" i="3"/>
  <c r="AL60" i="3"/>
  <c r="AH33" i="1"/>
  <c r="AI107" i="1"/>
  <c r="AI33" i="1" s="1"/>
  <c r="U165" i="3"/>
  <c r="I68" i="1"/>
  <c r="W108" i="7"/>
  <c r="W109" i="7" s="1"/>
  <c r="BY62" i="1"/>
  <c r="BY40" i="8" s="1"/>
  <c r="BY137" i="3"/>
  <c r="BY158" i="3" s="1"/>
  <c r="BY85" i="3"/>
  <c r="AL180" i="3"/>
  <c r="AL181" i="3" s="1"/>
  <c r="AL182" i="3" s="1"/>
  <c r="BG71" i="3"/>
  <c r="BG146" i="7"/>
  <c r="BG51" i="1"/>
  <c r="BM71" i="3"/>
  <c r="BM94" i="1"/>
  <c r="BM79" i="1"/>
  <c r="BM86" i="1"/>
  <c r="BY167" i="3"/>
  <c r="DU15" i="1"/>
  <c r="BY71" i="3"/>
  <c r="BY146" i="7"/>
  <c r="BG167" i="3"/>
  <c r="K68" i="1"/>
  <c r="BG94" i="1"/>
  <c r="AL28" i="1"/>
  <c r="BM167" i="3"/>
  <c r="BM173" i="3"/>
  <c r="BS62" i="1"/>
  <c r="BS40" i="8" s="1"/>
  <c r="BM51" i="1"/>
  <c r="BG86" i="1"/>
  <c r="BM85" i="3"/>
  <c r="BM84" i="3"/>
  <c r="BY52" i="1"/>
  <c r="BM15" i="1"/>
  <c r="BY51" i="1"/>
  <c r="BY15" i="1"/>
  <c r="BY20" i="1" s="1"/>
  <c r="AL165" i="3"/>
  <c r="BG57" i="1"/>
  <c r="BG84" i="3"/>
  <c r="BY86" i="1"/>
  <c r="BM101" i="3"/>
  <c r="E68" i="1"/>
  <c r="E138" i="3"/>
  <c r="E140" i="3" s="1"/>
  <c r="E141" i="3" s="1"/>
  <c r="E142" i="3" s="1"/>
  <c r="E136" i="3" s="1"/>
  <c r="BD53" i="1"/>
  <c r="BD180" i="3"/>
  <c r="BD181" i="3" s="1"/>
  <c r="BD182" i="3" s="1"/>
  <c r="G68" i="1"/>
  <c r="E54" i="1"/>
  <c r="E24" i="1"/>
  <c r="E59" i="3" s="1"/>
  <c r="BD60" i="3"/>
  <c r="G54" i="1"/>
  <c r="E165" i="3"/>
  <c r="E28" i="1"/>
  <c r="E30" i="1" s="1"/>
  <c r="E117" i="1" s="1"/>
  <c r="AO83" i="3"/>
  <c r="AO86" i="1"/>
  <c r="AO79" i="1"/>
  <c r="AO15" i="1"/>
  <c r="AO80" i="1" s="1"/>
  <c r="BQ68" i="1"/>
  <c r="BL20" i="1"/>
  <c r="AO46" i="1"/>
  <c r="AO137" i="3"/>
  <c r="AO158" i="3" s="1"/>
  <c r="AO51" i="1"/>
  <c r="AO52" i="1"/>
  <c r="AO62" i="1"/>
  <c r="AO40" i="8" s="1"/>
  <c r="AO94" i="1"/>
  <c r="AO167" i="3"/>
  <c r="AO71" i="3"/>
  <c r="AO74" i="3" s="1"/>
  <c r="AO84" i="3"/>
  <c r="AO57" i="1"/>
  <c r="DW15" i="1"/>
  <c r="BR109" i="7"/>
  <c r="BL144" i="7"/>
  <c r="O290" i="7"/>
  <c r="AA248" i="7"/>
  <c r="AG249" i="7" s="1"/>
  <c r="CE125" i="3"/>
  <c r="AA59" i="3"/>
  <c r="AA56" i="1"/>
  <c r="AA164" i="3"/>
  <c r="AA61" i="3"/>
  <c r="AM165" i="3"/>
  <c r="AM53" i="1"/>
  <c r="AM28" i="1"/>
  <c r="BK60" i="3"/>
  <c r="BL143" i="7"/>
  <c r="AA180" i="3"/>
  <c r="AA181" i="3" s="1"/>
  <c r="AA182" i="3" s="1"/>
  <c r="BL49" i="1"/>
  <c r="AA97" i="1"/>
  <c r="AI106" i="7"/>
  <c r="AO106" i="7"/>
  <c r="AM138" i="3"/>
  <c r="AM140" i="3" s="1"/>
  <c r="AM141" i="3" s="1"/>
  <c r="AM142" i="3" s="1"/>
  <c r="AM136" i="3" s="1"/>
  <c r="AM60" i="3"/>
  <c r="BL74" i="3"/>
  <c r="AM24" i="1"/>
  <c r="AM59" i="3" s="1"/>
  <c r="AX28" i="1"/>
  <c r="BY108" i="7"/>
  <c r="BY106" i="7"/>
  <c r="AA165" i="3"/>
  <c r="AE76" i="7"/>
  <c r="AE78" i="7" s="1"/>
  <c r="AE91" i="7"/>
  <c r="AL18" i="7"/>
  <c r="AC368" i="7"/>
  <c r="CB54" i="1"/>
  <c r="CD50" i="4"/>
  <c r="CD77" i="3" s="1"/>
  <c r="BS33" i="4"/>
  <c r="V33" i="4"/>
  <c r="BX26" i="4"/>
  <c r="AF50" i="4"/>
  <c r="AG60" i="4"/>
  <c r="CD171" i="3"/>
  <c r="CD173" i="3"/>
  <c r="AG92" i="3"/>
  <c r="AI92" i="3" s="1"/>
  <c r="AH74" i="3"/>
  <c r="BC61" i="4"/>
  <c r="BC62" i="4"/>
  <c r="BD24" i="1"/>
  <c r="BD164" i="3" s="1"/>
  <c r="BW95" i="1"/>
  <c r="BW96" i="1" s="1"/>
  <c r="CE100" i="3"/>
  <c r="CE101" i="3" s="1"/>
  <c r="BL66" i="9"/>
  <c r="CE62" i="1"/>
  <c r="BY77" i="3"/>
  <c r="CA155" i="7"/>
  <c r="AL11" i="36" s="1"/>
  <c r="CA156" i="7"/>
  <c r="CA157" i="7"/>
  <c r="CE130" i="7"/>
  <c r="CE49" i="8"/>
  <c r="CE97" i="7"/>
  <c r="CE51" i="8"/>
  <c r="CA158" i="7"/>
  <c r="CE66" i="7"/>
  <c r="W382" i="7"/>
  <c r="AA371" i="7"/>
  <c r="AG373" i="7" s="1"/>
  <c r="AZ92" i="3"/>
  <c r="BA92" i="3" s="1"/>
  <c r="AN80" i="1"/>
  <c r="AN135" i="7"/>
  <c r="BQ54" i="1"/>
  <c r="BK24" i="1"/>
  <c r="BK97" i="1" s="1"/>
  <c r="BK136" i="7"/>
  <c r="AA28" i="1"/>
  <c r="AA53" i="1"/>
  <c r="AA60" i="3"/>
  <c r="AA138" i="3"/>
  <c r="BL152" i="7"/>
  <c r="AN50" i="1"/>
  <c r="BK165" i="3"/>
  <c r="BK28" i="1"/>
  <c r="BL158" i="3"/>
  <c r="K54" i="1"/>
  <c r="BG52" i="1"/>
  <c r="AY139" i="3"/>
  <c r="AZ115" i="1"/>
  <c r="O308" i="7"/>
  <c r="AZ87" i="7"/>
  <c r="BA129" i="7"/>
  <c r="BG68" i="7"/>
  <c r="BG35" i="8" s="1"/>
  <c r="AZ91" i="7"/>
  <c r="AX36" i="8"/>
  <c r="BG50" i="8"/>
  <c r="BA118" i="7"/>
  <c r="BF46" i="8"/>
  <c r="BW18" i="7"/>
  <c r="AH257" i="7"/>
  <c r="AH244" i="7" s="1"/>
  <c r="AB371" i="7"/>
  <c r="AH373" i="7" s="1"/>
  <c r="AB248" i="7"/>
  <c r="AB306" i="7" s="1"/>
  <c r="AB310" i="7" s="1"/>
  <c r="BX143" i="7"/>
  <c r="AH259" i="7"/>
  <c r="AI36" i="8"/>
  <c r="AI257" i="7"/>
  <c r="AI258" i="7" s="1"/>
  <c r="BS108" i="7"/>
  <c r="BS109" i="7" s="1"/>
  <c r="BY103" i="7"/>
  <c r="CV42" i="7"/>
  <c r="AE81" i="7"/>
  <c r="AE89" i="7"/>
  <c r="AE87" i="7"/>
  <c r="AE85" i="7"/>
  <c r="AK46" i="8"/>
  <c r="AK76" i="7"/>
  <c r="BW77" i="7"/>
  <c r="BW79" i="7" s="1"/>
  <c r="AK78" i="7"/>
  <c r="AE73" i="7"/>
  <c r="I53" i="1"/>
  <c r="I60" i="3"/>
  <c r="I383" i="7"/>
  <c r="O53" i="1"/>
  <c r="I138" i="3"/>
  <c r="I140" i="3" s="1"/>
  <c r="I141" i="3" s="1"/>
  <c r="I142" i="3" s="1"/>
  <c r="I136" i="3" s="1"/>
  <c r="I165" i="3"/>
  <c r="I24" i="1"/>
  <c r="I164" i="3" s="1"/>
  <c r="AB74" i="3"/>
  <c r="I54" i="1"/>
  <c r="O28" i="1"/>
  <c r="AL138" i="3"/>
  <c r="AL140" i="3" s="1"/>
  <c r="AL141" i="3" s="1"/>
  <c r="AL142" i="3" s="1"/>
  <c r="AL136" i="3" s="1"/>
  <c r="U60" i="3"/>
  <c r="U28" i="1"/>
  <c r="U58" i="1" s="1"/>
  <c r="AL54" i="1"/>
  <c r="AF53" i="1"/>
  <c r="BX109" i="7"/>
  <c r="BY79" i="1"/>
  <c r="BY173" i="3"/>
  <c r="BX158" i="3"/>
  <c r="AA68" i="1"/>
  <c r="AL68" i="1"/>
  <c r="BY83" i="3"/>
  <c r="U24" i="1"/>
  <c r="AA69" i="1" s="1"/>
  <c r="U138" i="3"/>
  <c r="AA54" i="1"/>
  <c r="BM83" i="3"/>
  <c r="BM52" i="1"/>
  <c r="O138" i="3"/>
  <c r="O140" i="3" s="1"/>
  <c r="O141" i="3" s="1"/>
  <c r="O142" i="3" s="1"/>
  <c r="O136" i="3" s="1"/>
  <c r="O383" i="7"/>
  <c r="O165" i="3"/>
  <c r="AX77" i="7"/>
  <c r="AX79" i="7" s="1"/>
  <c r="AX82" i="7" s="1"/>
  <c r="BM130" i="7"/>
  <c r="AZ85" i="7"/>
  <c r="AZ73" i="7"/>
  <c r="AC243" i="7"/>
  <c r="AC371" i="7" s="1"/>
  <c r="M360" i="7"/>
  <c r="AZ76" i="7"/>
  <c r="AZ88" i="7"/>
  <c r="AZ89" i="7"/>
  <c r="BA97" i="7"/>
  <c r="BJ18" i="7"/>
  <c r="AS36" i="8"/>
  <c r="AO12" i="7"/>
  <c r="AO17" i="7" s="1"/>
  <c r="M240" i="7"/>
  <c r="BM66" i="7"/>
  <c r="BM96" i="7" s="1"/>
  <c r="AZ81" i="7"/>
  <c r="AZ86" i="7"/>
  <c r="BY117" i="7"/>
  <c r="BX117" i="7" s="1"/>
  <c r="BX118" i="7" s="1"/>
  <c r="AK81" i="36" s="1"/>
  <c r="AS77" i="7"/>
  <c r="AS79" i="7" s="1"/>
  <c r="AS82" i="7" s="1"/>
  <c r="AS41" i="8"/>
  <c r="BX142" i="7"/>
  <c r="BA51" i="8"/>
  <c r="BP77" i="7"/>
  <c r="BP79" i="7" s="1"/>
  <c r="BW41" i="8"/>
  <c r="BY66" i="7"/>
  <c r="BY96" i="7" s="1"/>
  <c r="AH248" i="7"/>
  <c r="AH331" i="7" s="1"/>
  <c r="AI245" i="7"/>
  <c r="AI377" i="7" s="1"/>
  <c r="AI379" i="7" s="1"/>
  <c r="AH378" i="7"/>
  <c r="AH267" i="7"/>
  <c r="BA75" i="7"/>
  <c r="BG46" i="8" s="1"/>
  <c r="AO123" i="7"/>
  <c r="AU125" i="7" s="1"/>
  <c r="AF327" i="7"/>
  <c r="AO182" i="7"/>
  <c r="W306" i="7"/>
  <c r="W304" i="7" s="1"/>
  <c r="CU42" i="7"/>
  <c r="AM36" i="8"/>
  <c r="AF330" i="7"/>
  <c r="BD68" i="1"/>
  <c r="AF28" i="1"/>
  <c r="AF24" i="1"/>
  <c r="AF165" i="3"/>
  <c r="AF180" i="3"/>
  <c r="AF181" i="3" s="1"/>
  <c r="AF182" i="3" s="1"/>
  <c r="AF60" i="3"/>
  <c r="AF138" i="3"/>
  <c r="AF140" i="3" s="1"/>
  <c r="AF141" i="3" s="1"/>
  <c r="AF142" i="3" s="1"/>
  <c r="AF136" i="3" s="1"/>
  <c r="BD54" i="1"/>
  <c r="AX165" i="3"/>
  <c r="AU72" i="3"/>
  <c r="AU168" i="3"/>
  <c r="AU63" i="1"/>
  <c r="AU73" i="3"/>
  <c r="C165" i="3"/>
  <c r="C383" i="7"/>
  <c r="C60" i="3"/>
  <c r="C28" i="1"/>
  <c r="C24" i="1"/>
  <c r="C53" i="1"/>
  <c r="C138" i="3"/>
  <c r="C140" i="3" s="1"/>
  <c r="C141" i="3" s="1"/>
  <c r="C142" i="3" s="1"/>
  <c r="BA94" i="7"/>
  <c r="AU98" i="7"/>
  <c r="BW36" i="8"/>
  <c r="AT17" i="7"/>
  <c r="AF328" i="7"/>
  <c r="W41" i="8"/>
  <c r="AF310" i="7"/>
  <c r="W299" i="7"/>
  <c r="W241" i="7"/>
  <c r="AC242" i="7" s="1"/>
  <c r="AS149" i="7"/>
  <c r="O360" i="7"/>
  <c r="BV18" i="7"/>
  <c r="BR36" i="7"/>
  <c r="BX144" i="7"/>
  <c r="O355" i="7"/>
  <c r="BY129" i="7"/>
  <c r="CE131" i="7" s="1"/>
  <c r="AW77" i="7"/>
  <c r="AW79" i="7" s="1"/>
  <c r="AW82" i="7" s="1"/>
  <c r="BY69" i="7"/>
  <c r="BY57" i="7" s="1"/>
  <c r="BK149" i="7"/>
  <c r="BK142" i="7" s="1"/>
  <c r="BY12" i="7"/>
  <c r="AU126" i="7"/>
  <c r="AU68" i="7"/>
  <c r="AU35" i="8" s="1"/>
  <c r="AO129" i="7"/>
  <c r="AT13" i="7"/>
  <c r="BL142" i="7"/>
  <c r="AU124" i="7"/>
  <c r="AO75" i="7"/>
  <c r="AO88" i="7" s="1"/>
  <c r="AO118" i="7"/>
  <c r="AT131" i="7"/>
  <c r="AF249" i="7"/>
  <c r="BY49" i="8"/>
  <c r="AF326" i="7"/>
  <c r="AF331" i="7"/>
  <c r="AZ13" i="7"/>
  <c r="AU129" i="7"/>
  <c r="AF329" i="7"/>
  <c r="AX42" i="8"/>
  <c r="CA18" i="7"/>
  <c r="BS117" i="7"/>
  <c r="BR117" i="7" s="1"/>
  <c r="BR118" i="7" s="1"/>
  <c r="AG81" i="36" s="1"/>
  <c r="AG75" i="36" s="1"/>
  <c r="BG49" i="8"/>
  <c r="AU51" i="8"/>
  <c r="AU97" i="7"/>
  <c r="BM78" i="7"/>
  <c r="BU41" i="8"/>
  <c r="BU36" i="8"/>
  <c r="BS12" i="7"/>
  <c r="AE249" i="7"/>
  <c r="BU77" i="7"/>
  <c r="BU79" i="7" s="1"/>
  <c r="Y306" i="7"/>
  <c r="Y322" i="7" s="1"/>
  <c r="M337" i="7"/>
  <c r="AQ77" i="7"/>
  <c r="AQ79" i="7" s="1"/>
  <c r="AQ82" i="7" s="1"/>
  <c r="M359" i="7"/>
  <c r="M361" i="7" s="1"/>
  <c r="BS130" i="7"/>
  <c r="Y331" i="7"/>
  <c r="BG81" i="7"/>
  <c r="AN124" i="7"/>
  <c r="AM41" i="8"/>
  <c r="AO48" i="8"/>
  <c r="BL13" i="7"/>
  <c r="AM77" i="7"/>
  <c r="AM79" i="7" s="1"/>
  <c r="AM82" i="7" s="1"/>
  <c r="BM98" i="7"/>
  <c r="CA36" i="7"/>
  <c r="CA34" i="7" s="1"/>
  <c r="BR131" i="7"/>
  <c r="AI94" i="7"/>
  <c r="BA123" i="7"/>
  <c r="AO132" i="7"/>
  <c r="AO134" i="7"/>
  <c r="BF13" i="7"/>
  <c r="AN52" i="8"/>
  <c r="AN98" i="7"/>
  <c r="CA27" i="7"/>
  <c r="CA25" i="7" s="1"/>
  <c r="BG54" i="7"/>
  <c r="BG93" i="7" s="1"/>
  <c r="AK55" i="7"/>
  <c r="AK57" i="7" s="1"/>
  <c r="BA9" i="7"/>
  <c r="BA182" i="7" s="1"/>
  <c r="BG56" i="7"/>
  <c r="BG34" i="8" s="1"/>
  <c r="BQ148" i="7"/>
  <c r="BM52" i="8"/>
  <c r="BG89" i="7"/>
  <c r="BA47" i="8"/>
  <c r="BG124" i="7"/>
  <c r="BA115" i="7"/>
  <c r="AN94" i="7"/>
  <c r="BQ77" i="7"/>
  <c r="BQ79" i="7" s="1"/>
  <c r="AI64" i="7"/>
  <c r="AO64" i="7"/>
  <c r="AQ18" i="7"/>
  <c r="BJ77" i="7"/>
  <c r="BJ79" i="7" s="1"/>
  <c r="W278" i="7"/>
  <c r="W334" i="7"/>
  <c r="AQ41" i="8"/>
  <c r="AQ36" i="8"/>
  <c r="M248" i="7"/>
  <c r="O249" i="7" s="1"/>
  <c r="BG87" i="7"/>
  <c r="BL89" i="7"/>
  <c r="AL41" i="8"/>
  <c r="BL131" i="7"/>
  <c r="W238" i="7"/>
  <c r="W353" i="7"/>
  <c r="W355" i="7" s="1"/>
  <c r="W354" i="7"/>
  <c r="AX151" i="7"/>
  <c r="BM46" i="8"/>
  <c r="BA66" i="7"/>
  <c r="BA96" i="7" s="1"/>
  <c r="BF125" i="7"/>
  <c r="AL77" i="7"/>
  <c r="AL79" i="7" s="1"/>
  <c r="AL82" i="7" s="1"/>
  <c r="AY150" i="7"/>
  <c r="AC237" i="7"/>
  <c r="AC277" i="7"/>
  <c r="BK144" i="7"/>
  <c r="BJ151" i="7"/>
  <c r="AG78" i="7"/>
  <c r="AG82" i="7" s="1"/>
  <c r="BY50" i="8"/>
  <c r="BS129" i="7"/>
  <c r="BS131" i="7" s="1"/>
  <c r="BA68" i="7"/>
  <c r="BA35" i="8" s="1"/>
  <c r="AU12" i="7"/>
  <c r="BL55" i="7"/>
  <c r="BL57" i="7" s="1"/>
  <c r="BP41" i="8"/>
  <c r="BE77" i="7"/>
  <c r="BE79" i="7" s="1"/>
  <c r="BE82" i="7" s="1"/>
  <c r="BV77" i="7"/>
  <c r="BV79" i="7" s="1"/>
  <c r="AX149" i="7"/>
  <c r="CB12" i="8"/>
  <c r="CB50" i="8"/>
  <c r="BV141" i="7"/>
  <c r="BY94" i="7"/>
  <c r="BY48" i="8"/>
  <c r="BK148" i="7"/>
  <c r="AB365" i="7"/>
  <c r="AB367" i="7" s="1"/>
  <c r="AB242" i="7"/>
  <c r="AB366" i="7"/>
  <c r="BS70" i="7"/>
  <c r="BS12" i="8" s="1"/>
  <c r="BY130" i="7"/>
  <c r="BS75" i="7"/>
  <c r="BS88" i="7" s="1"/>
  <c r="AU75" i="7"/>
  <c r="BA50" i="8"/>
  <c r="AU118" i="7"/>
  <c r="AE17" i="7"/>
  <c r="BP36" i="8"/>
  <c r="BG129" i="7"/>
  <c r="BG66" i="7"/>
  <c r="BG96" i="7" s="1"/>
  <c r="BM68" i="7"/>
  <c r="BM35" i="8" s="1"/>
  <c r="BG12" i="7"/>
  <c r="BG13" i="7" s="1"/>
  <c r="BG130" i="7"/>
  <c r="BG118" i="7"/>
  <c r="BM50" i="8"/>
  <c r="BE150" i="7"/>
  <c r="AC301" i="7"/>
  <c r="AC341" i="7"/>
  <c r="BK150" i="7"/>
  <c r="AK379" i="7"/>
  <c r="BE149" i="7"/>
  <c r="BQ18" i="7"/>
  <c r="BK18" i="7"/>
  <c r="BS66" i="7"/>
  <c r="BA130" i="7"/>
  <c r="AL36" i="8"/>
  <c r="AZ125" i="7"/>
  <c r="Q355" i="7"/>
  <c r="BD148" i="7"/>
  <c r="BE151" i="7"/>
  <c r="BF67" i="7"/>
  <c r="BF96" i="7"/>
  <c r="BG98" i="7"/>
  <c r="BG52" i="8"/>
  <c r="AC365" i="7"/>
  <c r="AE331" i="7"/>
  <c r="AE306" i="7"/>
  <c r="AK307" i="7" s="1"/>
  <c r="AK96" i="7"/>
  <c r="AK67" i="7"/>
  <c r="AK69" i="7" s="1"/>
  <c r="AN66" i="7"/>
  <c r="AN96" i="7" s="1"/>
  <c r="AN50" i="8"/>
  <c r="AH129" i="7"/>
  <c r="AN131" i="7" s="1"/>
  <c r="AH12" i="7"/>
  <c r="AN13" i="7" s="1"/>
  <c r="AN130" i="7"/>
  <c r="BM114" i="7"/>
  <c r="BL114" i="7" s="1"/>
  <c r="BL115" i="7" s="1"/>
  <c r="AC80" i="36" s="1"/>
  <c r="AC74" i="36" s="1"/>
  <c r="BE36" i="8"/>
  <c r="BE41" i="8"/>
  <c r="AU66" i="7"/>
  <c r="AU130" i="7"/>
  <c r="AN51" i="8"/>
  <c r="AN97" i="7"/>
  <c r="BQ41" i="8"/>
  <c r="BQ36" i="8"/>
  <c r="AT91" i="7"/>
  <c r="AT90" i="7"/>
  <c r="AZ46" i="8"/>
  <c r="AT88" i="7"/>
  <c r="AT89" i="7"/>
  <c r="AT87" i="7"/>
  <c r="AT85" i="7"/>
  <c r="AT86" i="7"/>
  <c r="AT73" i="7"/>
  <c r="AO97" i="7"/>
  <c r="BQ150" i="7"/>
  <c r="AR151" i="7"/>
  <c r="AR144" i="7" s="1"/>
  <c r="BW67" i="7"/>
  <c r="BW35" i="8"/>
  <c r="BA98" i="7"/>
  <c r="AR150" i="7"/>
  <c r="AR143" i="7" s="1"/>
  <c r="AI129" i="7"/>
  <c r="AO68" i="7"/>
  <c r="AI130" i="7"/>
  <c r="AO50" i="8"/>
  <c r="AO130" i="7"/>
  <c r="AI12" i="7"/>
  <c r="AO66" i="7"/>
  <c r="AI66" i="7"/>
  <c r="BG51" i="8"/>
  <c r="BG97" i="7"/>
  <c r="AS144" i="7"/>
  <c r="BL125" i="7"/>
  <c r="BA95" i="7"/>
  <c r="CV29" i="8"/>
  <c r="BC18" i="7"/>
  <c r="BJ36" i="8"/>
  <c r="BJ41" i="8"/>
  <c r="BV36" i="8"/>
  <c r="BV41" i="8"/>
  <c r="BQ149" i="7"/>
  <c r="AW41" i="8"/>
  <c r="AW36" i="8"/>
  <c r="AI51" i="8"/>
  <c r="AI97" i="7"/>
  <c r="BL86" i="7"/>
  <c r="BL85" i="7"/>
  <c r="AU94" i="7"/>
  <c r="BL91" i="7"/>
  <c r="BR46" i="8"/>
  <c r="BL87" i="7"/>
  <c r="BL81" i="7"/>
  <c r="BR78" i="7"/>
  <c r="BL90" i="7"/>
  <c r="BL73" i="7"/>
  <c r="BL88" i="7"/>
  <c r="AT56" i="7"/>
  <c r="AT34" i="8" s="1"/>
  <c r="AX180" i="3"/>
  <c r="AX181" i="3" s="1"/>
  <c r="AX182" i="3" s="1"/>
  <c r="AX60" i="3"/>
  <c r="AX138" i="3"/>
  <c r="AX140" i="3" s="1"/>
  <c r="AX141" i="3" s="1"/>
  <c r="AX142" i="3" s="1"/>
  <c r="AX136" i="3" s="1"/>
  <c r="AX136" i="7"/>
  <c r="AX24" i="1"/>
  <c r="BP138" i="3"/>
  <c r="BF115" i="1"/>
  <c r="BF179" i="3" s="1"/>
  <c r="BE139" i="3"/>
  <c r="U139" i="3"/>
  <c r="V115" i="1"/>
  <c r="V139" i="3" s="1"/>
  <c r="AZ47" i="4"/>
  <c r="BA47" i="4"/>
  <c r="AO37" i="4"/>
  <c r="AI30" i="4"/>
  <c r="AN26" i="4"/>
  <c r="BA30" i="4"/>
  <c r="BD95" i="1"/>
  <c r="BD96" i="1" s="1"/>
  <c r="K60" i="4"/>
  <c r="K79" i="3"/>
  <c r="AR95" i="1"/>
  <c r="AR96" i="1" s="1"/>
  <c r="AB33" i="4"/>
  <c r="AY23" i="1"/>
  <c r="AY95" i="1"/>
  <c r="AY96" i="1" s="1"/>
  <c r="Q60" i="4"/>
  <c r="Q79" i="3"/>
  <c r="AR23" i="1"/>
  <c r="BI78" i="3"/>
  <c r="BI59" i="4"/>
  <c r="BI50" i="4"/>
  <c r="AL24" i="1"/>
  <c r="AL164" i="3" s="1"/>
  <c r="O60" i="4"/>
  <c r="O79" i="3"/>
  <c r="I61" i="4"/>
  <c r="I80" i="3"/>
  <c r="AG79" i="3"/>
  <c r="BP95" i="1"/>
  <c r="BP96" i="1" s="1"/>
  <c r="BL79" i="3"/>
  <c r="BL60" i="4"/>
  <c r="AN92" i="3"/>
  <c r="AM92" i="3"/>
  <c r="AI44" i="3"/>
  <c r="AI45" i="3" s="1"/>
  <c r="AU44" i="3"/>
  <c r="AU45" i="3" s="1"/>
  <c r="Y117" i="3"/>
  <c r="Y121" i="3" s="1"/>
  <c r="AC121" i="3" s="1"/>
  <c r="AC122" i="3" s="1"/>
  <c r="AI62" i="1"/>
  <c r="AI40" i="8" s="1"/>
  <c r="CC172" i="3"/>
  <c r="CC58" i="1"/>
  <c r="BA15" i="1"/>
  <c r="BA80" i="1" s="1"/>
  <c r="BX96" i="7"/>
  <c r="BL96" i="7"/>
  <c r="BL67" i="7"/>
  <c r="BL69" i="7" s="1"/>
  <c r="BL17" i="7"/>
  <c r="BR125" i="7"/>
  <c r="BD77" i="7"/>
  <c r="BD79" i="7" s="1"/>
  <c r="BD82" i="7" s="1"/>
  <c r="C80" i="3"/>
  <c r="C61" i="4"/>
  <c r="BK77" i="3"/>
  <c r="M80" i="3"/>
  <c r="M61" i="4"/>
  <c r="BY83" i="4"/>
  <c r="BX171" i="3"/>
  <c r="BX173" i="3"/>
  <c r="BK79" i="3"/>
  <c r="BK60" i="4"/>
  <c r="BJ95" i="1"/>
  <c r="BJ96" i="1" s="1"/>
  <c r="BJ23" i="1"/>
  <c r="AK61" i="4"/>
  <c r="AK80" i="3"/>
  <c r="AQ77" i="3"/>
  <c r="AF78" i="3"/>
  <c r="AF59" i="4"/>
  <c r="BJ77" i="3"/>
  <c r="BR119" i="3"/>
  <c r="BS119" i="3" s="1"/>
  <c r="BR22" i="1"/>
  <c r="BR13" i="4"/>
  <c r="BS14" i="4"/>
  <c r="E61" i="4"/>
  <c r="E80" i="3"/>
  <c r="CC107" i="3"/>
  <c r="CE107" i="3" s="1"/>
  <c r="CC21" i="1"/>
  <c r="CC126" i="3"/>
  <c r="AM78" i="3"/>
  <c r="AS121" i="3"/>
  <c r="AS120" i="3"/>
  <c r="BF171" i="3"/>
  <c r="BF26" i="4"/>
  <c r="BF59" i="4" s="1"/>
  <c r="BG17" i="4"/>
  <c r="BY79" i="3"/>
  <c r="BY60" i="4"/>
  <c r="BP78" i="3"/>
  <c r="BP59" i="4"/>
  <c r="BP50" i="4"/>
  <c r="CC120" i="3"/>
  <c r="CC121" i="3"/>
  <c r="AC32" i="4"/>
  <c r="AC33" i="4" s="1"/>
  <c r="AH47" i="4"/>
  <c r="BY70" i="4"/>
  <c r="AT33" i="4"/>
  <c r="AT125" i="3"/>
  <c r="AT126" i="3" s="1"/>
  <c r="BV60" i="4"/>
  <c r="BV79" i="3"/>
  <c r="AQ79" i="3"/>
  <c r="AQ60" i="4"/>
  <c r="AQ62" i="4" s="1"/>
  <c r="BX47" i="4"/>
  <c r="AL78" i="3"/>
  <c r="AL59" i="4"/>
  <c r="AL50" i="4"/>
  <c r="BQ107" i="3"/>
  <c r="BQ21" i="1"/>
  <c r="BQ120" i="3"/>
  <c r="BQ121" i="3"/>
  <c r="BM95" i="1"/>
  <c r="BM96" i="1" s="1"/>
  <c r="BM23" i="1"/>
  <c r="AW80" i="3"/>
  <c r="AW61" i="4"/>
  <c r="BJ78" i="3"/>
  <c r="BJ59" i="4"/>
  <c r="AI70" i="4"/>
  <c r="AI80" i="4" s="1"/>
  <c r="AT22" i="1"/>
  <c r="AT119" i="3"/>
  <c r="AU14" i="4"/>
  <c r="AX50" i="4"/>
  <c r="AX59" i="4"/>
  <c r="AX78" i="3"/>
  <c r="AZ20" i="4"/>
  <c r="AZ26" i="4" s="1"/>
  <c r="BG38" i="9"/>
  <c r="BI66" i="9"/>
  <c r="BG66" i="9"/>
  <c r="AO38" i="9"/>
  <c r="AU66" i="9"/>
  <c r="AQ66" i="9"/>
  <c r="AO66" i="9"/>
  <c r="BY57" i="9"/>
  <c r="CA25" i="9"/>
  <c r="CB25" i="9" s="1"/>
  <c r="CC25" i="9" s="1"/>
  <c r="CD25" i="9" s="1"/>
  <c r="CE25" i="9" s="1"/>
  <c r="BO32" i="9"/>
  <c r="BM34" i="9"/>
  <c r="BM66" i="9" s="1"/>
  <c r="BU12" i="9"/>
  <c r="BV12" i="9" s="1"/>
  <c r="BW12" i="9" s="1"/>
  <c r="BX12" i="9" s="1"/>
  <c r="BY12" i="9" s="1"/>
  <c r="CA23" i="9"/>
  <c r="CB23" i="9" s="1"/>
  <c r="CC23" i="9" s="1"/>
  <c r="CD23" i="9" s="1"/>
  <c r="CE23" i="9" s="1"/>
  <c r="BY55" i="9"/>
  <c r="AC92" i="3"/>
  <c r="BM123" i="7"/>
  <c r="BM54" i="7"/>
  <c r="BM93" i="7" s="1"/>
  <c r="BI18" i="7"/>
  <c r="BO77" i="7"/>
  <c r="BO79" i="7" s="1"/>
  <c r="BP151" i="7"/>
  <c r="BQ144" i="7"/>
  <c r="K6" i="7"/>
  <c r="I235" i="7"/>
  <c r="AZ17" i="7"/>
  <c r="AZ10" i="7"/>
  <c r="CC129" i="7"/>
  <c r="CC131" i="7" s="1"/>
  <c r="CC130" i="7"/>
  <c r="CI50" i="8"/>
  <c r="CC12" i="7"/>
  <c r="CI67" i="7"/>
  <c r="CI66" i="7" s="1"/>
  <c r="AI53" i="7"/>
  <c r="AO52" i="7"/>
  <c r="AI269" i="7"/>
  <c r="AH269" i="7" s="1"/>
  <c r="AI267" i="7"/>
  <c r="BV28" i="1"/>
  <c r="BV53" i="1"/>
  <c r="BV60" i="3"/>
  <c r="BV138" i="3"/>
  <c r="BV24" i="1"/>
  <c r="BV165" i="3"/>
  <c r="BV136" i="7"/>
  <c r="AQ74" i="3"/>
  <c r="BK120" i="1"/>
  <c r="BA94" i="1"/>
  <c r="BA46" i="1"/>
  <c r="BG108" i="7"/>
  <c r="BM109" i="7" s="1"/>
  <c r="BM103" i="7"/>
  <c r="K53" i="1"/>
  <c r="K138" i="3"/>
  <c r="K383" i="7"/>
  <c r="K165" i="3"/>
  <c r="K28" i="1"/>
  <c r="K24" i="1"/>
  <c r="K60" i="3"/>
  <c r="AO103" i="7"/>
  <c r="AO108" i="7"/>
  <c r="AO109" i="7" s="1"/>
  <c r="AU103" i="7"/>
  <c r="AH158" i="3"/>
  <c r="AH80" i="1"/>
  <c r="AH135" i="7"/>
  <c r="AH49" i="1"/>
  <c r="AH20" i="1"/>
  <c r="BR152" i="7"/>
  <c r="BR159" i="7"/>
  <c r="BR142" i="7"/>
  <c r="BR144" i="7"/>
  <c r="BR141" i="7"/>
  <c r="BR143" i="7"/>
  <c r="AC103" i="7"/>
  <c r="AI103" i="7"/>
  <c r="T383" i="7"/>
  <c r="T60" i="3"/>
  <c r="T28" i="1"/>
  <c r="T138" i="3"/>
  <c r="T53" i="1"/>
  <c r="T165" i="3"/>
  <c r="T24" i="1"/>
  <c r="AZ142" i="7"/>
  <c r="AZ143" i="7"/>
  <c r="AZ144" i="7"/>
  <c r="AZ152" i="7"/>
  <c r="AZ141" i="7"/>
  <c r="BA103" i="7"/>
  <c r="BG103" i="7"/>
  <c r="BA108" i="7"/>
  <c r="BG106" i="7"/>
  <c r="Q53" i="1"/>
  <c r="Q54" i="1"/>
  <c r="Q60" i="3"/>
  <c r="Q138" i="3"/>
  <c r="Q165" i="3"/>
  <c r="Q68" i="1"/>
  <c r="Q28" i="1"/>
  <c r="Q383" i="7"/>
  <c r="Q24" i="1"/>
  <c r="BA146" i="7"/>
  <c r="BA71" i="3"/>
  <c r="BA74" i="3" s="1"/>
  <c r="BA51" i="1"/>
  <c r="BA57" i="1"/>
  <c r="BA137" i="3"/>
  <c r="BA167" i="3"/>
  <c r="BA52" i="1"/>
  <c r="BA85" i="3"/>
  <c r="BA84" i="3"/>
  <c r="BA83" i="3"/>
  <c r="BG62" i="1"/>
  <c r="BG40" i="8" s="1"/>
  <c r="BA79" i="1"/>
  <c r="BA86" i="1"/>
  <c r="AZ80" i="1"/>
  <c r="AZ20" i="1"/>
  <c r="AZ135" i="7"/>
  <c r="AZ49" i="1"/>
  <c r="AZ158" i="3"/>
  <c r="BR158" i="3"/>
  <c r="BS56" i="7"/>
  <c r="BS44" i="7" s="1"/>
  <c r="BS57" i="7"/>
  <c r="BA56" i="7"/>
  <c r="BA34" i="8" s="1"/>
  <c r="AU54" i="7"/>
  <c r="AU93" i="7" s="1"/>
  <c r="AO187" i="7"/>
  <c r="BO36" i="8"/>
  <c r="BO41" i="8"/>
  <c r="BS124" i="7"/>
  <c r="BS54" i="7"/>
  <c r="BS93" i="7" s="1"/>
  <c r="BM75" i="7"/>
  <c r="BM73" i="7" s="1"/>
  <c r="BS47" i="8"/>
  <c r="BM9" i="7"/>
  <c r="BA124" i="7"/>
  <c r="BA54" i="7"/>
  <c r="BA93" i="7" s="1"/>
  <c r="AY77" i="7"/>
  <c r="AY79" i="7" s="1"/>
  <c r="AY82" i="7" s="1"/>
  <c r="AO188" i="7"/>
  <c r="BD41" i="8"/>
  <c r="BD36" i="8"/>
  <c r="BK36" i="8"/>
  <c r="BK41" i="8"/>
  <c r="BM124" i="7"/>
  <c r="AU9" i="7"/>
  <c r="AU188" i="7" s="1"/>
  <c r="AU115" i="7"/>
  <c r="BK77" i="7"/>
  <c r="BK79" i="7" s="1"/>
  <c r="BF93" i="7"/>
  <c r="BR34" i="8"/>
  <c r="AY41" i="8"/>
  <c r="AY36" i="8"/>
  <c r="AW18" i="7"/>
  <c r="BL46" i="8"/>
  <c r="BF73" i="7"/>
  <c r="BF87" i="7"/>
  <c r="BF86" i="7"/>
  <c r="BF89" i="7"/>
  <c r="BL127" i="1"/>
  <c r="BF88" i="7"/>
  <c r="BF85" i="7"/>
  <c r="BF81" i="7"/>
  <c r="BL78" i="7"/>
  <c r="BF90" i="7"/>
  <c r="BL79" i="7"/>
  <c r="BF91" i="7"/>
  <c r="AN86" i="7"/>
  <c r="AN89" i="7"/>
  <c r="AN88" i="7"/>
  <c r="AN90" i="7"/>
  <c r="AN91" i="7"/>
  <c r="AT46" i="8"/>
  <c r="AN81" i="7"/>
  <c r="AN73" i="7"/>
  <c r="AN87" i="7"/>
  <c r="AT76" i="7"/>
  <c r="BS49" i="8"/>
  <c r="BM34" i="8"/>
  <c r="BM36" i="7"/>
  <c r="BM35" i="7" s="1"/>
  <c r="BM27" i="7"/>
  <c r="BM26" i="7" s="1"/>
  <c r="BM44" i="7"/>
  <c r="AN47" i="8"/>
  <c r="AH75" i="7"/>
  <c r="AH9" i="7"/>
  <c r="AH123" i="7"/>
  <c r="AN125" i="7" s="1"/>
  <c r="AI49" i="8"/>
  <c r="AI95" i="7"/>
  <c r="BM94" i="7"/>
  <c r="AT93" i="7"/>
  <c r="BI41" i="8"/>
  <c r="BI36" i="8"/>
  <c r="BR44" i="7"/>
  <c r="BR55" i="7"/>
  <c r="BR57" i="7" s="1"/>
  <c r="BF10" i="7"/>
  <c r="BF17" i="7"/>
  <c r="BL27" i="7"/>
  <c r="BL34" i="8"/>
  <c r="BL36" i="7"/>
  <c r="BL44" i="7"/>
  <c r="BG48" i="8"/>
  <c r="BG94" i="7"/>
  <c r="BM49" i="8"/>
  <c r="BM95" i="7"/>
  <c r="AR77" i="7"/>
  <c r="AR79" i="7" s="1"/>
  <c r="AR82" i="7" s="1"/>
  <c r="AR36" i="8"/>
  <c r="AR41" i="8"/>
  <c r="AT125" i="7"/>
  <c r="AN17" i="7"/>
  <c r="AT10" i="7"/>
  <c r="BI77" i="7"/>
  <c r="BI79" i="7" s="1"/>
  <c r="BC57" i="7"/>
  <c r="BF76" i="7"/>
  <c r="BL76" i="7"/>
  <c r="CG154" i="3"/>
  <c r="AS92" i="3"/>
  <c r="AT92" i="3"/>
  <c r="W125" i="3"/>
  <c r="AB100" i="3"/>
  <c r="AB101" i="3" s="1"/>
  <c r="BF121" i="3"/>
  <c r="BF120" i="3"/>
  <c r="BG119" i="3"/>
  <c r="AM79" i="3"/>
  <c r="AM60" i="4"/>
  <c r="AM101" i="3"/>
  <c r="AC59" i="4"/>
  <c r="BF21" i="1"/>
  <c r="BF107" i="3"/>
  <c r="BG107" i="3" s="1"/>
  <c r="AN100" i="3"/>
  <c r="AN101" i="3" s="1"/>
  <c r="BE95" i="1"/>
  <c r="BE96" i="1" s="1"/>
  <c r="BE23" i="1"/>
  <c r="W126" i="3"/>
  <c r="AA101" i="3"/>
  <c r="AC100" i="3"/>
  <c r="AC101" i="3" s="1"/>
  <c r="BS171" i="3"/>
  <c r="BS173" i="3"/>
  <c r="BG22" i="1"/>
  <c r="AO30" i="4"/>
  <c r="AO33" i="4" s="1"/>
  <c r="CG147" i="3"/>
  <c r="AH95" i="1"/>
  <c r="AH96" i="1" s="1"/>
  <c r="AH23" i="1"/>
  <c r="AZ21" i="1"/>
  <c r="AZ107" i="3"/>
  <c r="BA13" i="4"/>
  <c r="Q72" i="4"/>
  <c r="Q78" i="4"/>
  <c r="Q77" i="4"/>
  <c r="Q76" i="4"/>
  <c r="BA171" i="3"/>
  <c r="BA173" i="3"/>
  <c r="BR78" i="3"/>
  <c r="AS101" i="3"/>
  <c r="BR59" i="4"/>
  <c r="E52" i="4"/>
  <c r="E54" i="4" s="1"/>
  <c r="C55" i="4"/>
  <c r="AT100" i="3"/>
  <c r="AU100" i="3" s="1"/>
  <c r="AI100" i="3"/>
  <c r="AI101" i="3" s="1"/>
  <c r="AO125" i="3"/>
  <c r="AH114" i="3"/>
  <c r="AH115" i="3"/>
  <c r="AU30" i="4"/>
  <c r="AT13" i="4"/>
  <c r="AU12" i="4"/>
  <c r="AY59" i="4"/>
  <c r="AY78" i="3"/>
  <c r="BS21" i="4"/>
  <c r="BS20" i="4" s="1"/>
  <c r="BQ26" i="4"/>
  <c r="BQ50" i="4" s="1"/>
  <c r="AX141" i="7"/>
  <c r="AW148" i="7"/>
  <c r="BR17" i="7"/>
  <c r="BR13" i="7"/>
  <c r="BR89" i="7"/>
  <c r="BX46" i="8"/>
  <c r="BR87" i="7"/>
  <c r="BX78" i="7"/>
  <c r="BX127" i="1"/>
  <c r="BR90" i="7"/>
  <c r="BR73" i="7"/>
  <c r="BR86" i="7"/>
  <c r="BR91" i="7"/>
  <c r="BR76" i="7"/>
  <c r="BR81" i="7"/>
  <c r="BR85" i="7"/>
  <c r="BX131" i="7"/>
  <c r="CB13" i="8"/>
  <c r="CB14" i="8" s="1"/>
  <c r="CB127" i="1"/>
  <c r="CB46" i="8"/>
  <c r="BR96" i="7"/>
  <c r="BR67" i="7"/>
  <c r="BR69" i="7" s="1"/>
  <c r="BX56" i="7"/>
  <c r="BX34" i="8" s="1"/>
  <c r="BX35" i="8"/>
  <c r="AU171" i="3"/>
  <c r="AK325" i="7"/>
  <c r="AK330" i="7"/>
  <c r="AK326" i="7"/>
  <c r="AK310" i="7"/>
  <c r="AK329" i="7"/>
  <c r="AK327" i="7"/>
  <c r="AK328" i="7"/>
  <c r="BE136" i="7"/>
  <c r="BE165" i="3"/>
  <c r="BE60" i="3"/>
  <c r="BE138" i="3"/>
  <c r="BE24" i="1"/>
  <c r="BE28" i="1"/>
  <c r="BE180" i="3"/>
  <c r="BE181" i="3" s="1"/>
  <c r="BE182" i="3" s="1"/>
  <c r="BE53" i="1"/>
  <c r="BK54" i="1"/>
  <c r="BK68" i="1"/>
  <c r="BE54" i="1"/>
  <c r="AM18" i="7"/>
  <c r="AS18" i="7"/>
  <c r="V353" i="7"/>
  <c r="AB355" i="7" s="1"/>
  <c r="V248" i="7"/>
  <c r="V315" i="7"/>
  <c r="AB238" i="7"/>
  <c r="AB354" i="7"/>
  <c r="AK165" i="3"/>
  <c r="AK60" i="3"/>
  <c r="AK54" i="1"/>
  <c r="AK136" i="7"/>
  <c r="AK53" i="1"/>
  <c r="AK68" i="1"/>
  <c r="AK138" i="3"/>
  <c r="AK180" i="3"/>
  <c r="AK181" i="3" s="1"/>
  <c r="AK182" i="3" s="1"/>
  <c r="AK383" i="7"/>
  <c r="AK28" i="1"/>
  <c r="AK24" i="1"/>
  <c r="W240" i="7"/>
  <c r="W359" i="7"/>
  <c r="W360" i="7"/>
  <c r="AI171" i="3"/>
  <c r="AI173" i="3"/>
  <c r="AO26" i="4"/>
  <c r="AT26" i="4"/>
  <c r="AU10" i="4"/>
  <c r="AN114" i="3"/>
  <c r="AN115" i="3"/>
  <c r="BS125" i="3"/>
  <c r="BQ126" i="3"/>
  <c r="AO107" i="1"/>
  <c r="AO33" i="1" s="1"/>
  <c r="AN33" i="1"/>
  <c r="AU105" i="7"/>
  <c r="AU9" i="1"/>
  <c r="AU48" i="1"/>
  <c r="Z49" i="1"/>
  <c r="Z20" i="1"/>
  <c r="G96" i="36" s="1"/>
  <c r="Z50" i="1"/>
  <c r="Z80" i="1"/>
  <c r="AF50" i="1"/>
  <c r="EJ11" i="8"/>
  <c r="CM29" i="8"/>
  <c r="CJ29" i="8"/>
  <c r="AZ33" i="4"/>
  <c r="W100" i="3"/>
  <c r="BS42" i="7"/>
  <c r="CV10" i="8"/>
  <c r="CV35" i="7"/>
  <c r="CV34" i="7" s="1"/>
  <c r="AY155" i="7"/>
  <c r="T11" i="36" s="1"/>
  <c r="W108" i="3"/>
  <c r="BU28" i="1"/>
  <c r="BU138" i="3"/>
  <c r="BU165" i="3"/>
  <c r="BU60" i="3"/>
  <c r="BU53" i="1"/>
  <c r="BU136" i="7"/>
  <c r="BU24" i="1"/>
  <c r="CC68" i="1"/>
  <c r="CC30" i="1"/>
  <c r="AH46" i="8"/>
  <c r="AS54" i="1"/>
  <c r="AS24" i="1"/>
  <c r="AS136" i="7"/>
  <c r="AS165" i="3"/>
  <c r="AS28" i="1"/>
  <c r="AS138" i="3"/>
  <c r="AS53" i="1"/>
  <c r="AS68" i="1"/>
  <c r="AS60" i="3"/>
  <c r="V138" i="3"/>
  <c r="V165" i="3"/>
  <c r="V383" i="7"/>
  <c r="V60" i="3"/>
  <c r="V53" i="1"/>
  <c r="BW50" i="4"/>
  <c r="BW78" i="3"/>
  <c r="BW59" i="4"/>
  <c r="AH109" i="7"/>
  <c r="AB109" i="7"/>
  <c r="Y383" i="7"/>
  <c r="Y28" i="1"/>
  <c r="Y60" i="3"/>
  <c r="Y165" i="3"/>
  <c r="Y138" i="3"/>
  <c r="Y53" i="1"/>
  <c r="Y68" i="1"/>
  <c r="Y54" i="1"/>
  <c r="Y24" i="1"/>
  <c r="Y97" i="1" s="1"/>
  <c r="Y180" i="3"/>
  <c r="Y181" i="3" s="1"/>
  <c r="Y182" i="3" s="1"/>
  <c r="W290" i="7"/>
  <c r="W337" i="7"/>
  <c r="BG12" i="1"/>
  <c r="BF46" i="1"/>
  <c r="BF73" i="3"/>
  <c r="BF168" i="3"/>
  <c r="BF15" i="1"/>
  <c r="BF63" i="1"/>
  <c r="BF72" i="3"/>
  <c r="BL63" i="1"/>
  <c r="I30" i="1"/>
  <c r="I58" i="1"/>
  <c r="I172" i="3"/>
  <c r="AW138" i="3"/>
  <c r="AW136" i="7"/>
  <c r="AW165" i="3"/>
  <c r="AW24" i="1"/>
  <c r="AW60" i="3"/>
  <c r="AW180" i="3"/>
  <c r="AW181" i="3" s="1"/>
  <c r="AW182" i="3" s="1"/>
  <c r="AW28" i="1"/>
  <c r="AW53" i="1"/>
  <c r="AR18" i="7"/>
  <c r="M50" i="1"/>
  <c r="O50" i="1"/>
  <c r="M49" i="1"/>
  <c r="M20" i="1"/>
  <c r="M80" i="1"/>
  <c r="BO20" i="1"/>
  <c r="BO49" i="1"/>
  <c r="BO50" i="1"/>
  <c r="BO80" i="1"/>
  <c r="AU47" i="4"/>
  <c r="AN95" i="1"/>
  <c r="AN96" i="1" s="1"/>
  <c r="AN23" i="1"/>
  <c r="AO21" i="1"/>
  <c r="W33" i="4"/>
  <c r="W50" i="4" s="1"/>
  <c r="W59" i="4"/>
  <c r="BP18" i="7"/>
  <c r="CG86" i="4"/>
  <c r="V359" i="7"/>
  <c r="AB361" i="7" s="1"/>
  <c r="AB360" i="7"/>
  <c r="AB240" i="7"/>
  <c r="BC68" i="1"/>
  <c r="BC180" i="3"/>
  <c r="BC181" i="3" s="1"/>
  <c r="BC182" i="3" s="1"/>
  <c r="BC165" i="3"/>
  <c r="BC60" i="3"/>
  <c r="BC54" i="1"/>
  <c r="BC138" i="3"/>
  <c r="BC28" i="1"/>
  <c r="BC136" i="7"/>
  <c r="BC53" i="1"/>
  <c r="BC24" i="1"/>
  <c r="AZ106" i="7"/>
  <c r="AT108" i="7"/>
  <c r="AT106" i="7"/>
  <c r="Z158" i="3"/>
  <c r="AF76" i="7"/>
  <c r="AF46" i="8"/>
  <c r="BS12" i="1"/>
  <c r="BR63" i="1"/>
  <c r="BR72" i="3"/>
  <c r="BR73" i="3"/>
  <c r="BR46" i="1"/>
  <c r="BR168" i="3"/>
  <c r="BX63" i="1"/>
  <c r="BR15" i="1"/>
  <c r="AS23" i="1"/>
  <c r="AS95" i="1"/>
  <c r="AS96" i="1" s="1"/>
  <c r="BA125" i="3"/>
  <c r="AZ126" i="3"/>
  <c r="EJ10" i="8"/>
  <c r="CJ28" i="8"/>
  <c r="CM28" i="8"/>
  <c r="CA13" i="8"/>
  <c r="CA14" i="8" s="1"/>
  <c r="CA46" i="8"/>
  <c r="CA127" i="1"/>
  <c r="CU34" i="7"/>
  <c r="CP35" i="7"/>
  <c r="CP10" i="8"/>
  <c r="EN10" i="8" s="1"/>
  <c r="CP67" i="7"/>
  <c r="CP12" i="8"/>
  <c r="EN12" i="8" s="1"/>
  <c r="BE50" i="4"/>
  <c r="T104" i="3"/>
  <c r="T108" i="3"/>
  <c r="AO66" i="1"/>
  <c r="AO169" i="3"/>
  <c r="AC106" i="7"/>
  <c r="AC108" i="7"/>
  <c r="BV142" i="7"/>
  <c r="BI20" i="1"/>
  <c r="BI49" i="1"/>
  <c r="BI80" i="1"/>
  <c r="BI50" i="1"/>
  <c r="BK37" i="9"/>
  <c r="BR50" i="4"/>
  <c r="AI47" i="4"/>
  <c r="AC120" i="3"/>
  <c r="AB158" i="3"/>
  <c r="BJ53" i="1"/>
  <c r="BJ60" i="3"/>
  <c r="BJ24" i="1"/>
  <c r="BJ165" i="3"/>
  <c r="BJ138" i="3"/>
  <c r="BJ136" i="7"/>
  <c r="BJ28" i="1"/>
  <c r="BJ68" i="1"/>
  <c r="BJ54" i="1"/>
  <c r="BO159" i="7"/>
  <c r="BO152" i="7"/>
  <c r="BO158" i="3"/>
  <c r="AH33" i="4"/>
  <c r="AT171" i="3"/>
  <c r="AT173" i="3"/>
  <c r="BU18" i="7"/>
  <c r="BO18" i="7"/>
  <c r="BF100" i="3"/>
  <c r="BF101" i="3" s="1"/>
  <c r="CU21" i="8"/>
  <c r="CO21" i="8"/>
  <c r="EM22" i="8" s="1"/>
  <c r="CO29" i="8"/>
  <c r="CH41" i="1"/>
  <c r="AY68" i="1"/>
  <c r="AY60" i="3"/>
  <c r="AY28" i="1"/>
  <c r="AY165" i="3"/>
  <c r="AY136" i="7"/>
  <c r="AY138" i="3"/>
  <c r="AY53" i="1"/>
  <c r="AY24" i="1"/>
  <c r="AE165" i="3"/>
  <c r="AE60" i="3"/>
  <c r="AE383" i="7"/>
  <c r="AE24" i="1"/>
  <c r="AE138" i="3"/>
  <c r="AE28" i="1"/>
  <c r="AE53" i="1"/>
  <c r="AE180" i="3"/>
  <c r="AE181" i="3" s="1"/>
  <c r="AE182" i="3" s="1"/>
  <c r="AE54" i="1"/>
  <c r="AE136" i="7"/>
  <c r="AE68" i="1"/>
  <c r="BE18" i="7"/>
  <c r="AY18" i="7"/>
  <c r="BS100" i="3"/>
  <c r="BS101" i="3" s="1"/>
  <c r="BG33" i="4"/>
  <c r="CU28" i="8"/>
  <c r="AI31" i="4"/>
  <c r="S115" i="3"/>
  <c r="T106" i="3"/>
  <c r="S109" i="3"/>
  <c r="BA100" i="3"/>
  <c r="BA101" i="3" s="1"/>
  <c r="AQ148" i="7"/>
  <c r="AC81" i="7"/>
  <c r="AC84" i="3"/>
  <c r="AC167" i="3"/>
  <c r="AC51" i="1"/>
  <c r="AC86" i="1"/>
  <c r="AC71" i="3"/>
  <c r="AC74" i="3" s="1"/>
  <c r="AC79" i="1"/>
  <c r="AC52" i="1"/>
  <c r="AC85" i="3"/>
  <c r="AC57" i="1"/>
  <c r="AC46" i="1"/>
  <c r="AC94" i="1"/>
  <c r="AC83" i="3"/>
  <c r="AC173" i="3"/>
  <c r="AC137" i="3"/>
  <c r="AC62" i="1"/>
  <c r="AC40" i="8" s="1"/>
  <c r="AC15" i="1"/>
  <c r="BU50" i="1"/>
  <c r="BI158" i="3"/>
  <c r="BI159" i="7"/>
  <c r="BI152" i="7"/>
  <c r="BD18" i="7"/>
  <c r="AX18" i="7"/>
  <c r="AO173" i="3"/>
  <c r="AO171" i="3"/>
  <c r="CC27" i="3"/>
  <c r="BG41" i="4"/>
  <c r="BG47" i="4" s="1"/>
  <c r="AB20" i="1"/>
  <c r="AH50" i="1"/>
  <c r="AB50" i="1"/>
  <c r="AB49" i="1"/>
  <c r="AB80" i="1"/>
  <c r="V321" i="7"/>
  <c r="V323" i="7"/>
  <c r="V319" i="7"/>
  <c r="V324" i="7"/>
  <c r="V320" i="7"/>
  <c r="V317" i="7"/>
  <c r="V331" i="7"/>
  <c r="V310" i="7"/>
  <c r="V322" i="7"/>
  <c r="V316" i="7"/>
  <c r="AG383" i="7"/>
  <c r="AG180" i="3"/>
  <c r="AG181" i="3" s="1"/>
  <c r="AG182" i="3" s="1"/>
  <c r="AG28" i="1"/>
  <c r="AG68" i="1"/>
  <c r="AG60" i="3"/>
  <c r="AM54" i="1"/>
  <c r="AG53" i="1"/>
  <c r="AG138" i="3"/>
  <c r="AG165" i="3"/>
  <c r="AM68" i="1"/>
  <c r="AG136" i="7"/>
  <c r="AG54" i="1"/>
  <c r="AG24" i="1"/>
  <c r="BE155" i="7"/>
  <c r="X11" i="36" s="1"/>
  <c r="AS50" i="4"/>
  <c r="AS59" i="4"/>
  <c r="AS78" i="3"/>
  <c r="CA50" i="4"/>
  <c r="CA78" i="3"/>
  <c r="CA59" i="4"/>
  <c r="AI26" i="4"/>
  <c r="EJ12" i="8"/>
  <c r="CJ30" i="8"/>
  <c r="CM30" i="8"/>
  <c r="CP43" i="7"/>
  <c r="CP11" i="8"/>
  <c r="CV22" i="1"/>
  <c r="CW14" i="4"/>
  <c r="W66" i="1"/>
  <c r="AC66" i="1"/>
  <c r="W169" i="3"/>
  <c r="BW138" i="3"/>
  <c r="BW136" i="7"/>
  <c r="BW28" i="1"/>
  <c r="BW60" i="3"/>
  <c r="BW165" i="3"/>
  <c r="BW54" i="1"/>
  <c r="BW24" i="1"/>
  <c r="BW68" i="1"/>
  <c r="BW53" i="1"/>
  <c r="AT71" i="3"/>
  <c r="AT74" i="3" s="1"/>
  <c r="AT83" i="3"/>
  <c r="AT167" i="3"/>
  <c r="AT145" i="7"/>
  <c r="AT137" i="3"/>
  <c r="AT85" i="3"/>
  <c r="AZ62" i="1"/>
  <c r="AZ40" i="8" s="1"/>
  <c r="AT84" i="3"/>
  <c r="AT51" i="1"/>
  <c r="AT79" i="1"/>
  <c r="AT15" i="1"/>
  <c r="AT46" i="1"/>
  <c r="AT52" i="1"/>
  <c r="AT81" i="7"/>
  <c r="AT62" i="1"/>
  <c r="AT40" i="8" s="1"/>
  <c r="AT57" i="1"/>
  <c r="AT94" i="1"/>
  <c r="AT86" i="1"/>
  <c r="CG96" i="7"/>
  <c r="CU20" i="8"/>
  <c r="CO28" i="8"/>
  <c r="CO20" i="8"/>
  <c r="EM21" i="8" s="1"/>
  <c r="CU22" i="8"/>
  <c r="CO22" i="8"/>
  <c r="EM23" i="8" s="1"/>
  <c r="CO30" i="8"/>
  <c r="BY100" i="3"/>
  <c r="BY101" i="3" s="1"/>
  <c r="BE126" i="3"/>
  <c r="BF33" i="4"/>
  <c r="BF125" i="3"/>
  <c r="BF126" i="3" s="1"/>
  <c r="AQ135" i="7"/>
  <c r="AQ80" i="1"/>
  <c r="AQ49" i="1"/>
  <c r="AQ20" i="1"/>
  <c r="N96" i="36" s="1"/>
  <c r="AQ50" i="1"/>
  <c r="AR20" i="1"/>
  <c r="O96" i="36" s="1"/>
  <c r="AR49" i="1"/>
  <c r="AR135" i="7"/>
  <c r="AR50" i="1"/>
  <c r="AX50" i="1"/>
  <c r="AR80" i="1"/>
  <c r="AR158" i="3"/>
  <c r="AR152" i="7"/>
  <c r="AX159" i="7"/>
  <c r="AR141" i="7"/>
  <c r="BF47" i="4"/>
  <c r="CC120" i="1"/>
  <c r="CE108" i="7" l="1"/>
  <c r="CK109" i="7" s="1"/>
  <c r="CK106" i="7"/>
  <c r="CD109" i="7"/>
  <c r="CJ109" i="7"/>
  <c r="CK50" i="9"/>
  <c r="BV54" i="1"/>
  <c r="AY54" i="1"/>
  <c r="AY180" i="3"/>
  <c r="AY181" i="3" s="1"/>
  <c r="AY182" i="3" s="1"/>
  <c r="BP54" i="1"/>
  <c r="V28" i="1"/>
  <c r="CG10" i="9"/>
  <c r="CH10" i="9" s="1"/>
  <c r="CI10" i="9" s="1"/>
  <c r="CJ10" i="9" s="1"/>
  <c r="CK10" i="9" s="1"/>
  <c r="CK42" i="9" s="1"/>
  <c r="CK47" i="9"/>
  <c r="BE79" i="3"/>
  <c r="BM79" i="7"/>
  <c r="BG91" i="7"/>
  <c r="BG85" i="7"/>
  <c r="BG86" i="7"/>
  <c r="BG73" i="7"/>
  <c r="BM125" i="7"/>
  <c r="BG88" i="7"/>
  <c r="BG125" i="7"/>
  <c r="BG90" i="7"/>
  <c r="AI373" i="7"/>
  <c r="CA68" i="1"/>
  <c r="CA136" i="7"/>
  <c r="AB76" i="36"/>
  <c r="AB139" i="3"/>
  <c r="CA138" i="3"/>
  <c r="AA140" i="3"/>
  <c r="AA141" i="3" s="1"/>
  <c r="AA142" i="3" s="1"/>
  <c r="AA136" i="3" s="1"/>
  <c r="CA54" i="1"/>
  <c r="CA165" i="3"/>
  <c r="CA28" i="1"/>
  <c r="CA53" i="1"/>
  <c r="CA120" i="1" s="1"/>
  <c r="CA60" i="3"/>
  <c r="BS67" i="7"/>
  <c r="BS69" i="7" s="1"/>
  <c r="Z330" i="7"/>
  <c r="BU80" i="3"/>
  <c r="BM10" i="7"/>
  <c r="BG183" i="7"/>
  <c r="AI158" i="3"/>
  <c r="AI51" i="3"/>
  <c r="BP136" i="7"/>
  <c r="AI96" i="36"/>
  <c r="AM102" i="36" s="1"/>
  <c r="BP53" i="1"/>
  <c r="BP165" i="3"/>
  <c r="O361" i="7"/>
  <c r="AM180" i="3"/>
  <c r="AM181" i="3" s="1"/>
  <c r="AM182" i="3" s="1"/>
  <c r="BG188" i="7"/>
  <c r="AC360" i="7"/>
  <c r="CG20" i="9"/>
  <c r="CH20" i="9" s="1"/>
  <c r="CI20" i="9" s="1"/>
  <c r="CJ20" i="9" s="1"/>
  <c r="CK20" i="9" s="1"/>
  <c r="CM20" i="9" s="1"/>
  <c r="CN20" i="9" s="1"/>
  <c r="CO20" i="9" s="1"/>
  <c r="CP20" i="9" s="1"/>
  <c r="CQ20" i="9" s="1"/>
  <c r="CQ52" i="9" s="1"/>
  <c r="BG187" i="7"/>
  <c r="BS13" i="7"/>
  <c r="AB328" i="7"/>
  <c r="AB325" i="7"/>
  <c r="AB324" i="7"/>
  <c r="AB320" i="7"/>
  <c r="AS180" i="3"/>
  <c r="AS181" i="3" s="1"/>
  <c r="AS182" i="3" s="1"/>
  <c r="AT139" i="3"/>
  <c r="AT179" i="3"/>
  <c r="AL76" i="36"/>
  <c r="AN139" i="3"/>
  <c r="AN179" i="3"/>
  <c r="BE201" i="3"/>
  <c r="BE202" i="3"/>
  <c r="BE56" i="3" s="1"/>
  <c r="AZ139" i="3"/>
  <c r="AZ179" i="3"/>
  <c r="BD202" i="3"/>
  <c r="BD56" i="3" s="1"/>
  <c r="AH139" i="3"/>
  <c r="AH179" i="3"/>
  <c r="BD201" i="3"/>
  <c r="CM41" i="3"/>
  <c r="CK190" i="3"/>
  <c r="AI199" i="3"/>
  <c r="AI198" i="3"/>
  <c r="CM32" i="3"/>
  <c r="CK191" i="3"/>
  <c r="Z320" i="7"/>
  <c r="AC240" i="7"/>
  <c r="AC289" i="7"/>
  <c r="AC291" i="7" s="1"/>
  <c r="BP28" i="1"/>
  <c r="BP30" i="1" s="1"/>
  <c r="AE96" i="36"/>
  <c r="BP68" i="1"/>
  <c r="BV68" i="1"/>
  <c r="BP24" i="1"/>
  <c r="J76" i="36"/>
  <c r="AA76" i="36"/>
  <c r="AI135" i="7"/>
  <c r="BU61" i="4"/>
  <c r="X76" i="36"/>
  <c r="X88" i="36" s="1"/>
  <c r="AI76" i="36"/>
  <c r="AF307" i="7"/>
  <c r="Z322" i="7"/>
  <c r="CC13" i="7"/>
  <c r="AB319" i="7"/>
  <c r="AB315" i="7"/>
  <c r="AU76" i="7"/>
  <c r="Z317" i="7"/>
  <c r="BF56" i="7"/>
  <c r="BF34" i="8" s="1"/>
  <c r="AB322" i="7"/>
  <c r="AB321" i="7"/>
  <c r="AC42" i="8"/>
  <c r="BJ42" i="8"/>
  <c r="BD42" i="8"/>
  <c r="BW42" i="8"/>
  <c r="AW8" i="36"/>
  <c r="AW19" i="36" s="1"/>
  <c r="EN11" i="8"/>
  <c r="AR42" i="8"/>
  <c r="BI42" i="8"/>
  <c r="BK42" i="8"/>
  <c r="BQ42" i="8"/>
  <c r="BE42" i="8"/>
  <c r="AL42" i="8"/>
  <c r="AM42" i="8"/>
  <c r="BU42" i="8"/>
  <c r="BO42" i="8"/>
  <c r="BV42" i="8"/>
  <c r="AI42" i="8"/>
  <c r="AY42" i="8"/>
  <c r="AW42" i="8"/>
  <c r="AC86" i="36"/>
  <c r="BP42" i="8"/>
  <c r="AQ42" i="8"/>
  <c r="AS42" i="8"/>
  <c r="AH78" i="3"/>
  <c r="BA33" i="4"/>
  <c r="AR60" i="4"/>
  <c r="AR61" i="4" s="1"/>
  <c r="AO47" i="4"/>
  <c r="AR79" i="3"/>
  <c r="BY85" i="4"/>
  <c r="BY86" i="4" s="1"/>
  <c r="W76" i="36"/>
  <c r="AA88" i="36" s="1"/>
  <c r="AJ76" i="36"/>
  <c r="AJ88" i="36" s="1"/>
  <c r="AM76" i="36"/>
  <c r="AM88" i="36" s="1"/>
  <c r="BK125" i="1"/>
  <c r="V76" i="36"/>
  <c r="F76" i="36"/>
  <c r="CC125" i="1"/>
  <c r="AO86" i="7"/>
  <c r="AO91" i="7"/>
  <c r="AO87" i="7"/>
  <c r="AO90" i="7"/>
  <c r="AO89" i="7"/>
  <c r="AO81" i="7"/>
  <c r="AE76" i="36"/>
  <c r="AE88" i="36" s="1"/>
  <c r="AU51" i="36"/>
  <c r="AU64" i="36" s="1"/>
  <c r="AU65" i="36" s="1"/>
  <c r="CH130" i="7"/>
  <c r="CH117" i="7"/>
  <c r="CH129" i="7"/>
  <c r="CH131" i="7" s="1"/>
  <c r="P76" i="36"/>
  <c r="P88" i="36" s="1"/>
  <c r="K76" i="36"/>
  <c r="CE109" i="7"/>
  <c r="BJ120" i="1"/>
  <c r="AD82" i="36"/>
  <c r="I82" i="36"/>
  <c r="BQ120" i="1"/>
  <c r="BQ121" i="1" s="1"/>
  <c r="AK82" i="36"/>
  <c r="O82" i="36"/>
  <c r="O76" i="36" s="1"/>
  <c r="N82" i="36"/>
  <c r="N76" i="36" s="1"/>
  <c r="E82" i="36"/>
  <c r="Z82" i="36"/>
  <c r="Z76" i="36" s="1"/>
  <c r="Z88" i="36" s="1"/>
  <c r="C82" i="36"/>
  <c r="G76" i="36" s="1"/>
  <c r="U82" i="36"/>
  <c r="AC82" i="36"/>
  <c r="AI125" i="3"/>
  <c r="AO44" i="3"/>
  <c r="AO45" i="3" s="1"/>
  <c r="BA45" i="3"/>
  <c r="AN50" i="4"/>
  <c r="AY77" i="3"/>
  <c r="BX50" i="4"/>
  <c r="CB59" i="4"/>
  <c r="AI33" i="4"/>
  <c r="AI50" i="4" s="1"/>
  <c r="AU33" i="4"/>
  <c r="AC50" i="4"/>
  <c r="AC77" i="3" s="1"/>
  <c r="DF84" i="3"/>
  <c r="DF85" i="3"/>
  <c r="CK58" i="9"/>
  <c r="CM26" i="9"/>
  <c r="CN26" i="9" s="1"/>
  <c r="CO26" i="9" s="1"/>
  <c r="CP26" i="9" s="1"/>
  <c r="CQ26" i="9" s="1"/>
  <c r="CQ58" i="9" s="1"/>
  <c r="CE55" i="9"/>
  <c r="CG23" i="9"/>
  <c r="CH23" i="9" s="1"/>
  <c r="CI23" i="9" s="1"/>
  <c r="CJ23" i="9" s="1"/>
  <c r="CK23" i="9" s="1"/>
  <c r="CE45" i="9"/>
  <c r="CG13" i="9"/>
  <c r="CH13" i="9" s="1"/>
  <c r="CI13" i="9" s="1"/>
  <c r="CJ13" i="9" s="1"/>
  <c r="CK13" i="9" s="1"/>
  <c r="CM35" i="9"/>
  <c r="CK53" i="9"/>
  <c r="CM21" i="9"/>
  <c r="CN21" i="9" s="1"/>
  <c r="CO21" i="9" s="1"/>
  <c r="CP21" i="9" s="1"/>
  <c r="CQ21" i="9" s="1"/>
  <c r="CQ53" i="9" s="1"/>
  <c r="CK49" i="9"/>
  <c r="CM17" i="9"/>
  <c r="CN17" i="9" s="1"/>
  <c r="CO17" i="9" s="1"/>
  <c r="CP17" i="9" s="1"/>
  <c r="CQ17" i="9" s="1"/>
  <c r="CQ49" i="9" s="1"/>
  <c r="CK51" i="9"/>
  <c r="CM19" i="9"/>
  <c r="CN19" i="9" s="1"/>
  <c r="CO19" i="9" s="1"/>
  <c r="CP19" i="9" s="1"/>
  <c r="CQ19" i="9" s="1"/>
  <c r="CQ51" i="9" s="1"/>
  <c r="CE57" i="9"/>
  <c r="CG25" i="9"/>
  <c r="CH25" i="9" s="1"/>
  <c r="CI25" i="9" s="1"/>
  <c r="CJ25" i="9" s="1"/>
  <c r="CK25" i="9" s="1"/>
  <c r="CM10" i="9"/>
  <c r="CN10" i="9" s="1"/>
  <c r="CO10" i="9" s="1"/>
  <c r="CP10" i="9" s="1"/>
  <c r="CQ10" i="9" s="1"/>
  <c r="CQ42" i="9" s="1"/>
  <c r="CK60" i="9"/>
  <c r="CM28" i="9"/>
  <c r="CN28" i="9" s="1"/>
  <c r="CO28" i="9" s="1"/>
  <c r="CP28" i="9" s="1"/>
  <c r="CQ28" i="9" s="1"/>
  <c r="CQ60" i="9" s="1"/>
  <c r="CK61" i="9"/>
  <c r="CM29" i="9"/>
  <c r="CN29" i="9" s="1"/>
  <c r="CO29" i="9" s="1"/>
  <c r="CP29" i="9" s="1"/>
  <c r="CQ29" i="9" s="1"/>
  <c r="CQ61" i="9" s="1"/>
  <c r="CK62" i="9"/>
  <c r="CM30" i="9"/>
  <c r="CN30" i="9" s="1"/>
  <c r="CO30" i="9" s="1"/>
  <c r="CP30" i="9" s="1"/>
  <c r="CQ30" i="9" s="1"/>
  <c r="CQ62" i="9" s="1"/>
  <c r="CK59" i="9"/>
  <c r="CM27" i="9"/>
  <c r="CN27" i="9" s="1"/>
  <c r="CO27" i="9" s="1"/>
  <c r="CP27" i="9" s="1"/>
  <c r="CQ27" i="9" s="1"/>
  <c r="CQ59" i="9" s="1"/>
  <c r="CK48" i="9"/>
  <c r="CM16" i="9"/>
  <c r="CN16" i="9" s="1"/>
  <c r="CO16" i="9" s="1"/>
  <c r="CP16" i="9" s="1"/>
  <c r="CQ16" i="9" s="1"/>
  <c r="CQ48" i="9" s="1"/>
  <c r="CE56" i="9"/>
  <c r="CG24" i="9"/>
  <c r="CH24" i="9" s="1"/>
  <c r="CI24" i="9" s="1"/>
  <c r="CJ24" i="9" s="1"/>
  <c r="CK24" i="9" s="1"/>
  <c r="CK54" i="9"/>
  <c r="CM22" i="9"/>
  <c r="CN22" i="9" s="1"/>
  <c r="CO22" i="9" s="1"/>
  <c r="CP22" i="9" s="1"/>
  <c r="CQ22" i="9" s="1"/>
  <c r="CQ54" i="9" s="1"/>
  <c r="CQ67" i="9"/>
  <c r="CV28" i="8"/>
  <c r="DB20" i="8"/>
  <c r="CY28" i="8"/>
  <c r="BX95" i="1"/>
  <c r="BX96" i="1" s="1"/>
  <c r="BY21" i="1"/>
  <c r="BX23" i="1"/>
  <c r="BF109" i="7"/>
  <c r="CQ22" i="1"/>
  <c r="AA102" i="36"/>
  <c r="CD141" i="7"/>
  <c r="AO12" i="36" s="1"/>
  <c r="CD152" i="7"/>
  <c r="CD142" i="7"/>
  <c r="CD156" i="7" s="1"/>
  <c r="CD143" i="7"/>
  <c r="CD157" i="7" s="1"/>
  <c r="CD144" i="7"/>
  <c r="CD158" i="7" s="1"/>
  <c r="CE106" i="7"/>
  <c r="CD74" i="3"/>
  <c r="CE46" i="1"/>
  <c r="CE168" i="3"/>
  <c r="BF142" i="7"/>
  <c r="BF152" i="7"/>
  <c r="CQ14" i="4"/>
  <c r="CK39" i="3"/>
  <c r="CM39" i="3" s="1"/>
  <c r="CN39" i="3" s="1"/>
  <c r="BD61" i="4"/>
  <c r="AG77" i="3"/>
  <c r="BF159" i="7"/>
  <c r="BF143" i="7"/>
  <c r="BF141" i="7"/>
  <c r="BF144" i="7"/>
  <c r="BL158" i="7" s="1"/>
  <c r="CB120" i="1"/>
  <c r="T102" i="36"/>
  <c r="AB102" i="36"/>
  <c r="BD58" i="1"/>
  <c r="U86" i="36"/>
  <c r="Y86" i="36"/>
  <c r="AC87" i="36"/>
  <c r="BE61" i="4"/>
  <c r="BF158" i="3"/>
  <c r="BK62" i="4"/>
  <c r="CE122" i="1"/>
  <c r="CN50" i="8"/>
  <c r="AQ42" i="36"/>
  <c r="CH12" i="7"/>
  <c r="AK75" i="36"/>
  <c r="AK87" i="36" s="1"/>
  <c r="AM77" i="3"/>
  <c r="Z96" i="36"/>
  <c r="Z102" i="36" s="1"/>
  <c r="AI106" i="36"/>
  <c r="CE123" i="1"/>
  <c r="BM74" i="3"/>
  <c r="Z329" i="7"/>
  <c r="Z310" i="7"/>
  <c r="Z316" i="7"/>
  <c r="Z321" i="7"/>
  <c r="Z324" i="7"/>
  <c r="AM9" i="36"/>
  <c r="AM20" i="36" s="1"/>
  <c r="AW86" i="36"/>
  <c r="AO75" i="36"/>
  <c r="Z315" i="7"/>
  <c r="Z318" i="7"/>
  <c r="Z328" i="7"/>
  <c r="Z323" i="7"/>
  <c r="AF309" i="7"/>
  <c r="AF312" i="7" s="1"/>
  <c r="AM10" i="36"/>
  <c r="AM21" i="36" s="1"/>
  <c r="AG87" i="36"/>
  <c r="AG74" i="36"/>
  <c r="AG86" i="36" s="1"/>
  <c r="AW87" i="36"/>
  <c r="Z319" i="7"/>
  <c r="Z327" i="7"/>
  <c r="Z325" i="7"/>
  <c r="Z326" i="7"/>
  <c r="BX59" i="4"/>
  <c r="AZ50" i="4"/>
  <c r="AN78" i="3"/>
  <c r="CB50" i="4"/>
  <c r="BX78" i="3"/>
  <c r="CB78" i="3"/>
  <c r="AN59" i="4"/>
  <c r="AI20" i="1"/>
  <c r="AI165" i="3" s="1"/>
  <c r="AI49" i="1"/>
  <c r="S58" i="1"/>
  <c r="J102" i="36"/>
  <c r="G172" i="3"/>
  <c r="BX24" i="1"/>
  <c r="BX59" i="3" s="1"/>
  <c r="W20" i="1"/>
  <c r="W68" i="1" s="1"/>
  <c r="BD56" i="1"/>
  <c r="X22" i="36"/>
  <c r="CP22" i="8"/>
  <c r="EN23" i="8" s="1"/>
  <c r="AW9" i="36"/>
  <c r="AW20" i="36" s="1"/>
  <c r="AR77" i="3"/>
  <c r="BM78" i="3"/>
  <c r="BM50" i="4"/>
  <c r="BM59" i="4"/>
  <c r="S30" i="1"/>
  <c r="S32" i="1" s="1"/>
  <c r="O102" i="36"/>
  <c r="N102" i="36"/>
  <c r="U30" i="1"/>
  <c r="U117" i="1" s="1"/>
  <c r="BD172" i="3"/>
  <c r="AG12" i="36"/>
  <c r="CA97" i="1"/>
  <c r="T88" i="36"/>
  <c r="AD96" i="36"/>
  <c r="CP28" i="8"/>
  <c r="AW7" i="36"/>
  <c r="AW18" i="36" s="1"/>
  <c r="AO20" i="1"/>
  <c r="CA164" i="3"/>
  <c r="BY74" i="3"/>
  <c r="S56" i="1"/>
  <c r="O97" i="1"/>
  <c r="AS18" i="36"/>
  <c r="AS19" i="36"/>
  <c r="AS20" i="36"/>
  <c r="AN102" i="36"/>
  <c r="U66" i="36"/>
  <c r="X69" i="36" s="1"/>
  <c r="X70" i="36" s="1"/>
  <c r="AA67" i="36"/>
  <c r="AA34" i="36" s="1"/>
  <c r="AM106" i="36"/>
  <c r="AF102" i="36"/>
  <c r="AJ67" i="36"/>
  <c r="AJ68" i="36" s="1"/>
  <c r="AE34" i="36"/>
  <c r="AM67" i="36"/>
  <c r="AM68" i="36" s="1"/>
  <c r="AB67" i="36"/>
  <c r="AB34" i="36" s="1"/>
  <c r="Q57" i="36"/>
  <c r="Q29" i="36" s="1"/>
  <c r="AP65" i="36"/>
  <c r="AP33" i="36" s="1"/>
  <c r="S67" i="36"/>
  <c r="S34" i="36" s="1"/>
  <c r="T67" i="36"/>
  <c r="T34" i="36" s="1"/>
  <c r="X67" i="36"/>
  <c r="X34" i="36" s="1"/>
  <c r="BX60" i="3"/>
  <c r="S96" i="36"/>
  <c r="S102" i="36" s="1"/>
  <c r="R96" i="36"/>
  <c r="R102" i="36" s="1"/>
  <c r="AH24" i="1"/>
  <c r="AH97" i="1" s="1"/>
  <c r="I96" i="36"/>
  <c r="CA59" i="3"/>
  <c r="BX28" i="1"/>
  <c r="BX172" i="3" s="1"/>
  <c r="BX136" i="7"/>
  <c r="BX165" i="3"/>
  <c r="BL136" i="7"/>
  <c r="BX53" i="1"/>
  <c r="AN60" i="3"/>
  <c r="M96" i="36"/>
  <c r="X102" i="36"/>
  <c r="P102" i="36"/>
  <c r="AF88" i="36"/>
  <c r="K102" i="36"/>
  <c r="AH96" i="36"/>
  <c r="AJ102" i="36"/>
  <c r="K66" i="36"/>
  <c r="N106" i="36"/>
  <c r="P106" i="36"/>
  <c r="Y66" i="36"/>
  <c r="Y105" i="36"/>
  <c r="AG66" i="36"/>
  <c r="AI69" i="36" s="1"/>
  <c r="AI70" i="36" s="1"/>
  <c r="AG105" i="36"/>
  <c r="AG106" i="36" s="1"/>
  <c r="U106" i="36"/>
  <c r="W106" i="36"/>
  <c r="Z106" i="36"/>
  <c r="AD106" i="36"/>
  <c r="AE106" i="36"/>
  <c r="G56" i="1"/>
  <c r="BY80" i="1"/>
  <c r="AQ65" i="36"/>
  <c r="AQ33" i="36" s="1"/>
  <c r="AI67" i="36"/>
  <c r="AI68" i="36" s="1"/>
  <c r="AK66" i="36"/>
  <c r="AM69" i="36" s="1"/>
  <c r="AM70" i="36" s="1"/>
  <c r="AN65" i="36"/>
  <c r="AN33" i="36" s="1"/>
  <c r="AM33" i="36"/>
  <c r="Z57" i="36"/>
  <c r="Z29" i="36" s="1"/>
  <c r="Y57" i="36"/>
  <c r="Y29" i="36" s="1"/>
  <c r="R65" i="36"/>
  <c r="R33" i="36" s="1"/>
  <c r="Q65" i="36"/>
  <c r="Q33" i="36" s="1"/>
  <c r="AC66" i="36"/>
  <c r="AF69" i="36" s="1"/>
  <c r="AF70" i="36" s="1"/>
  <c r="I43" i="36"/>
  <c r="M52" i="36"/>
  <c r="AG65" i="36"/>
  <c r="AG33" i="36" s="1"/>
  <c r="AH65" i="36"/>
  <c r="AH33" i="36" s="1"/>
  <c r="J66" i="36"/>
  <c r="N66" i="36"/>
  <c r="W67" i="36"/>
  <c r="W34" i="36" s="1"/>
  <c r="AC57" i="36"/>
  <c r="AC29" i="36" s="1"/>
  <c r="P67" i="36"/>
  <c r="P34" i="36" s="1"/>
  <c r="V57" i="36"/>
  <c r="V29" i="36" s="1"/>
  <c r="U57" i="36"/>
  <c r="U29" i="36" s="1"/>
  <c r="AF67" i="36"/>
  <c r="AF68" i="36" s="1"/>
  <c r="AH85" i="7"/>
  <c r="AK12" i="36"/>
  <c r="Y330" i="7"/>
  <c r="S12" i="36"/>
  <c r="AK41" i="8"/>
  <c r="AO85" i="7"/>
  <c r="AO73" i="7"/>
  <c r="AU78" i="7"/>
  <c r="AM12" i="36"/>
  <c r="X23" i="36"/>
  <c r="AL10" i="36"/>
  <c r="AL21" i="36" s="1"/>
  <c r="AN53" i="1"/>
  <c r="G30" i="1"/>
  <c r="G32" i="1" s="1"/>
  <c r="AO50" i="1"/>
  <c r="BA20" i="1"/>
  <c r="BA53" i="1" s="1"/>
  <c r="BY49" i="1"/>
  <c r="AO49" i="1"/>
  <c r="AM30" i="1"/>
  <c r="AM32" i="1" s="1"/>
  <c r="AM64" i="4" s="1"/>
  <c r="BK172" i="3"/>
  <c r="S164" i="3"/>
  <c r="CA30" i="1"/>
  <c r="CA117" i="1" s="1"/>
  <c r="O164" i="3"/>
  <c r="BD59" i="3"/>
  <c r="CB30" i="1"/>
  <c r="CB32" i="1" s="1"/>
  <c r="W49" i="1"/>
  <c r="BQ30" i="1"/>
  <c r="BQ117" i="1" s="1"/>
  <c r="AI344" i="7"/>
  <c r="AH344" i="7"/>
  <c r="AH268" i="7"/>
  <c r="AA331" i="7"/>
  <c r="AA306" i="7"/>
  <c r="AA329" i="7" s="1"/>
  <c r="AA249" i="7"/>
  <c r="BX155" i="7"/>
  <c r="AK11" i="36" s="1"/>
  <c r="BY22" i="8"/>
  <c r="CH22" i="8"/>
  <c r="EH23" i="8" s="1"/>
  <c r="CB22" i="8"/>
  <c r="ED23" i="8" s="1"/>
  <c r="I56" i="1"/>
  <c r="W80" i="1"/>
  <c r="BX107" i="3"/>
  <c r="BY107" i="3" s="1"/>
  <c r="AH50" i="4"/>
  <c r="AF77" i="3"/>
  <c r="U164" i="3"/>
  <c r="BA135" i="7"/>
  <c r="CB59" i="3"/>
  <c r="CB69" i="1"/>
  <c r="CB97" i="1"/>
  <c r="CB164" i="3"/>
  <c r="CB172" i="3"/>
  <c r="AM58" i="1"/>
  <c r="CB58" i="1"/>
  <c r="AO135" i="7"/>
  <c r="AM172" i="3"/>
  <c r="S59" i="3"/>
  <c r="CA172" i="3"/>
  <c r="O59" i="3"/>
  <c r="BX121" i="3"/>
  <c r="BX120" i="3"/>
  <c r="BY22" i="1"/>
  <c r="BY119" i="3"/>
  <c r="AX30" i="1"/>
  <c r="AX117" i="1" s="1"/>
  <c r="BK59" i="3"/>
  <c r="E69" i="1"/>
  <c r="G69" i="1"/>
  <c r="E172" i="3"/>
  <c r="BK56" i="1"/>
  <c r="E61" i="3"/>
  <c r="BM80" i="1"/>
  <c r="BK164" i="3"/>
  <c r="E97" i="1"/>
  <c r="AN136" i="7"/>
  <c r="AN24" i="1"/>
  <c r="AN164" i="3" s="1"/>
  <c r="G59" i="3"/>
  <c r="BM49" i="1"/>
  <c r="AC109" i="7"/>
  <c r="E32" i="1"/>
  <c r="E55" i="3" s="1"/>
  <c r="AX172" i="3"/>
  <c r="BQ58" i="1"/>
  <c r="CA58" i="1"/>
  <c r="E56" i="1"/>
  <c r="BD69" i="1"/>
  <c r="U140" i="3"/>
  <c r="U141" i="3" s="1"/>
  <c r="U142" i="3" s="1"/>
  <c r="U136" i="3" s="1"/>
  <c r="AN68" i="1"/>
  <c r="BK58" i="1"/>
  <c r="I69" i="1"/>
  <c r="AN28" i="1"/>
  <c r="AN30" i="1" s="1"/>
  <c r="AN138" i="3"/>
  <c r="G97" i="1"/>
  <c r="BM20" i="1"/>
  <c r="BS122" i="1" s="1"/>
  <c r="BD61" i="3"/>
  <c r="AX58" i="1"/>
  <c r="E58" i="1"/>
  <c r="BK61" i="3"/>
  <c r="BK30" i="1"/>
  <c r="BK117" i="1" s="1"/>
  <c r="E164" i="3"/>
  <c r="BL24" i="1"/>
  <c r="BL59" i="3" s="1"/>
  <c r="AL30" i="1"/>
  <c r="AL58" i="1"/>
  <c r="AL172" i="3"/>
  <c r="BA49" i="1"/>
  <c r="BD97" i="1"/>
  <c r="AM56" i="1"/>
  <c r="BL28" i="1"/>
  <c r="BL138" i="3"/>
  <c r="BL60" i="3"/>
  <c r="BL53" i="1"/>
  <c r="AM61" i="3"/>
  <c r="BL165" i="3"/>
  <c r="U56" i="1"/>
  <c r="U61" i="3"/>
  <c r="AM62" i="4"/>
  <c r="U59" i="3"/>
  <c r="AM97" i="1"/>
  <c r="AM164" i="3"/>
  <c r="BR156" i="7"/>
  <c r="U97" i="1"/>
  <c r="CG129" i="7"/>
  <c r="CG131" i="7" s="1"/>
  <c r="CG130" i="7"/>
  <c r="AK77" i="7"/>
  <c r="AK79" i="7" s="1"/>
  <c r="AK82" i="7" s="1"/>
  <c r="AB307" i="7"/>
  <c r="AB308" i="7" s="1"/>
  <c r="AB249" i="7"/>
  <c r="AU87" i="7"/>
  <c r="AK36" i="8"/>
  <c r="AB327" i="7"/>
  <c r="AB318" i="7"/>
  <c r="AB316" i="7"/>
  <c r="AB326" i="7"/>
  <c r="AB330" i="7"/>
  <c r="AB329" i="7"/>
  <c r="AB323" i="7"/>
  <c r="AB317" i="7"/>
  <c r="BG131" i="7"/>
  <c r="AT68" i="7"/>
  <c r="AT35" i="8" s="1"/>
  <c r="BA131" i="7"/>
  <c r="AB331" i="7"/>
  <c r="AH258" i="7"/>
  <c r="AG61" i="4"/>
  <c r="AG80" i="3"/>
  <c r="AW62" i="4"/>
  <c r="BA50" i="4"/>
  <c r="BA59" i="4"/>
  <c r="BA78" i="3"/>
  <c r="AT101" i="3"/>
  <c r="CW22" i="1"/>
  <c r="CE124" i="1"/>
  <c r="BU54" i="1"/>
  <c r="AU131" i="7"/>
  <c r="BX158" i="7"/>
  <c r="BX157" i="7"/>
  <c r="CB156" i="7"/>
  <c r="CB155" i="7"/>
  <c r="AM11" i="36" s="1"/>
  <c r="BX156" i="7"/>
  <c r="W316" i="7"/>
  <c r="AI244" i="7"/>
  <c r="AA30" i="1"/>
  <c r="AA58" i="1"/>
  <c r="AA172" i="3"/>
  <c r="W317" i="7"/>
  <c r="BM90" i="7"/>
  <c r="W318" i="7"/>
  <c r="BA88" i="7"/>
  <c r="BA188" i="7"/>
  <c r="AH306" i="7"/>
  <c r="AH307" i="7" s="1"/>
  <c r="BM86" i="7"/>
  <c r="W331" i="7"/>
  <c r="BA86" i="7"/>
  <c r="BA85" i="7"/>
  <c r="BG76" i="7"/>
  <c r="BY109" i="7"/>
  <c r="BY68" i="7"/>
  <c r="BY35" i="8" s="1"/>
  <c r="W319" i="7"/>
  <c r="W310" i="7"/>
  <c r="W323" i="7"/>
  <c r="W324" i="7"/>
  <c r="W248" i="7"/>
  <c r="W249" i="7" s="1"/>
  <c r="BA89" i="7"/>
  <c r="BA73" i="7"/>
  <c r="BG10" i="7"/>
  <c r="BA183" i="7"/>
  <c r="AH249" i="7"/>
  <c r="BJ149" i="7"/>
  <c r="BI149" i="7" s="1"/>
  <c r="W307" i="7"/>
  <c r="W308" i="7" s="1"/>
  <c r="W320" i="7"/>
  <c r="W321" i="7"/>
  <c r="BA90" i="7"/>
  <c r="BA187" i="7"/>
  <c r="W322" i="7"/>
  <c r="W315" i="7"/>
  <c r="BG78" i="7"/>
  <c r="BA81" i="7"/>
  <c r="BA17" i="7"/>
  <c r="K69" i="1"/>
  <c r="I59" i="3"/>
  <c r="U172" i="3"/>
  <c r="O58" i="1"/>
  <c r="O172" i="3"/>
  <c r="O30" i="1"/>
  <c r="I97" i="1"/>
  <c r="BA91" i="7"/>
  <c r="BA87" i="7"/>
  <c r="AK18" i="7"/>
  <c r="BS46" i="8"/>
  <c r="BM81" i="7"/>
  <c r="BM87" i="7"/>
  <c r="AZ68" i="7"/>
  <c r="AZ35" i="8" s="1"/>
  <c r="BY13" i="7"/>
  <c r="BM76" i="7"/>
  <c r="BM77" i="7" s="1"/>
  <c r="BM91" i="7"/>
  <c r="BS127" i="1"/>
  <c r="AC248" i="7"/>
  <c r="AC306" i="7" s="1"/>
  <c r="AC319" i="7" s="1"/>
  <c r="BS78" i="7"/>
  <c r="BM89" i="7"/>
  <c r="AU85" i="7"/>
  <c r="AI372" i="7"/>
  <c r="BS90" i="7"/>
  <c r="Y315" i="7"/>
  <c r="AI248" i="7"/>
  <c r="AI306" i="7" s="1"/>
  <c r="AI329" i="7" s="1"/>
  <c r="BM17" i="7"/>
  <c r="BM24" i="7" s="1"/>
  <c r="BS10" i="7"/>
  <c r="Y318" i="7"/>
  <c r="AI378" i="7"/>
  <c r="AU46" i="8"/>
  <c r="AH246" i="7"/>
  <c r="AH347" i="7"/>
  <c r="AF56" i="1"/>
  <c r="AF61" i="3"/>
  <c r="AF59" i="3"/>
  <c r="AF97" i="1"/>
  <c r="AF164" i="3"/>
  <c r="C58" i="1"/>
  <c r="C172" i="3"/>
  <c r="C30" i="1"/>
  <c r="C164" i="3"/>
  <c r="C97" i="1"/>
  <c r="C56" i="1"/>
  <c r="C59" i="3"/>
  <c r="C61" i="3"/>
  <c r="AF30" i="1"/>
  <c r="AF172" i="3"/>
  <c r="AF58" i="1"/>
  <c r="AR149" i="7"/>
  <c r="AS142" i="7"/>
  <c r="W242" i="7"/>
  <c r="W365" i="7"/>
  <c r="W367" i="7" s="1"/>
  <c r="W366" i="7"/>
  <c r="W300" i="7"/>
  <c r="W341" i="7"/>
  <c r="AC366" i="7"/>
  <c r="BS86" i="7"/>
  <c r="Y328" i="7"/>
  <c r="BM55" i="7"/>
  <c r="BS17" i="7"/>
  <c r="BS41" i="7" s="1"/>
  <c r="BS36" i="7"/>
  <c r="BS35" i="7" s="1"/>
  <c r="Y326" i="7"/>
  <c r="Y310" i="7"/>
  <c r="Y324" i="7"/>
  <c r="AY158" i="7"/>
  <c r="BS81" i="7"/>
  <c r="BS96" i="7"/>
  <c r="Y325" i="7"/>
  <c r="Y321" i="7"/>
  <c r="Y327" i="7"/>
  <c r="BR77" i="7"/>
  <c r="BR79" i="7" s="1"/>
  <c r="BA10" i="7"/>
  <c r="BA67" i="7"/>
  <c r="BA69" i="7" s="1"/>
  <c r="BM36" i="8"/>
  <c r="AT55" i="7"/>
  <c r="AT57" i="7" s="1"/>
  <c r="AT67" i="7"/>
  <c r="AT69" i="7" s="1"/>
  <c r="AE309" i="7"/>
  <c r="AE312" i="7" s="1"/>
  <c r="Y319" i="7"/>
  <c r="Y307" i="7"/>
  <c r="Y308" i="7" s="1"/>
  <c r="Y316" i="7"/>
  <c r="Y323" i="7"/>
  <c r="AU17" i="7"/>
  <c r="AU18" i="7" s="1"/>
  <c r="BM67" i="7"/>
  <c r="BM69" i="7" s="1"/>
  <c r="BM41" i="8"/>
  <c r="Y329" i="7"/>
  <c r="Y320" i="7"/>
  <c r="Y317" i="7"/>
  <c r="BL77" i="7"/>
  <c r="M249" i="7"/>
  <c r="AU73" i="7"/>
  <c r="BS50" i="8"/>
  <c r="BA125" i="7"/>
  <c r="BY131" i="7"/>
  <c r="AU91" i="7"/>
  <c r="AU90" i="7"/>
  <c r="BA76" i="7"/>
  <c r="AO98" i="7"/>
  <c r="AO52" i="8"/>
  <c r="BQ141" i="7"/>
  <c r="BP148" i="7"/>
  <c r="BS22" i="8"/>
  <c r="AU88" i="7"/>
  <c r="AU86" i="7"/>
  <c r="BA78" i="7"/>
  <c r="BA41" i="8" s="1"/>
  <c r="AI98" i="7"/>
  <c r="AI52" i="8"/>
  <c r="AU89" i="7"/>
  <c r="BA46" i="8"/>
  <c r="BS34" i="8"/>
  <c r="BS76" i="7"/>
  <c r="BY127" i="1"/>
  <c r="BY78" i="7"/>
  <c r="AU55" i="7"/>
  <c r="AU57" i="7" s="1"/>
  <c r="BS125" i="7"/>
  <c r="BI151" i="7"/>
  <c r="BJ144" i="7"/>
  <c r="BS85" i="7"/>
  <c r="BS43" i="7"/>
  <c r="BS46" i="7" s="1"/>
  <c r="BS11" i="8" s="1"/>
  <c r="BY21" i="8" s="1"/>
  <c r="BS27" i="7"/>
  <c r="BS26" i="7" s="1"/>
  <c r="BY46" i="8"/>
  <c r="BS87" i="7"/>
  <c r="BS73" i="7"/>
  <c r="BM131" i="7"/>
  <c r="AX150" i="7"/>
  <c r="AY143" i="7"/>
  <c r="AC354" i="7"/>
  <c r="AC353" i="7"/>
  <c r="AC355" i="7" s="1"/>
  <c r="AC238" i="7"/>
  <c r="BS89" i="7"/>
  <c r="BS91" i="7"/>
  <c r="AG41" i="8"/>
  <c r="AC279" i="7"/>
  <c r="AC334" i="7"/>
  <c r="AX144" i="7"/>
  <c r="AW151" i="7"/>
  <c r="BF70" i="7"/>
  <c r="Y51" i="36" s="1"/>
  <c r="BG67" i="7"/>
  <c r="BG69" i="7" s="1"/>
  <c r="BC148" i="7"/>
  <c r="BD141" i="7"/>
  <c r="W12" i="36" s="1"/>
  <c r="BK143" i="7"/>
  <c r="BJ150" i="7"/>
  <c r="BK141" i="7"/>
  <c r="AB12" i="36" s="1"/>
  <c r="AB23" i="36" s="1"/>
  <c r="BJ148" i="7"/>
  <c r="BW141" i="7"/>
  <c r="BD149" i="7"/>
  <c r="BE142" i="7"/>
  <c r="BK156" i="7" s="1"/>
  <c r="AW149" i="7"/>
  <c r="AX142" i="7"/>
  <c r="AO185" i="7"/>
  <c r="BD151" i="7"/>
  <c r="BE144" i="7"/>
  <c r="AE310" i="7"/>
  <c r="AE325" i="7"/>
  <c r="AE307" i="7"/>
  <c r="AE327" i="7"/>
  <c r="AE329" i="7"/>
  <c r="AE328" i="7"/>
  <c r="AE330" i="7"/>
  <c r="AE326" i="7"/>
  <c r="AK309" i="7"/>
  <c r="AK312" i="7" s="1"/>
  <c r="BD150" i="7"/>
  <c r="BE143" i="7"/>
  <c r="BM13" i="7"/>
  <c r="CC30" i="8"/>
  <c r="CB30" i="8"/>
  <c r="ED12" i="8"/>
  <c r="BA13" i="7"/>
  <c r="AU13" i="7"/>
  <c r="BG17" i="7"/>
  <c r="AI96" i="7"/>
  <c r="AI67" i="7"/>
  <c r="AI69" i="7" s="1"/>
  <c r="BV143" i="7"/>
  <c r="AH76" i="7"/>
  <c r="AU187" i="7"/>
  <c r="AU185" i="7" s="1"/>
  <c r="AH17" i="7"/>
  <c r="AO35" i="8"/>
  <c r="AN68" i="7"/>
  <c r="BV144" i="7"/>
  <c r="AQ151" i="7"/>
  <c r="AU96" i="7"/>
  <c r="AU67" i="7"/>
  <c r="AU69" i="7" s="1"/>
  <c r="AI131" i="7"/>
  <c r="AO131" i="7"/>
  <c r="BS55" i="7"/>
  <c r="AU182" i="7"/>
  <c r="AU190" i="7" s="1"/>
  <c r="AU10" i="7"/>
  <c r="AO96" i="7"/>
  <c r="AO67" i="7"/>
  <c r="AO69" i="7" s="1"/>
  <c r="AI109" i="7"/>
  <c r="AU183" i="7"/>
  <c r="AU191" i="7" s="1"/>
  <c r="BQ142" i="7"/>
  <c r="BP149" i="7"/>
  <c r="AI13" i="7"/>
  <c r="AO13" i="7"/>
  <c r="AQ150" i="7"/>
  <c r="BP150" i="7"/>
  <c r="BQ143" i="7"/>
  <c r="CP30" i="8"/>
  <c r="BL18" i="7"/>
  <c r="AZ56" i="7"/>
  <c r="AZ34" i="8" s="1"/>
  <c r="BR36" i="8"/>
  <c r="BR41" i="8"/>
  <c r="AX164" i="3"/>
  <c r="AX56" i="1"/>
  <c r="AX61" i="3"/>
  <c r="AX59" i="3"/>
  <c r="AX97" i="1"/>
  <c r="BP172" i="3"/>
  <c r="BP120" i="1"/>
  <c r="BG115" i="1"/>
  <c r="BG179" i="3" s="1"/>
  <c r="BF139" i="3"/>
  <c r="AO92" i="3"/>
  <c r="Q80" i="3"/>
  <c r="Q61" i="4"/>
  <c r="K61" i="4"/>
  <c r="K80" i="3"/>
  <c r="AL61" i="3"/>
  <c r="AL97" i="1"/>
  <c r="BI77" i="3"/>
  <c r="BI79" i="3"/>
  <c r="BI60" i="4"/>
  <c r="AL59" i="3"/>
  <c r="AL69" i="1"/>
  <c r="AL56" i="1"/>
  <c r="BL61" i="4"/>
  <c r="BL80" i="3"/>
  <c r="BP164" i="3"/>
  <c r="O80" i="3"/>
  <c r="O61" i="4"/>
  <c r="BS22" i="1"/>
  <c r="CC66" i="3"/>
  <c r="CC67" i="3"/>
  <c r="AU125" i="3"/>
  <c r="Y120" i="3"/>
  <c r="W127" i="3"/>
  <c r="AC124" i="3" s="1"/>
  <c r="AS97" i="1"/>
  <c r="BF74" i="3"/>
  <c r="BG109" i="7"/>
  <c r="BA55" i="7"/>
  <c r="BA57" i="7" s="1"/>
  <c r="BM43" i="7"/>
  <c r="AE82" i="7"/>
  <c r="BK80" i="3"/>
  <c r="BK61" i="4"/>
  <c r="AX77" i="3"/>
  <c r="BJ79" i="3"/>
  <c r="BJ60" i="4"/>
  <c r="BJ62" i="4" s="1"/>
  <c r="AL79" i="3"/>
  <c r="AL60" i="4"/>
  <c r="BP77" i="3"/>
  <c r="CJ73" i="4"/>
  <c r="CK73" i="4" s="1"/>
  <c r="CK74" i="4" s="1"/>
  <c r="BY80" i="3"/>
  <c r="BY61" i="4"/>
  <c r="BG171" i="3"/>
  <c r="BG173" i="3"/>
  <c r="BS13" i="4"/>
  <c r="BR107" i="3"/>
  <c r="BS107" i="3" s="1"/>
  <c r="BR21" i="1"/>
  <c r="BS21" i="1" s="1"/>
  <c r="BR121" i="3"/>
  <c r="BR120" i="3"/>
  <c r="BG26" i="4"/>
  <c r="BG78" i="3" s="1"/>
  <c r="AU26" i="4"/>
  <c r="AX79" i="3"/>
  <c r="AX60" i="4"/>
  <c r="AU22" i="1"/>
  <c r="AT120" i="3"/>
  <c r="AT121" i="3"/>
  <c r="AU119" i="3"/>
  <c r="BQ95" i="1"/>
  <c r="BQ96" i="1" s="1"/>
  <c r="BQ23" i="1"/>
  <c r="BQ24" i="1"/>
  <c r="BW69" i="1" s="1"/>
  <c r="AL77" i="3"/>
  <c r="AQ80" i="3"/>
  <c r="AQ61" i="4"/>
  <c r="BV80" i="3"/>
  <c r="BV61" i="4"/>
  <c r="BP79" i="3"/>
  <c r="BP60" i="4"/>
  <c r="BF78" i="3"/>
  <c r="CC23" i="1"/>
  <c r="CC95" i="1"/>
  <c r="CC96" i="1" s="1"/>
  <c r="CC24" i="1"/>
  <c r="AF60" i="4"/>
  <c r="AF79" i="3"/>
  <c r="CE29" i="3"/>
  <c r="CE49" i="3" s="1"/>
  <c r="CE185" i="3" s="1"/>
  <c r="BP32" i="9"/>
  <c r="CT26" i="1"/>
  <c r="CB71" i="9" s="1"/>
  <c r="BL38" i="9"/>
  <c r="BO34" i="9"/>
  <c r="BO66" i="9" s="1"/>
  <c r="CA12" i="9"/>
  <c r="CB12" i="9" s="1"/>
  <c r="CC12" i="9" s="1"/>
  <c r="CD12" i="9" s="1"/>
  <c r="CE12" i="9" s="1"/>
  <c r="BY44" i="9"/>
  <c r="AU92" i="3"/>
  <c r="AI268" i="7"/>
  <c r="AI347" i="7"/>
  <c r="AI246" i="7"/>
  <c r="AO95" i="7"/>
  <c r="AO49" i="8"/>
  <c r="CI96" i="7"/>
  <c r="AZ18" i="7"/>
  <c r="M6" i="7"/>
  <c r="K235" i="7"/>
  <c r="BP144" i="7"/>
  <c r="BO151" i="7"/>
  <c r="AI75" i="7"/>
  <c r="AI85" i="7" s="1"/>
  <c r="AI54" i="7"/>
  <c r="AO47" i="8"/>
  <c r="AO124" i="7"/>
  <c r="AO56" i="7"/>
  <c r="AO34" i="8" s="1"/>
  <c r="AI9" i="7"/>
  <c r="AI123" i="7"/>
  <c r="AI124" i="7"/>
  <c r="AO54" i="7"/>
  <c r="BQ158" i="7"/>
  <c r="BV120" i="1"/>
  <c r="BV58" i="1"/>
  <c r="BV172" i="3"/>
  <c r="BV30" i="1"/>
  <c r="BV56" i="1"/>
  <c r="BV59" i="3"/>
  <c r="BV164" i="3"/>
  <c r="BV97" i="1"/>
  <c r="BK121" i="1"/>
  <c r="AN54" i="1"/>
  <c r="K172" i="3"/>
  <c r="K30" i="1"/>
  <c r="K58" i="1"/>
  <c r="AH136" i="7"/>
  <c r="AH53" i="1"/>
  <c r="AH138" i="3"/>
  <c r="AH383" i="7"/>
  <c r="AH28" i="1"/>
  <c r="AH165" i="3"/>
  <c r="AH60" i="3"/>
  <c r="K164" i="3"/>
  <c r="K56" i="1"/>
  <c r="K97" i="1"/>
  <c r="K59" i="3"/>
  <c r="K140" i="3"/>
  <c r="K141" i="3" s="1"/>
  <c r="K142" i="3" s="1"/>
  <c r="K136" i="3" s="1"/>
  <c r="T164" i="3"/>
  <c r="T59" i="3"/>
  <c r="T56" i="1"/>
  <c r="T97" i="1"/>
  <c r="T30" i="1"/>
  <c r="T172" i="3"/>
  <c r="T58" i="1"/>
  <c r="BR157" i="7"/>
  <c r="AZ136" i="7"/>
  <c r="AZ165" i="3"/>
  <c r="AZ60" i="3"/>
  <c r="AZ28" i="1"/>
  <c r="AZ138" i="3"/>
  <c r="AZ53" i="1"/>
  <c r="BY136" i="7"/>
  <c r="BY138" i="3"/>
  <c r="BY53" i="1"/>
  <c r="BY165" i="3"/>
  <c r="BY28" i="1"/>
  <c r="BY60" i="3"/>
  <c r="Q97" i="1"/>
  <c r="Q56" i="1"/>
  <c r="Q164" i="3"/>
  <c r="Q59" i="3"/>
  <c r="Q69" i="1"/>
  <c r="BR155" i="7"/>
  <c r="AG11" i="36" s="1"/>
  <c r="Q140" i="3"/>
  <c r="Q141" i="3" s="1"/>
  <c r="Q142" i="3" s="1"/>
  <c r="Q136" i="3" s="1"/>
  <c r="BR158" i="7"/>
  <c r="BA158" i="3"/>
  <c r="Q30" i="1"/>
  <c r="Q58" i="1"/>
  <c r="Q172" i="3"/>
  <c r="T140" i="3"/>
  <c r="T141" i="3" s="1"/>
  <c r="T142" i="3" s="1"/>
  <c r="T136" i="3" s="1"/>
  <c r="BG190" i="7"/>
  <c r="AN76" i="7"/>
  <c r="BM85" i="7"/>
  <c r="BM88" i="7"/>
  <c r="AN10" i="7"/>
  <c r="BF18" i="7"/>
  <c r="AT18" i="7"/>
  <c r="BL41" i="8"/>
  <c r="BL36" i="8"/>
  <c r="AH88" i="7"/>
  <c r="AH90" i="7"/>
  <c r="AH73" i="7"/>
  <c r="AH87" i="7"/>
  <c r="AH86" i="7"/>
  <c r="AH81" i="7"/>
  <c r="AH89" i="7"/>
  <c r="AN46" i="8"/>
  <c r="AH91" i="7"/>
  <c r="CI187" i="3"/>
  <c r="CH154" i="3"/>
  <c r="BF23" i="1"/>
  <c r="BG21" i="1"/>
  <c r="BF95" i="1"/>
  <c r="BF96" i="1" s="1"/>
  <c r="AC60" i="4"/>
  <c r="AC79" i="3"/>
  <c r="AM80" i="3"/>
  <c r="AM61" i="4"/>
  <c r="AO100" i="3"/>
  <c r="AO101" i="3" s="1"/>
  <c r="BQ77" i="3"/>
  <c r="BS26" i="4"/>
  <c r="AY79" i="3"/>
  <c r="AY60" i="4"/>
  <c r="BR79" i="3"/>
  <c r="BR60" i="4"/>
  <c r="BR62" i="4" s="1"/>
  <c r="AZ114" i="3"/>
  <c r="AZ115" i="3"/>
  <c r="BA107" i="3"/>
  <c r="AZ78" i="3"/>
  <c r="AZ59" i="4"/>
  <c r="AZ23" i="1"/>
  <c r="AZ24" i="1"/>
  <c r="BA21" i="1"/>
  <c r="AZ95" i="1"/>
  <c r="AZ96" i="1" s="1"/>
  <c r="W68" i="4"/>
  <c r="S68" i="4"/>
  <c r="BQ78" i="3"/>
  <c r="BQ59" i="4"/>
  <c r="AT107" i="3"/>
  <c r="AU13" i="4"/>
  <c r="AT21" i="1"/>
  <c r="G52" i="4"/>
  <c r="G54" i="4" s="1"/>
  <c r="E55" i="4"/>
  <c r="CH147" i="3"/>
  <c r="AW141" i="7"/>
  <c r="CB43" i="8"/>
  <c r="CB23" i="8"/>
  <c r="ED24" i="8" s="1"/>
  <c r="ED13" i="8"/>
  <c r="AU196" i="7"/>
  <c r="BX41" i="8"/>
  <c r="BX36" i="8"/>
  <c r="BR18" i="7"/>
  <c r="BG125" i="3"/>
  <c r="AT144" i="7"/>
  <c r="AZ159" i="7"/>
  <c r="AT152" i="7"/>
  <c r="AT142" i="7"/>
  <c r="AT141" i="7"/>
  <c r="U12" i="36" s="1"/>
  <c r="AT143" i="7"/>
  <c r="BW56" i="1"/>
  <c r="BW164" i="3"/>
  <c r="BW59" i="3"/>
  <c r="BW97" i="1"/>
  <c r="BW58" i="1"/>
  <c r="BW172" i="3"/>
  <c r="BW30" i="1"/>
  <c r="AC20" i="1"/>
  <c r="AC50" i="1"/>
  <c r="AC80" i="1"/>
  <c r="AC49" i="1"/>
  <c r="AE140" i="3"/>
  <c r="AE141" i="3" s="1"/>
  <c r="AE142" i="3" s="1"/>
  <c r="AE136" i="3" s="1"/>
  <c r="BJ56" i="1"/>
  <c r="BJ69" i="1"/>
  <c r="BJ164" i="3"/>
  <c r="BJ61" i="3"/>
  <c r="BJ59" i="3"/>
  <c r="BJ97" i="1"/>
  <c r="BK38" i="9"/>
  <c r="BE77" i="3"/>
  <c r="CB31" i="8"/>
  <c r="CA43" i="8"/>
  <c r="CA23" i="8"/>
  <c r="EC24" i="8" s="1"/>
  <c r="CA31" i="8"/>
  <c r="EC13" i="8"/>
  <c r="BC59" i="3"/>
  <c r="BC61" i="3"/>
  <c r="BC164" i="3"/>
  <c r="BC69" i="1"/>
  <c r="BC56" i="1"/>
  <c r="BC97" i="1"/>
  <c r="BC140" i="3"/>
  <c r="BC141" i="3" s="1"/>
  <c r="BC142" i="3" s="1"/>
  <c r="BC136" i="3" s="1"/>
  <c r="W79" i="3"/>
  <c r="W60" i="4"/>
  <c r="W62" i="4" s="1"/>
  <c r="AO23" i="1"/>
  <c r="AO95" i="1"/>
  <c r="AO96" i="1" s="1"/>
  <c r="AW140" i="3"/>
  <c r="AW141" i="3" s="1"/>
  <c r="AW142" i="3" s="1"/>
  <c r="AW136" i="3" s="1"/>
  <c r="Y59" i="3"/>
  <c r="Y69" i="1"/>
  <c r="Y164" i="3"/>
  <c r="Y56" i="1"/>
  <c r="Y172" i="3"/>
  <c r="Y58" i="1"/>
  <c r="Y30" i="1"/>
  <c r="V140" i="3"/>
  <c r="V141" i="3" s="1"/>
  <c r="V142" i="3" s="1"/>
  <c r="V136" i="3" s="1"/>
  <c r="AS172" i="3"/>
  <c r="AS30" i="1"/>
  <c r="AS58" i="1"/>
  <c r="AS69" i="1"/>
  <c r="AS56" i="1"/>
  <c r="AS59" i="3"/>
  <c r="AS164" i="3"/>
  <c r="BU58" i="1"/>
  <c r="BU172" i="3"/>
  <c r="BU30" i="1"/>
  <c r="BG100" i="3"/>
  <c r="BG101" i="3" s="1"/>
  <c r="AT59" i="4"/>
  <c r="AT78" i="3"/>
  <c r="AT50" i="4"/>
  <c r="AK59" i="3"/>
  <c r="AK69" i="1"/>
  <c r="AK56" i="1"/>
  <c r="AK61" i="3"/>
  <c r="AK164" i="3"/>
  <c r="AK97" i="1"/>
  <c r="BE140" i="3"/>
  <c r="BE141" i="3" s="1"/>
  <c r="BE142" i="3" s="1"/>
  <c r="BE136" i="3" s="1"/>
  <c r="AQ28" i="1"/>
  <c r="AQ24" i="1"/>
  <c r="AW69" i="1" s="1"/>
  <c r="AQ60" i="3"/>
  <c r="AQ165" i="3"/>
  <c r="AQ53" i="1"/>
  <c r="AQ136" i="7"/>
  <c r="AQ138" i="3"/>
  <c r="AQ54" i="1"/>
  <c r="AQ68" i="1"/>
  <c r="AT158" i="3"/>
  <c r="AI59" i="4"/>
  <c r="AI78" i="3"/>
  <c r="AB53" i="1"/>
  <c r="AB68" i="1"/>
  <c r="AB60" i="3"/>
  <c r="AB54" i="1"/>
  <c r="AH54" i="1"/>
  <c r="AB180" i="3"/>
  <c r="AB181" i="3" s="1"/>
  <c r="AB182" i="3" s="1"/>
  <c r="AB24" i="1"/>
  <c r="AH68" i="1"/>
  <c r="AB138" i="3"/>
  <c r="AB383" i="7"/>
  <c r="AB165" i="3"/>
  <c r="AB28" i="1"/>
  <c r="AQ141" i="7"/>
  <c r="AE61" i="3"/>
  <c r="AE164" i="3"/>
  <c r="AE59" i="3"/>
  <c r="AE56" i="1"/>
  <c r="AE97" i="1"/>
  <c r="AE69" i="1"/>
  <c r="BD32" i="1"/>
  <c r="BD64" i="4" s="1"/>
  <c r="BD117" i="1"/>
  <c r="AY140" i="3"/>
  <c r="AY141" i="3" s="1"/>
  <c r="AY142" i="3" s="1"/>
  <c r="AY136" i="3" s="1"/>
  <c r="AY172" i="3"/>
  <c r="AY58" i="1"/>
  <c r="AY30" i="1"/>
  <c r="CI41" i="1"/>
  <c r="AH79" i="3"/>
  <c r="AH60" i="4"/>
  <c r="BW142" i="7"/>
  <c r="CV22" i="8"/>
  <c r="CS30" i="8"/>
  <c r="BR20" i="1"/>
  <c r="BR124" i="1" s="1"/>
  <c r="BR49" i="1"/>
  <c r="BX50" i="1"/>
  <c r="BR80" i="1"/>
  <c r="BR50" i="1"/>
  <c r="W77" i="3"/>
  <c r="Y140" i="3"/>
  <c r="Y141" i="3" s="1"/>
  <c r="Y142" i="3" s="1"/>
  <c r="Y136" i="3" s="1"/>
  <c r="CC115" i="1"/>
  <c r="CC179" i="3" s="1"/>
  <c r="CC180" i="3" s="1"/>
  <c r="CC181" i="3" s="1"/>
  <c r="CC182" i="3" s="1"/>
  <c r="W101" i="3"/>
  <c r="AU146" i="7"/>
  <c r="AU71" i="3"/>
  <c r="AU74" i="3" s="1"/>
  <c r="AU84" i="3"/>
  <c r="AU137" i="3"/>
  <c r="AU83" i="3"/>
  <c r="AU167" i="3"/>
  <c r="AU79" i="1"/>
  <c r="AU51" i="1"/>
  <c r="BA62" i="1"/>
  <c r="BA40" i="8" s="1"/>
  <c r="AU81" i="7"/>
  <c r="AU52" i="1"/>
  <c r="AU46" i="1"/>
  <c r="AU62" i="1"/>
  <c r="AU40" i="8" s="1"/>
  <c r="AU15" i="1"/>
  <c r="AU85" i="3"/>
  <c r="AU101" i="3"/>
  <c r="AU94" i="1"/>
  <c r="AU86" i="1"/>
  <c r="AU57" i="1"/>
  <c r="AO50" i="4"/>
  <c r="AO59" i="4"/>
  <c r="AO78" i="3"/>
  <c r="AK30" i="1"/>
  <c r="AK172" i="3"/>
  <c r="AK58" i="1"/>
  <c r="BE172" i="3"/>
  <c r="BE30" i="1"/>
  <c r="BE58" i="1"/>
  <c r="BF50" i="4"/>
  <c r="CM50" i="8"/>
  <c r="CG12" i="7"/>
  <c r="AT20" i="1"/>
  <c r="Q96" i="36" s="1"/>
  <c r="AT135" i="7"/>
  <c r="AT80" i="1"/>
  <c r="AT50" i="1"/>
  <c r="AT49" i="1"/>
  <c r="AZ50" i="1"/>
  <c r="BW120" i="1"/>
  <c r="CV21" i="8"/>
  <c r="CS29" i="8"/>
  <c r="CA79" i="3"/>
  <c r="CA60" i="4"/>
  <c r="AS60" i="4"/>
  <c r="AS62" i="4" s="1"/>
  <c r="AS79" i="3"/>
  <c r="AG164" i="3"/>
  <c r="AG59" i="3"/>
  <c r="AG56" i="1"/>
  <c r="AG61" i="3"/>
  <c r="AM69" i="1"/>
  <c r="AG69" i="1"/>
  <c r="AG97" i="1"/>
  <c r="AG172" i="3"/>
  <c r="AG30" i="1"/>
  <c r="AG58" i="1"/>
  <c r="AE41" i="8"/>
  <c r="CC31" i="3"/>
  <c r="AC158" i="3"/>
  <c r="AY164" i="3"/>
  <c r="AY69" i="1"/>
  <c r="AY97" i="1"/>
  <c r="AY61" i="3"/>
  <c r="AY59" i="3"/>
  <c r="AY56" i="1"/>
  <c r="CP29" i="8"/>
  <c r="BF60" i="4"/>
  <c r="BF79" i="3"/>
  <c r="AI50" i="1"/>
  <c r="AE117" i="3"/>
  <c r="AI117" i="3"/>
  <c r="BR74" i="3"/>
  <c r="BS72" i="3"/>
  <c r="BS63" i="1"/>
  <c r="BS73" i="3"/>
  <c r="BY63" i="1"/>
  <c r="BS46" i="1"/>
  <c r="BS168" i="3"/>
  <c r="BS15" i="1"/>
  <c r="AF78" i="7"/>
  <c r="AZ109" i="7"/>
  <c r="AT109" i="7"/>
  <c r="BO24" i="1"/>
  <c r="BU69" i="1" s="1"/>
  <c r="BO138" i="3"/>
  <c r="BO28" i="1"/>
  <c r="BO53" i="1"/>
  <c r="BO136" i="7"/>
  <c r="BO60" i="3"/>
  <c r="BO165" i="3"/>
  <c r="BO54" i="1"/>
  <c r="BO68" i="1"/>
  <c r="AW68" i="1"/>
  <c r="BF20" i="1"/>
  <c r="BF135" i="7"/>
  <c r="BF50" i="1"/>
  <c r="BF80" i="1"/>
  <c r="BL50" i="1"/>
  <c r="BF49" i="1"/>
  <c r="BW79" i="3"/>
  <c r="BW60" i="4"/>
  <c r="BW77" i="3"/>
  <c r="CC32" i="1"/>
  <c r="CC117" i="1"/>
  <c r="BU97" i="1"/>
  <c r="BU59" i="3"/>
  <c r="CA69" i="1"/>
  <c r="BU56" i="1"/>
  <c r="BU164" i="3"/>
  <c r="BU120" i="1"/>
  <c r="BU68" i="1"/>
  <c r="CP21" i="8"/>
  <c r="EN22" i="8" s="1"/>
  <c r="Z60" i="3"/>
  <c r="Z28" i="1"/>
  <c r="Z138" i="3"/>
  <c r="Z53" i="1"/>
  <c r="Z165" i="3"/>
  <c r="Z54" i="1"/>
  <c r="Z180" i="3"/>
  <c r="Z181" i="3" s="1"/>
  <c r="Z182" i="3" s="1"/>
  <c r="Z68" i="1"/>
  <c r="Z383" i="7"/>
  <c r="AF68" i="1"/>
  <c r="AF54" i="1"/>
  <c r="Z24" i="1"/>
  <c r="AU106" i="7"/>
  <c r="AU108" i="7"/>
  <c r="BA106" i="7"/>
  <c r="W361" i="7"/>
  <c r="AC361" i="7"/>
  <c r="AK140" i="3"/>
  <c r="AK141" i="3" s="1"/>
  <c r="AK142" i="3" s="1"/>
  <c r="AK136" i="3" s="1"/>
  <c r="AU173" i="3"/>
  <c r="AX155" i="7"/>
  <c r="S11" i="36" s="1"/>
  <c r="AR180" i="3"/>
  <c r="AR181" i="3" s="1"/>
  <c r="AR182" i="3" s="1"/>
  <c r="AR54" i="1"/>
  <c r="AR53" i="1"/>
  <c r="AR60" i="3"/>
  <c r="AR68" i="1"/>
  <c r="AR136" i="7"/>
  <c r="AR28" i="1"/>
  <c r="AR138" i="3"/>
  <c r="AR24" i="1"/>
  <c r="AR165" i="3"/>
  <c r="AX68" i="1"/>
  <c r="AX54" i="1"/>
  <c r="CA77" i="3"/>
  <c r="AS77" i="3"/>
  <c r="AG140" i="3"/>
  <c r="AG141" i="3" s="1"/>
  <c r="AG142" i="3" s="1"/>
  <c r="AG136" i="3" s="1"/>
  <c r="AE58" i="1"/>
  <c r="AE30" i="1"/>
  <c r="AE172" i="3"/>
  <c r="BJ58" i="1"/>
  <c r="BJ30" i="1"/>
  <c r="BJ172" i="3"/>
  <c r="BR77" i="3"/>
  <c r="BI28" i="1"/>
  <c r="BI136" i="7"/>
  <c r="BI53" i="1"/>
  <c r="BI60" i="3"/>
  <c r="BI138" i="3"/>
  <c r="BI24" i="1"/>
  <c r="BI68" i="1"/>
  <c r="BI165" i="3"/>
  <c r="BI54" i="1"/>
  <c r="U99" i="3"/>
  <c r="T114" i="3"/>
  <c r="T110" i="3"/>
  <c r="CV20" i="8"/>
  <c r="CS28" i="8"/>
  <c r="CP20" i="8"/>
  <c r="EN21" i="8" s="1"/>
  <c r="BC30" i="1"/>
  <c r="BC172" i="3"/>
  <c r="BC58" i="1"/>
  <c r="M28" i="1"/>
  <c r="M54" i="1"/>
  <c r="M68" i="1"/>
  <c r="M60" i="3"/>
  <c r="M53" i="1"/>
  <c r="O54" i="1"/>
  <c r="M138" i="3"/>
  <c r="M165" i="3"/>
  <c r="M383" i="7"/>
  <c r="O68" i="1"/>
  <c r="M24" i="1"/>
  <c r="AW172" i="3"/>
  <c r="AW30" i="1"/>
  <c r="AW58" i="1"/>
  <c r="AW56" i="1"/>
  <c r="AW61" i="3"/>
  <c r="AW164" i="3"/>
  <c r="AW59" i="3"/>
  <c r="AW97" i="1"/>
  <c r="AW54" i="1"/>
  <c r="I32" i="1"/>
  <c r="I117" i="1"/>
  <c r="BG168" i="3"/>
  <c r="BG73" i="3"/>
  <c r="BG15" i="1"/>
  <c r="BG46" i="1"/>
  <c r="BG72" i="3"/>
  <c r="BG63" i="1"/>
  <c r="BM63" i="1"/>
  <c r="V58" i="1"/>
  <c r="V172" i="3"/>
  <c r="V30" i="1"/>
  <c r="V164" i="3"/>
  <c r="V59" i="3"/>
  <c r="V56" i="1"/>
  <c r="AS140" i="3"/>
  <c r="AS141" i="3" s="1"/>
  <c r="AS142" i="3" s="1"/>
  <c r="AS136" i="3" s="1"/>
  <c r="V97" i="1"/>
  <c r="BS9" i="9"/>
  <c r="BS41" i="9" s="1"/>
  <c r="BE59" i="3"/>
  <c r="BE56" i="1"/>
  <c r="BE164" i="3"/>
  <c r="BE97" i="1"/>
  <c r="BE61" i="3"/>
  <c r="BE69" i="1"/>
  <c r="BK69" i="1"/>
  <c r="AH180" i="3" l="1"/>
  <c r="AH181" i="3" s="1"/>
  <c r="AH182" i="3" s="1"/>
  <c r="AN140" i="3"/>
  <c r="AN141" i="3" s="1"/>
  <c r="AN142" i="3" s="1"/>
  <c r="AN136" i="3" s="1"/>
  <c r="AN60" i="4"/>
  <c r="AN80" i="3" s="1"/>
  <c r="CB64" i="4"/>
  <c r="AN79" i="3"/>
  <c r="BX60" i="4"/>
  <c r="BX62" i="4" s="1"/>
  <c r="BX77" i="3"/>
  <c r="BG196" i="7"/>
  <c r="AZ140" i="3"/>
  <c r="AZ141" i="3" s="1"/>
  <c r="AZ142" i="3" s="1"/>
  <c r="AZ136" i="3" s="1"/>
  <c r="J88" i="36"/>
  <c r="AI102" i="36"/>
  <c r="N88" i="36"/>
  <c r="CK52" i="9"/>
  <c r="AE102" i="36"/>
  <c r="AB88" i="36"/>
  <c r="AH140" i="3"/>
  <c r="AH141" i="3" s="1"/>
  <c r="AH142" i="3" s="1"/>
  <c r="AH136" i="3" s="1"/>
  <c r="BG191" i="7"/>
  <c r="BG185" i="7"/>
  <c r="AN77" i="3"/>
  <c r="AF308" i="7"/>
  <c r="BG41" i="8"/>
  <c r="BG42" i="8" s="1"/>
  <c r="AC324" i="7"/>
  <c r="BG195" i="7"/>
  <c r="U69" i="36"/>
  <c r="U70" i="36" s="1"/>
  <c r="BP56" i="1"/>
  <c r="BP97" i="1"/>
  <c r="AN88" i="36"/>
  <c r="BP59" i="3"/>
  <c r="BP58" i="1"/>
  <c r="AZ180" i="3"/>
  <c r="AZ181" i="3" s="1"/>
  <c r="AZ182" i="3" s="1"/>
  <c r="AN180" i="3"/>
  <c r="AN181" i="3" s="1"/>
  <c r="AN182" i="3" s="1"/>
  <c r="BF55" i="7"/>
  <c r="BF57" i="7" s="1"/>
  <c r="AH201" i="3"/>
  <c r="AB201" i="3"/>
  <c r="AB202" i="3"/>
  <c r="AB56" i="3" s="1"/>
  <c r="AQ180" i="3"/>
  <c r="AQ181" i="3" s="1"/>
  <c r="AQ182" i="3" s="1"/>
  <c r="CN41" i="3"/>
  <c r="CM190" i="3"/>
  <c r="CN32" i="3"/>
  <c r="CM191" i="3"/>
  <c r="AC326" i="7"/>
  <c r="AI326" i="7"/>
  <c r="AC337" i="7"/>
  <c r="BP69" i="1"/>
  <c r="BV69" i="1"/>
  <c r="S76" i="36"/>
  <c r="W88" i="36" s="1"/>
  <c r="CE86" i="4"/>
  <c r="CI129" i="7"/>
  <c r="CI131" i="7" s="1"/>
  <c r="CI130" i="7"/>
  <c r="AU77" i="7"/>
  <c r="AU79" i="7" s="1"/>
  <c r="AU82" i="7" s="1"/>
  <c r="AA315" i="7"/>
  <c r="AA328" i="7"/>
  <c r="AA330" i="7"/>
  <c r="AU41" i="8"/>
  <c r="AG307" i="7"/>
  <c r="AG42" i="8"/>
  <c r="BX42" i="8"/>
  <c r="BL42" i="8"/>
  <c r="BM42" i="8"/>
  <c r="BR42" i="8"/>
  <c r="AK42" i="8"/>
  <c r="AE42" i="8"/>
  <c r="AI88" i="36"/>
  <c r="AR80" i="3"/>
  <c r="CB60" i="4"/>
  <c r="CB62" i="4" s="1"/>
  <c r="CB79" i="3"/>
  <c r="AU33" i="36"/>
  <c r="AU50" i="4"/>
  <c r="CA125" i="1"/>
  <c r="CA126" i="1" s="1"/>
  <c r="CB125" i="1"/>
  <c r="BU125" i="1"/>
  <c r="BQ125" i="1"/>
  <c r="AD76" i="36"/>
  <c r="AD88" i="36" s="1"/>
  <c r="BJ125" i="1"/>
  <c r="AH76" i="36"/>
  <c r="AL88" i="36" s="1"/>
  <c r="U32" i="1"/>
  <c r="U163" i="3" s="1"/>
  <c r="BL156" i="7"/>
  <c r="K88" i="36"/>
  <c r="O88" i="36"/>
  <c r="I76" i="36"/>
  <c r="BP115" i="1"/>
  <c r="M76" i="36"/>
  <c r="R76" i="36"/>
  <c r="V88" i="36" s="1"/>
  <c r="BI120" i="1"/>
  <c r="BO120" i="1"/>
  <c r="BU121" i="1" s="1"/>
  <c r="Q82" i="36"/>
  <c r="Q76" i="36" s="1"/>
  <c r="Q88" i="36" s="1"/>
  <c r="Y82" i="36"/>
  <c r="Y76" i="36" s="1"/>
  <c r="AG82" i="36"/>
  <c r="AG76" i="36" s="1"/>
  <c r="BY24" i="1"/>
  <c r="BY164" i="3" s="1"/>
  <c r="AI180" i="3"/>
  <c r="AI181" i="3" s="1"/>
  <c r="AI182" i="3" s="1"/>
  <c r="AI28" i="1"/>
  <c r="CB77" i="3"/>
  <c r="CK45" i="9"/>
  <c r="CM13" i="9"/>
  <c r="CN13" i="9" s="1"/>
  <c r="CO13" i="9" s="1"/>
  <c r="CP13" i="9" s="1"/>
  <c r="CQ13" i="9" s="1"/>
  <c r="CQ45" i="9" s="1"/>
  <c r="CK56" i="9"/>
  <c r="CM24" i="9"/>
  <c r="CN24" i="9" s="1"/>
  <c r="CO24" i="9" s="1"/>
  <c r="CP24" i="9" s="1"/>
  <c r="CQ24" i="9" s="1"/>
  <c r="CQ56" i="9" s="1"/>
  <c r="CK57" i="9"/>
  <c r="CM25" i="9"/>
  <c r="CN25" i="9" s="1"/>
  <c r="CO25" i="9" s="1"/>
  <c r="CP25" i="9" s="1"/>
  <c r="CQ25" i="9" s="1"/>
  <c r="CQ57" i="9" s="1"/>
  <c r="CK55" i="9"/>
  <c r="CM23" i="9"/>
  <c r="CN23" i="9" s="1"/>
  <c r="CO23" i="9" s="1"/>
  <c r="CP23" i="9" s="1"/>
  <c r="CQ23" i="9" s="1"/>
  <c r="CQ55" i="9" s="1"/>
  <c r="CE44" i="9"/>
  <c r="CG12" i="9"/>
  <c r="CH12" i="9" s="1"/>
  <c r="CI12" i="9" s="1"/>
  <c r="CJ12" i="9" s="1"/>
  <c r="CK12" i="9" s="1"/>
  <c r="CN35" i="9"/>
  <c r="AQ20" i="36"/>
  <c r="BY95" i="1"/>
  <c r="BY96" i="1" s="1"/>
  <c r="AC12" i="36"/>
  <c r="AG23" i="36" s="1"/>
  <c r="Y12" i="36"/>
  <c r="Y23" i="36" s="1"/>
  <c r="BL155" i="7"/>
  <c r="AC11" i="36" s="1"/>
  <c r="AG22" i="36" s="1"/>
  <c r="CD155" i="7"/>
  <c r="AO11" i="36" s="1"/>
  <c r="AO22" i="36" s="1"/>
  <c r="BF155" i="7"/>
  <c r="Y11" i="36" s="1"/>
  <c r="BF156" i="7"/>
  <c r="BL157" i="7"/>
  <c r="CM92" i="3"/>
  <c r="BF157" i="7"/>
  <c r="BF158" i="7"/>
  <c r="W383" i="7"/>
  <c r="BK32" i="1"/>
  <c r="AD102" i="36"/>
  <c r="AO87" i="36"/>
  <c r="AS87" i="36"/>
  <c r="V102" i="36"/>
  <c r="W28" i="1"/>
  <c r="W172" i="3" s="1"/>
  <c r="CH13" i="7"/>
  <c r="BX79" i="3"/>
  <c r="AU59" i="4"/>
  <c r="AH77" i="3"/>
  <c r="AH59" i="3"/>
  <c r="BS123" i="1"/>
  <c r="Y96" i="36"/>
  <c r="CC121" i="1"/>
  <c r="BW125" i="1"/>
  <c r="CB121" i="1"/>
  <c r="BV125" i="1"/>
  <c r="BP125" i="1"/>
  <c r="AZ77" i="3"/>
  <c r="AI138" i="3"/>
  <c r="AI140" i="3" s="1"/>
  <c r="AI141" i="3" s="1"/>
  <c r="AI142" i="3" s="1"/>
  <c r="AI136" i="3" s="1"/>
  <c r="AI68" i="1"/>
  <c r="AI383" i="7"/>
  <c r="AI60" i="3"/>
  <c r="AI24" i="1"/>
  <c r="AI53" i="1"/>
  <c r="AI136" i="7"/>
  <c r="AR42" i="36"/>
  <c r="AV51" i="36"/>
  <c r="AV64" i="36" s="1"/>
  <c r="Y124" i="3"/>
  <c r="Y126" i="3" s="1"/>
  <c r="AC126" i="3" s="1"/>
  <c r="AC127" i="3" s="1"/>
  <c r="BX164" i="3"/>
  <c r="BX56" i="1"/>
  <c r="BX97" i="1"/>
  <c r="CA32" i="1"/>
  <c r="AO136" i="7"/>
  <c r="W24" i="1"/>
  <c r="W164" i="3" s="1"/>
  <c r="W138" i="3"/>
  <c r="W140" i="3" s="1"/>
  <c r="W141" i="3" s="1"/>
  <c r="W142" i="3" s="1"/>
  <c r="W136" i="3" s="1"/>
  <c r="AO60" i="3"/>
  <c r="W165" i="3"/>
  <c r="W60" i="3"/>
  <c r="S117" i="1"/>
  <c r="AO180" i="3"/>
  <c r="AO181" i="3" s="1"/>
  <c r="AO182" i="3" s="1"/>
  <c r="W53" i="1"/>
  <c r="W54" i="1"/>
  <c r="V69" i="36"/>
  <c r="V70" i="36" s="1"/>
  <c r="W69" i="36"/>
  <c r="W70" i="36" s="1"/>
  <c r="V67" i="36"/>
  <c r="V34" i="36" s="1"/>
  <c r="G117" i="1"/>
  <c r="BM77" i="3"/>
  <c r="BM60" i="4"/>
  <c r="BM79" i="3"/>
  <c r="E34" i="1"/>
  <c r="E170" i="3" s="1"/>
  <c r="AO53" i="1"/>
  <c r="AO68" i="1"/>
  <c r="BA136" i="7"/>
  <c r="AH56" i="1"/>
  <c r="CB117" i="1"/>
  <c r="BX30" i="1"/>
  <c r="BX32" i="1" s="1"/>
  <c r="BX64" i="4" s="1"/>
  <c r="BQ32" i="1"/>
  <c r="BK115" i="1"/>
  <c r="BX58" i="1"/>
  <c r="AK23" i="36"/>
  <c r="AH102" i="36"/>
  <c r="E54" i="3"/>
  <c r="AO24" i="1"/>
  <c r="AO97" i="1" s="1"/>
  <c r="AO138" i="3"/>
  <c r="AO140" i="3" s="1"/>
  <c r="AO141" i="3" s="1"/>
  <c r="AO142" i="3" s="1"/>
  <c r="AO136" i="3" s="1"/>
  <c r="AO28" i="1"/>
  <c r="AO165" i="3"/>
  <c r="AO54" i="1"/>
  <c r="AM117" i="1"/>
  <c r="BX120" i="1"/>
  <c r="Q102" i="36"/>
  <c r="U67" i="36"/>
  <c r="U34" i="36" s="1"/>
  <c r="AG69" i="36"/>
  <c r="AG70" i="36" s="1"/>
  <c r="AH69" i="36"/>
  <c r="AH70" i="36" s="1"/>
  <c r="AM34" i="36"/>
  <c r="O67" i="36"/>
  <c r="O34" i="36" s="1"/>
  <c r="L67" i="36"/>
  <c r="L34" i="36" s="1"/>
  <c r="AK69" i="36"/>
  <c r="AK70" i="36" s="1"/>
  <c r="AE69" i="36"/>
  <c r="AE70" i="36" s="1"/>
  <c r="AD69" i="36"/>
  <c r="AD70" i="36" s="1"/>
  <c r="AJ34" i="36"/>
  <c r="L69" i="36"/>
  <c r="L70" i="36" s="1"/>
  <c r="K69" i="36"/>
  <c r="K70" i="36" s="1"/>
  <c r="Y67" i="36"/>
  <c r="Y34" i="36" s="1"/>
  <c r="AB69" i="36"/>
  <c r="AB70" i="36" s="1"/>
  <c r="Y69" i="36"/>
  <c r="Y70" i="36" s="1"/>
  <c r="Z69" i="36"/>
  <c r="Z70" i="36" s="1"/>
  <c r="AF34" i="36"/>
  <c r="AL67" i="36"/>
  <c r="AL68" i="36" s="1"/>
  <c r="AC69" i="36"/>
  <c r="AC70" i="36" s="1"/>
  <c r="AI34" i="36"/>
  <c r="AH67" i="36"/>
  <c r="AH68" i="36" s="1"/>
  <c r="AJ69" i="36"/>
  <c r="AJ70" i="36" s="1"/>
  <c r="AA69" i="36"/>
  <c r="AA70" i="36" s="1"/>
  <c r="AL69" i="36"/>
  <c r="AL70" i="36" s="1"/>
  <c r="W102" i="36"/>
  <c r="M102" i="36"/>
  <c r="Z67" i="36"/>
  <c r="Z34" i="36" s="1"/>
  <c r="AG96" i="36"/>
  <c r="AK96" i="36"/>
  <c r="AN69" i="1"/>
  <c r="BA28" i="1"/>
  <c r="BA180" i="3"/>
  <c r="BA181" i="3" s="1"/>
  <c r="BA182" i="3" s="1"/>
  <c r="BA24" i="1"/>
  <c r="AH164" i="3"/>
  <c r="AH61" i="3"/>
  <c r="AL102" i="36"/>
  <c r="AC96" i="36"/>
  <c r="AC102" i="36" s="1"/>
  <c r="U96" i="36"/>
  <c r="U102" i="36" s="1"/>
  <c r="K67" i="36"/>
  <c r="K34" i="36" s="1"/>
  <c r="AK67" i="36"/>
  <c r="AK68" i="36" s="1"/>
  <c r="AG67" i="36"/>
  <c r="AG68" i="36" s="1"/>
  <c r="M66" i="36"/>
  <c r="N69" i="36" s="1"/>
  <c r="N70" i="36" s="1"/>
  <c r="M105" i="36"/>
  <c r="Y106" i="36"/>
  <c r="AC106" i="36"/>
  <c r="AK106" i="36"/>
  <c r="BA165" i="3"/>
  <c r="BA60" i="3"/>
  <c r="BA138" i="3"/>
  <c r="BA140" i="3" s="1"/>
  <c r="BA141" i="3" s="1"/>
  <c r="BA142" i="3" s="1"/>
  <c r="BA136" i="3" s="1"/>
  <c r="AD67" i="36"/>
  <c r="AD68" i="36" s="1"/>
  <c r="AC67" i="36"/>
  <c r="AC34" i="36" s="1"/>
  <c r="Y64" i="36"/>
  <c r="AC64" i="36"/>
  <c r="Q66" i="36"/>
  <c r="Q69" i="36" s="1"/>
  <c r="Q70" i="36" s="1"/>
  <c r="W23" i="36"/>
  <c r="AK22" i="36"/>
  <c r="R12" i="36"/>
  <c r="AT78" i="7"/>
  <c r="AJ12" i="36"/>
  <c r="AN12" i="36"/>
  <c r="AU36" i="8"/>
  <c r="AF12" i="36"/>
  <c r="AF23" i="36" s="1"/>
  <c r="AO23" i="36"/>
  <c r="E163" i="3"/>
  <c r="AN58" i="1"/>
  <c r="CB115" i="1"/>
  <c r="CA62" i="4"/>
  <c r="BM28" i="1"/>
  <c r="BM58" i="1" s="1"/>
  <c r="AC317" i="7"/>
  <c r="AC322" i="7"/>
  <c r="AI325" i="7"/>
  <c r="AA320" i="7"/>
  <c r="AA324" i="7"/>
  <c r="AA326" i="7"/>
  <c r="AA310" i="7"/>
  <c r="AA323" i="7"/>
  <c r="AC316" i="7"/>
  <c r="AC320" i="7"/>
  <c r="AC323" i="7"/>
  <c r="AI330" i="7"/>
  <c r="AG309" i="7"/>
  <c r="AG312" i="7" s="1"/>
  <c r="AA319" i="7"/>
  <c r="AA316" i="7"/>
  <c r="AA322" i="7"/>
  <c r="AA307" i="7"/>
  <c r="AA308" i="7" s="1"/>
  <c r="AA325" i="7"/>
  <c r="AC327" i="7"/>
  <c r="AC315" i="7"/>
  <c r="AC307" i="7"/>
  <c r="AC308" i="7" s="1"/>
  <c r="AI328" i="7"/>
  <c r="AI249" i="7"/>
  <c r="AI331" i="7"/>
  <c r="AC331" i="7"/>
  <c r="AA321" i="7"/>
  <c r="AA327" i="7"/>
  <c r="AA318" i="7"/>
  <c r="AA317" i="7"/>
  <c r="AN56" i="1"/>
  <c r="AN59" i="3"/>
  <c r="AX32" i="1"/>
  <c r="BY23" i="1"/>
  <c r="BA79" i="3"/>
  <c r="BA60" i="4"/>
  <c r="BA61" i="4" s="1"/>
  <c r="BS124" i="1"/>
  <c r="CA115" i="1"/>
  <c r="BM136" i="7"/>
  <c r="BL56" i="1"/>
  <c r="BM60" i="3"/>
  <c r="BM138" i="3"/>
  <c r="E108" i="1"/>
  <c r="E111" i="1" s="1"/>
  <c r="E59" i="1"/>
  <c r="E37" i="1"/>
  <c r="AN97" i="1"/>
  <c r="BM24" i="1"/>
  <c r="BM165" i="3"/>
  <c r="BM53" i="1"/>
  <c r="AN172" i="3"/>
  <c r="BQ115" i="1"/>
  <c r="BL97" i="1"/>
  <c r="BL164" i="3"/>
  <c r="AL32" i="1"/>
  <c r="AL64" i="4" s="1"/>
  <c r="AL117" i="1"/>
  <c r="BL120" i="1"/>
  <c r="BL30" i="1"/>
  <c r="BL58" i="1"/>
  <c r="BL172" i="3"/>
  <c r="BP62" i="4"/>
  <c r="CG13" i="7"/>
  <c r="AI309" i="7"/>
  <c r="AI312" i="7" s="1"/>
  <c r="AC328" i="7"/>
  <c r="AC318" i="7"/>
  <c r="AC330" i="7"/>
  <c r="AI307" i="7"/>
  <c r="AI308" i="7" s="1"/>
  <c r="AC310" i="7"/>
  <c r="AC329" i="7"/>
  <c r="AC325" i="7"/>
  <c r="AC321" i="7"/>
  <c r="AI310" i="7"/>
  <c r="AI327" i="7"/>
  <c r="AH310" i="7"/>
  <c r="AH329" i="7"/>
  <c r="AY62" i="4"/>
  <c r="BE62" i="4"/>
  <c r="AL62" i="4"/>
  <c r="BI62" i="4"/>
  <c r="BO62" i="4"/>
  <c r="BL62" i="4"/>
  <c r="AC62" i="4"/>
  <c r="AX62" i="4"/>
  <c r="BD62" i="4"/>
  <c r="BV62" i="4"/>
  <c r="AR62" i="4"/>
  <c r="BA77" i="3"/>
  <c r="BA196" i="7"/>
  <c r="BY56" i="7"/>
  <c r="BY34" i="8" s="1"/>
  <c r="BW156" i="7"/>
  <c r="CC156" i="7"/>
  <c r="BV158" i="7"/>
  <c r="CB158" i="7"/>
  <c r="CB157" i="7"/>
  <c r="BW155" i="7"/>
  <c r="AJ11" i="36" s="1"/>
  <c r="CC155" i="7"/>
  <c r="AN11" i="36" s="1"/>
  <c r="BF78" i="7"/>
  <c r="BF77" i="7" s="1"/>
  <c r="BF79" i="7" s="1"/>
  <c r="BF82" i="7" s="1"/>
  <c r="BG36" i="8"/>
  <c r="BG77" i="7"/>
  <c r="BG79" i="7" s="1"/>
  <c r="AA117" i="1"/>
  <c r="AA32" i="1"/>
  <c r="AH325" i="7"/>
  <c r="AH326" i="7"/>
  <c r="AH328" i="7"/>
  <c r="AH327" i="7"/>
  <c r="AH330" i="7"/>
  <c r="BY67" i="7"/>
  <c r="BJ142" i="7"/>
  <c r="BS41" i="8"/>
  <c r="BA18" i="7"/>
  <c r="BS77" i="7"/>
  <c r="BS79" i="7" s="1"/>
  <c r="BS36" i="8"/>
  <c r="W40" i="8"/>
  <c r="W42" i="8" s="1"/>
  <c r="AC249" i="7"/>
  <c r="BA185" i="7"/>
  <c r="BG193" i="7" s="1"/>
  <c r="O117" i="1"/>
  <c r="O32" i="1"/>
  <c r="BS33" i="7"/>
  <c r="BS24" i="7"/>
  <c r="BO24" i="7" s="1"/>
  <c r="BO23" i="7" s="1"/>
  <c r="DD11" i="7"/>
  <c r="AZ67" i="7"/>
  <c r="AZ69" i="7" s="1"/>
  <c r="BM41" i="7"/>
  <c r="BS18" i="7"/>
  <c r="BA191" i="7"/>
  <c r="BM33" i="7"/>
  <c r="BG33" i="7" s="1"/>
  <c r="AC367" i="7"/>
  <c r="AN18" i="7"/>
  <c r="AF117" i="1"/>
  <c r="AF32" i="1"/>
  <c r="AF64" i="4" s="1"/>
  <c r="C117" i="1"/>
  <c r="C32" i="1"/>
  <c r="S59" i="1"/>
  <c r="S163" i="3"/>
  <c r="S37" i="1"/>
  <c r="S55" i="3"/>
  <c r="S108" i="1"/>
  <c r="S34" i="1"/>
  <c r="AU195" i="7"/>
  <c r="AY156" i="7"/>
  <c r="AQ149" i="7"/>
  <c r="AR142" i="7"/>
  <c r="BA190" i="7"/>
  <c r="BQ156" i="7"/>
  <c r="BA195" i="7"/>
  <c r="AE308" i="7"/>
  <c r="BY36" i="8"/>
  <c r="BA36" i="8"/>
  <c r="BY41" i="8"/>
  <c r="BA77" i="7"/>
  <c r="BA79" i="7" s="1"/>
  <c r="BA82" i="7" s="1"/>
  <c r="AZ78" i="7"/>
  <c r="AX158" i="7"/>
  <c r="BP141" i="7"/>
  <c r="BO148" i="7"/>
  <c r="AY157" i="7"/>
  <c r="AZ55" i="7"/>
  <c r="AZ57" i="7" s="1"/>
  <c r="AW144" i="7"/>
  <c r="BI144" i="7"/>
  <c r="AX143" i="7"/>
  <c r="AW150" i="7"/>
  <c r="BG24" i="7"/>
  <c r="BG41" i="7"/>
  <c r="BD143" i="7"/>
  <c r="BC150" i="7"/>
  <c r="BC151" i="7"/>
  <c r="BD144" i="7"/>
  <c r="BC141" i="7"/>
  <c r="BA42" i="8"/>
  <c r="BM18" i="7"/>
  <c r="BK157" i="7"/>
  <c r="BE157" i="7"/>
  <c r="BE158" i="7"/>
  <c r="BK158" i="7"/>
  <c r="AK308" i="7"/>
  <c r="BE156" i="7"/>
  <c r="BI150" i="7"/>
  <c r="BJ143" i="7"/>
  <c r="BD155" i="7"/>
  <c r="W11" i="36" s="1"/>
  <c r="W22" i="36" s="1"/>
  <c r="BG18" i="7"/>
  <c r="AW142" i="7"/>
  <c r="BC149" i="7"/>
  <c r="BD142" i="7"/>
  <c r="BI148" i="7"/>
  <c r="BJ141" i="7"/>
  <c r="AA12" i="36" s="1"/>
  <c r="AA23" i="36" s="1"/>
  <c r="BQ155" i="7"/>
  <c r="AF11" i="36" s="1"/>
  <c r="BK155" i="7"/>
  <c r="AB11" i="36" s="1"/>
  <c r="AB22" i="36" s="1"/>
  <c r="BF12" i="8"/>
  <c r="Y9" i="36" s="1"/>
  <c r="BF50" i="8"/>
  <c r="BP143" i="7"/>
  <c r="BV157" i="7" s="1"/>
  <c r="BO150" i="7"/>
  <c r="AN35" i="8"/>
  <c r="AN67" i="7"/>
  <c r="AN69" i="7" s="1"/>
  <c r="BQ157" i="7"/>
  <c r="AQ143" i="7"/>
  <c r="BW143" i="7"/>
  <c r="BO149" i="7"/>
  <c r="BP142" i="7"/>
  <c r="AQ144" i="7"/>
  <c r="BW144" i="7"/>
  <c r="BI115" i="1"/>
  <c r="BG139" i="3"/>
  <c r="BP32" i="1"/>
  <c r="BP64" i="4" s="1"/>
  <c r="BP117" i="1"/>
  <c r="BG50" i="4"/>
  <c r="BG77" i="3" s="1"/>
  <c r="BI61" i="4"/>
  <c r="BI80" i="3"/>
  <c r="CC59" i="1"/>
  <c r="CC163" i="3"/>
  <c r="CC97" i="1"/>
  <c r="BQ97" i="1"/>
  <c r="CC139" i="3"/>
  <c r="CC140" i="3" s="1"/>
  <c r="CC141" i="3" s="1"/>
  <c r="CC142" i="3" s="1"/>
  <c r="CC136" i="3" s="1"/>
  <c r="AF82" i="7"/>
  <c r="AF61" i="4"/>
  <c r="AF80" i="3"/>
  <c r="BP80" i="3"/>
  <c r="BP61" i="4"/>
  <c r="CD22" i="1"/>
  <c r="BS95" i="1"/>
  <c r="BS96" i="1" s="1"/>
  <c r="BS23" i="1"/>
  <c r="AL61" i="4"/>
  <c r="AL80" i="3"/>
  <c r="BJ61" i="4"/>
  <c r="BJ80" i="3"/>
  <c r="AU78" i="3"/>
  <c r="BG59" i="4"/>
  <c r="CC56" i="1"/>
  <c r="CC164" i="3"/>
  <c r="CC59" i="3"/>
  <c r="CN92" i="3"/>
  <c r="CO39" i="3"/>
  <c r="BQ69" i="1"/>
  <c r="BQ164" i="3"/>
  <c r="BQ59" i="3"/>
  <c r="BQ56" i="1"/>
  <c r="AX61" i="4"/>
  <c r="AX80" i="3"/>
  <c r="CC69" i="1"/>
  <c r="BR95" i="1"/>
  <c r="BR96" i="1" s="1"/>
  <c r="BR23" i="1"/>
  <c r="CM73" i="4"/>
  <c r="CJ74" i="4"/>
  <c r="BP34" i="9"/>
  <c r="BP66" i="9" s="1"/>
  <c r="BM38" i="9"/>
  <c r="BG74" i="3"/>
  <c r="AO93" i="7"/>
  <c r="AO55" i="7"/>
  <c r="AO57" i="7" s="1"/>
  <c r="AI125" i="7"/>
  <c r="AO125" i="7"/>
  <c r="AN56" i="7"/>
  <c r="AI93" i="7"/>
  <c r="AI55" i="7"/>
  <c r="AI57" i="7" s="1"/>
  <c r="AO78" i="7"/>
  <c r="AI87" i="7"/>
  <c r="AI88" i="7"/>
  <c r="AI76" i="7"/>
  <c r="AI81" i="7"/>
  <c r="AO46" i="8"/>
  <c r="AI91" i="7"/>
  <c r="AI86" i="7"/>
  <c r="AI73" i="7"/>
  <c r="AI89" i="7"/>
  <c r="AI90" i="7"/>
  <c r="AO76" i="7"/>
  <c r="BO144" i="7"/>
  <c r="BU158" i="7" s="1"/>
  <c r="CO50" i="8"/>
  <c r="CI12" i="7"/>
  <c r="AI10" i="7"/>
  <c r="AI17" i="7"/>
  <c r="AO10" i="7"/>
  <c r="BP158" i="7"/>
  <c r="M235" i="7"/>
  <c r="O6" i="7"/>
  <c r="BV117" i="1"/>
  <c r="BV32" i="1"/>
  <c r="BV115" i="1"/>
  <c r="BV121" i="1"/>
  <c r="BK126" i="1"/>
  <c r="BK128" i="1"/>
  <c r="AH58" i="1"/>
  <c r="AH172" i="3"/>
  <c r="AH30" i="1"/>
  <c r="K32" i="1"/>
  <c r="K71" i="1" s="1"/>
  <c r="K117" i="1"/>
  <c r="AI54" i="1"/>
  <c r="Q117" i="1"/>
  <c r="Q32" i="1"/>
  <c r="Q64" i="4" s="1"/>
  <c r="BY120" i="1"/>
  <c r="AZ58" i="1"/>
  <c r="AZ30" i="1"/>
  <c r="AZ172" i="3"/>
  <c r="CB108" i="1"/>
  <c r="CB37" i="1"/>
  <c r="CB55" i="3"/>
  <c r="CB59" i="1"/>
  <c r="CB163" i="3"/>
  <c r="CB34" i="1"/>
  <c r="CB63" i="4" s="1"/>
  <c r="BY58" i="1"/>
  <c r="BY30" i="1"/>
  <c r="BY172" i="3"/>
  <c r="T32" i="1"/>
  <c r="T117" i="1"/>
  <c r="AM37" i="1"/>
  <c r="AM34" i="1"/>
  <c r="AM63" i="4" s="1"/>
  <c r="AM108" i="1"/>
  <c r="AM163" i="3"/>
  <c r="AM59" i="1"/>
  <c r="AM55" i="3"/>
  <c r="CJ187" i="3"/>
  <c r="CI154" i="3"/>
  <c r="AC80" i="3"/>
  <c r="AC61" i="4"/>
  <c r="AZ97" i="1"/>
  <c r="BG23" i="1"/>
  <c r="BG95" i="1"/>
  <c r="BG96" i="1" s="1"/>
  <c r="AU21" i="1"/>
  <c r="AT23" i="1"/>
  <c r="AT95" i="1"/>
  <c r="AT96" i="1" s="1"/>
  <c r="S76" i="4"/>
  <c r="S77" i="4"/>
  <c r="S78" i="4"/>
  <c r="S72" i="4"/>
  <c r="T68" i="4" s="1"/>
  <c r="AZ56" i="1"/>
  <c r="AZ164" i="3"/>
  <c r="AZ59" i="3"/>
  <c r="AZ61" i="3"/>
  <c r="W78" i="4"/>
  <c r="W76" i="4"/>
  <c r="W72" i="4"/>
  <c r="W77" i="4"/>
  <c r="BS50" i="4"/>
  <c r="BS78" i="3"/>
  <c r="BS59" i="4"/>
  <c r="CI147" i="3"/>
  <c r="AT114" i="3"/>
  <c r="AT115" i="3"/>
  <c r="AU107" i="3"/>
  <c r="BR80" i="3"/>
  <c r="BR61" i="4"/>
  <c r="G55" i="4"/>
  <c r="I52" i="4"/>
  <c r="I54" i="4" s="1"/>
  <c r="BQ79" i="3"/>
  <c r="BQ60" i="4"/>
  <c r="BQ62" i="4" s="1"/>
  <c r="BA95" i="1"/>
  <c r="BA96" i="1" s="1"/>
  <c r="BA23" i="1"/>
  <c r="AZ60" i="4"/>
  <c r="BF62" i="4" s="1"/>
  <c r="AZ79" i="3"/>
  <c r="AY61" i="4"/>
  <c r="AY80" i="3"/>
  <c r="AU193" i="7"/>
  <c r="CG143" i="7"/>
  <c r="CB42" i="8"/>
  <c r="CG148" i="7"/>
  <c r="CG141" i="7" s="1"/>
  <c r="AP12" i="36" s="1"/>
  <c r="BS74" i="3"/>
  <c r="BI142" i="7"/>
  <c r="AI120" i="3"/>
  <c r="BF80" i="3"/>
  <c r="BF61" i="4"/>
  <c r="CA61" i="4"/>
  <c r="CA80" i="3"/>
  <c r="AU158" i="3"/>
  <c r="BD108" i="1"/>
  <c r="BD55" i="3"/>
  <c r="BD34" i="1"/>
  <c r="BD63" i="4" s="1"/>
  <c r="BD37" i="1"/>
  <c r="BD59" i="1"/>
  <c r="BD163" i="3"/>
  <c r="AW155" i="7"/>
  <c r="R11" i="36" s="1"/>
  <c r="AI77" i="3"/>
  <c r="AW32" i="1"/>
  <c r="AW64" i="4" s="1"/>
  <c r="AW117" i="1"/>
  <c r="V32" i="1"/>
  <c r="V117" i="1"/>
  <c r="M58" i="1"/>
  <c r="M30" i="1"/>
  <c r="M172" i="3"/>
  <c r="U108" i="3"/>
  <c r="U104" i="3"/>
  <c r="BJ121" i="1"/>
  <c r="BP121" i="1"/>
  <c r="AR164" i="3"/>
  <c r="AR59" i="3"/>
  <c r="AR56" i="1"/>
  <c r="AR69" i="1"/>
  <c r="AX69" i="1"/>
  <c r="AR97" i="1"/>
  <c r="Z59" i="3"/>
  <c r="AF69" i="1"/>
  <c r="Z97" i="1"/>
  <c r="Z69" i="1"/>
  <c r="Z164" i="3"/>
  <c r="Z56" i="1"/>
  <c r="Z172" i="3"/>
  <c r="Z30" i="1"/>
  <c r="Z58" i="1"/>
  <c r="AG117" i="1"/>
  <c r="AG32" i="1"/>
  <c r="AG64" i="4" s="1"/>
  <c r="BW121" i="1"/>
  <c r="AO77" i="3"/>
  <c r="BR28" i="1"/>
  <c r="BX54" i="1"/>
  <c r="BR138" i="3"/>
  <c r="BR24" i="1"/>
  <c r="BX68" i="1"/>
  <c r="BR53" i="1"/>
  <c r="BR60" i="3"/>
  <c r="BR68" i="1"/>
  <c r="BR54" i="1"/>
  <c r="BR136" i="7"/>
  <c r="BR165" i="3"/>
  <c r="AB58" i="1"/>
  <c r="AB172" i="3"/>
  <c r="AB30" i="1"/>
  <c r="AT77" i="3"/>
  <c r="AC68" i="1"/>
  <c r="AC138" i="3"/>
  <c r="AC28" i="1"/>
  <c r="AC136" i="7"/>
  <c r="AC180" i="3"/>
  <c r="AC181" i="3" s="1"/>
  <c r="AC182" i="3" s="1"/>
  <c r="AC54" i="1"/>
  <c r="AC60" i="3"/>
  <c r="AC383" i="7"/>
  <c r="AC24" i="1"/>
  <c r="AC53" i="1"/>
  <c r="AC165" i="3"/>
  <c r="AN117" i="1"/>
  <c r="AN32" i="1"/>
  <c r="AN64" i="4" s="1"/>
  <c r="AZ156" i="7"/>
  <c r="AZ158" i="7"/>
  <c r="BC32" i="1"/>
  <c r="BC64" i="4" s="1"/>
  <c r="BC117" i="1"/>
  <c r="G163" i="3"/>
  <c r="G71" i="1"/>
  <c r="G108" i="1"/>
  <c r="G34" i="1"/>
  <c r="G59" i="1"/>
  <c r="G55" i="3"/>
  <c r="G37" i="1"/>
  <c r="G54" i="3"/>
  <c r="AR140" i="3"/>
  <c r="AR141" i="3" s="1"/>
  <c r="AR142" i="3" s="1"/>
  <c r="AR136" i="3" s="1"/>
  <c r="BO56" i="1"/>
  <c r="BO164" i="3"/>
  <c r="BO59" i="3"/>
  <c r="BO69" i="1"/>
  <c r="BO97" i="1"/>
  <c r="BS20" i="1"/>
  <c r="BY124" i="1" s="1"/>
  <c r="BS49" i="1"/>
  <c r="BS50" i="1"/>
  <c r="BS80" i="1"/>
  <c r="BY50" i="1"/>
  <c r="BF77" i="3"/>
  <c r="AQ58" i="1"/>
  <c r="AQ30" i="1"/>
  <c r="AQ172" i="3"/>
  <c r="AS117" i="1"/>
  <c r="AS32" i="1"/>
  <c r="AS64" i="4" s="1"/>
  <c r="CA42" i="8"/>
  <c r="BU9" i="9"/>
  <c r="BG80" i="1"/>
  <c r="BG20" i="1"/>
  <c r="BM124" i="1" s="1"/>
  <c r="BG50" i="1"/>
  <c r="BG49" i="1"/>
  <c r="BG135" i="7"/>
  <c r="BM50" i="1"/>
  <c r="I55" i="3"/>
  <c r="I163" i="3"/>
  <c r="I108" i="1"/>
  <c r="I59" i="1"/>
  <c r="I54" i="3"/>
  <c r="I34" i="1"/>
  <c r="I37" i="1"/>
  <c r="I71" i="1"/>
  <c r="M56" i="1"/>
  <c r="M59" i="3"/>
  <c r="M97" i="1"/>
  <c r="M69" i="1"/>
  <c r="M164" i="3"/>
  <c r="O69" i="1"/>
  <c r="M140" i="3"/>
  <c r="M141" i="3" s="1"/>
  <c r="M142" i="3" s="1"/>
  <c r="M136" i="3" s="1"/>
  <c r="U106" i="3"/>
  <c r="T115" i="3"/>
  <c r="T109" i="3"/>
  <c r="BI30" i="1"/>
  <c r="BI172" i="3"/>
  <c r="BI58" i="1"/>
  <c r="BJ115" i="1"/>
  <c r="AE32" i="1"/>
  <c r="AE64" i="4" s="1"/>
  <c r="AE117" i="1"/>
  <c r="AR172" i="3"/>
  <c r="AR30" i="1"/>
  <c r="AR58" i="1"/>
  <c r="BA109" i="7"/>
  <c r="AU109" i="7"/>
  <c r="Z140" i="3"/>
  <c r="Z141" i="3" s="1"/>
  <c r="Z142" i="3" s="1"/>
  <c r="Z136" i="3" s="1"/>
  <c r="BW80" i="3"/>
  <c r="BW61" i="4"/>
  <c r="AE120" i="3"/>
  <c r="AE121" i="3"/>
  <c r="AI121" i="3" s="1"/>
  <c r="AI122" i="3" s="1"/>
  <c r="AS61" i="4"/>
  <c r="AS80" i="3"/>
  <c r="AT28" i="1"/>
  <c r="AT24" i="1"/>
  <c r="AT54" i="1"/>
  <c r="AZ68" i="1"/>
  <c r="AZ54" i="1"/>
  <c r="AT136" i="7"/>
  <c r="AT180" i="3"/>
  <c r="AT181" i="3" s="1"/>
  <c r="AT53" i="1"/>
  <c r="AT165" i="3"/>
  <c r="AT138" i="3"/>
  <c r="AT68" i="1"/>
  <c r="AT60" i="3"/>
  <c r="AY32" i="1"/>
  <c r="AY64" i="4" s="1"/>
  <c r="AY117" i="1"/>
  <c r="U55" i="3"/>
  <c r="AI79" i="3"/>
  <c r="AI60" i="4"/>
  <c r="AI62" i="4" s="1"/>
  <c r="BW117" i="1"/>
  <c r="BW32" i="1"/>
  <c r="BW115" i="1"/>
  <c r="AZ157" i="7"/>
  <c r="AK117" i="1"/>
  <c r="AK32" i="1"/>
  <c r="AK64" i="4" s="1"/>
  <c r="AU49" i="1"/>
  <c r="AU80" i="1"/>
  <c r="AU20" i="1"/>
  <c r="AU135" i="7"/>
  <c r="AU50" i="1"/>
  <c r="BA50" i="1"/>
  <c r="AB69" i="1"/>
  <c r="AB56" i="1"/>
  <c r="AH69" i="1"/>
  <c r="AB164" i="3"/>
  <c r="AB59" i="3"/>
  <c r="AB97" i="1"/>
  <c r="AQ140" i="3"/>
  <c r="AQ141" i="3" s="1"/>
  <c r="AQ142" i="3" s="1"/>
  <c r="AQ136" i="3" s="1"/>
  <c r="BI59" i="3"/>
  <c r="BI164" i="3"/>
  <c r="BI56" i="1"/>
  <c r="BI61" i="3"/>
  <c r="BI69" i="1"/>
  <c r="BI97" i="1"/>
  <c r="BJ117" i="1"/>
  <c r="BJ32" i="1"/>
  <c r="BJ64" i="4" s="1"/>
  <c r="CA121" i="1"/>
  <c r="CC34" i="1"/>
  <c r="CC37" i="1"/>
  <c r="CC108" i="1"/>
  <c r="BF60" i="3"/>
  <c r="BF165" i="3"/>
  <c r="BF68" i="1"/>
  <c r="BL68" i="1"/>
  <c r="BF138" i="3"/>
  <c r="BF28" i="1"/>
  <c r="BF24" i="1"/>
  <c r="BL54" i="1"/>
  <c r="BF180" i="3"/>
  <c r="BF181" i="3" s="1"/>
  <c r="BF182" i="3" s="1"/>
  <c r="BF136" i="7"/>
  <c r="BF54" i="1"/>
  <c r="BF53" i="1"/>
  <c r="BO58" i="1"/>
  <c r="BO30" i="1"/>
  <c r="BO172" i="3"/>
  <c r="AF41" i="8"/>
  <c r="CC126" i="1"/>
  <c r="BE32" i="1"/>
  <c r="BE64" i="4" s="1"/>
  <c r="BE117" i="1"/>
  <c r="AO60" i="4"/>
  <c r="AO79" i="3"/>
  <c r="AH80" i="3"/>
  <c r="AH61" i="4"/>
  <c r="CJ85" i="4"/>
  <c r="CJ41" i="1"/>
  <c r="CK41" i="1"/>
  <c r="AB140" i="3"/>
  <c r="AB141" i="3" s="1"/>
  <c r="AB142" i="3" s="1"/>
  <c r="AB136" i="3" s="1"/>
  <c r="AQ69" i="1"/>
  <c r="AQ164" i="3"/>
  <c r="AQ59" i="3"/>
  <c r="AQ56" i="1"/>
  <c r="AQ97" i="1"/>
  <c r="AT79" i="3"/>
  <c r="AT60" i="4"/>
  <c r="AT62" i="4" s="1"/>
  <c r="BU32" i="1"/>
  <c r="BU64" i="4" s="1"/>
  <c r="BU117" i="1"/>
  <c r="BU115" i="1"/>
  <c r="Y32" i="1"/>
  <c r="Y117" i="1"/>
  <c r="W80" i="3"/>
  <c r="W61" i="4"/>
  <c r="CC20" i="4"/>
  <c r="AZ155" i="7"/>
  <c r="U11" i="36" s="1"/>
  <c r="AH202" i="3" l="1"/>
  <c r="AH56" i="3" s="1"/>
  <c r="AN62" i="4"/>
  <c r="AN61" i="4"/>
  <c r="BX80" i="3"/>
  <c r="CC71" i="1"/>
  <c r="BW64" i="4"/>
  <c r="BQ64" i="4"/>
  <c r="CB71" i="1"/>
  <c r="BV64" i="4"/>
  <c r="AX64" i="4"/>
  <c r="BX61" i="4"/>
  <c r="CA163" i="3"/>
  <c r="CA64" i="4"/>
  <c r="BK59" i="1"/>
  <c r="BK64" i="4"/>
  <c r="BG79" i="3"/>
  <c r="R88" i="36"/>
  <c r="AN202" i="3"/>
  <c r="AN56" i="3" s="1"/>
  <c r="CB126" i="1"/>
  <c r="S88" i="36"/>
  <c r="AU42" i="8"/>
  <c r="CB80" i="3"/>
  <c r="AU77" i="3"/>
  <c r="AU60" i="4"/>
  <c r="BA62" i="4" s="1"/>
  <c r="CB128" i="1"/>
  <c r="BQ128" i="1"/>
  <c r="BQ126" i="1"/>
  <c r="AZ201" i="3"/>
  <c r="AZ202" i="3"/>
  <c r="AZ56" i="3" s="1"/>
  <c r="BQ163" i="3"/>
  <c r="AN201" i="3"/>
  <c r="BG55" i="7"/>
  <c r="BG57" i="7" s="1"/>
  <c r="BU139" i="3"/>
  <c r="BU140" i="3" s="1"/>
  <c r="BU141" i="3" s="1"/>
  <c r="BU142" i="3" s="1"/>
  <c r="BU136" i="3" s="1"/>
  <c r="BU179" i="3"/>
  <c r="BU180" i="3" s="1"/>
  <c r="BU181" i="3" s="1"/>
  <c r="BU182" i="3" s="1"/>
  <c r="AT182" i="3"/>
  <c r="AT201" i="3"/>
  <c r="AT202" i="3"/>
  <c r="AT56" i="3" s="1"/>
  <c r="BJ139" i="3"/>
  <c r="BJ140" i="3" s="1"/>
  <c r="BJ141" i="3" s="1"/>
  <c r="BJ142" i="3" s="1"/>
  <c r="BJ136" i="3" s="1"/>
  <c r="BJ179" i="3"/>
  <c r="BJ180" i="3" s="1"/>
  <c r="BJ181" i="3" s="1"/>
  <c r="BJ182" i="3" s="1"/>
  <c r="BI139" i="3"/>
  <c r="BI140" i="3" s="1"/>
  <c r="BI141" i="3" s="1"/>
  <c r="BI142" i="3" s="1"/>
  <c r="BI136" i="3" s="1"/>
  <c r="BI179" i="3"/>
  <c r="BI180" i="3" s="1"/>
  <c r="BI181" i="3" s="1"/>
  <c r="BI182" i="3" s="1"/>
  <c r="CA139" i="3"/>
  <c r="CA140" i="3" s="1"/>
  <c r="CA141" i="3" s="1"/>
  <c r="CA142" i="3" s="1"/>
  <c r="CA136" i="3" s="1"/>
  <c r="CA179" i="3"/>
  <c r="CA180" i="3" s="1"/>
  <c r="CA181" i="3" s="1"/>
  <c r="CA182" i="3" s="1"/>
  <c r="CB139" i="3"/>
  <c r="CB140" i="3" s="1"/>
  <c r="CB141" i="3" s="1"/>
  <c r="CB142" i="3" s="1"/>
  <c r="CB136" i="3" s="1"/>
  <c r="CB179" i="3"/>
  <c r="CB180" i="3" s="1"/>
  <c r="CB181" i="3" s="1"/>
  <c r="CB182" i="3" s="1"/>
  <c r="BP139" i="3"/>
  <c r="BP140" i="3" s="1"/>
  <c r="BP141" i="3" s="1"/>
  <c r="BP142" i="3" s="1"/>
  <c r="BP136" i="3" s="1"/>
  <c r="BP179" i="3"/>
  <c r="BP180" i="3" s="1"/>
  <c r="BP181" i="3" s="1"/>
  <c r="BP182" i="3" s="1"/>
  <c r="BW139" i="3"/>
  <c r="BW140" i="3" s="1"/>
  <c r="BW141" i="3" s="1"/>
  <c r="BW142" i="3" s="1"/>
  <c r="BW136" i="3" s="1"/>
  <c r="BW179" i="3"/>
  <c r="BW180" i="3" s="1"/>
  <c r="BW181" i="3" s="1"/>
  <c r="BW182" i="3" s="1"/>
  <c r="BV139" i="3"/>
  <c r="BV140" i="3" s="1"/>
  <c r="BV141" i="3" s="1"/>
  <c r="BV142" i="3" s="1"/>
  <c r="BV136" i="3" s="1"/>
  <c r="BV179" i="3"/>
  <c r="BV180" i="3" s="1"/>
  <c r="BV181" i="3" s="1"/>
  <c r="BV182" i="3" s="1"/>
  <c r="BQ139" i="3"/>
  <c r="BQ140" i="3" s="1"/>
  <c r="BQ141" i="3" s="1"/>
  <c r="BQ142" i="3" s="1"/>
  <c r="BQ136" i="3" s="1"/>
  <c r="BQ179" i="3"/>
  <c r="BQ180" i="3" s="1"/>
  <c r="BQ181" i="3" s="1"/>
  <c r="BQ182" i="3" s="1"/>
  <c r="BK139" i="3"/>
  <c r="BK140" i="3" s="1"/>
  <c r="BK141" i="3" s="1"/>
  <c r="BK142" i="3" s="1"/>
  <c r="BK136" i="3" s="1"/>
  <c r="BK179" i="3"/>
  <c r="BK180" i="3" s="1"/>
  <c r="BK181" i="3" s="1"/>
  <c r="BK182" i="3" s="1"/>
  <c r="CO41" i="3"/>
  <c r="CN190" i="3"/>
  <c r="CO32" i="3"/>
  <c r="CN191" i="3"/>
  <c r="AI58" i="1"/>
  <c r="AH88" i="36"/>
  <c r="CA128" i="1"/>
  <c r="CP74" i="3"/>
  <c r="U59" i="1"/>
  <c r="AC76" i="36"/>
  <c r="AC88" i="36" s="1"/>
  <c r="U34" i="1"/>
  <c r="U90" i="3" s="1"/>
  <c r="BS42" i="8"/>
  <c r="AF42" i="8"/>
  <c r="BY42" i="8"/>
  <c r="BY56" i="1"/>
  <c r="CB61" i="4"/>
  <c r="CI13" i="7"/>
  <c r="BP128" i="1"/>
  <c r="BO125" i="1"/>
  <c r="BI125" i="1"/>
  <c r="BQ55" i="1"/>
  <c r="BL125" i="1"/>
  <c r="BK129" i="1"/>
  <c r="Y22" i="36"/>
  <c r="U37" i="1"/>
  <c r="U108" i="1"/>
  <c r="BQ59" i="1"/>
  <c r="AA71" i="1"/>
  <c r="M88" i="36"/>
  <c r="AI172" i="3"/>
  <c r="BY59" i="3"/>
  <c r="BK55" i="3"/>
  <c r="BR120" i="1"/>
  <c r="U76" i="36"/>
  <c r="U88" i="36" s="1"/>
  <c r="AK76" i="36"/>
  <c r="AK88" i="36" s="1"/>
  <c r="BY97" i="1"/>
  <c r="BM120" i="1"/>
  <c r="AI30" i="1"/>
  <c r="AI32" i="1" s="1"/>
  <c r="AI64" i="4" s="1"/>
  <c r="BK163" i="3"/>
  <c r="BQ71" i="9"/>
  <c r="CK44" i="9"/>
  <c r="CM12" i="9"/>
  <c r="CN12" i="9" s="1"/>
  <c r="CO12" i="9" s="1"/>
  <c r="CP12" i="9" s="1"/>
  <c r="CQ12" i="9" s="1"/>
  <c r="CQ44" i="9" s="1"/>
  <c r="AC22" i="36"/>
  <c r="AC23" i="36"/>
  <c r="BK37" i="1"/>
  <c r="W30" i="1"/>
  <c r="W32" i="1" s="1"/>
  <c r="W64" i="4" s="1"/>
  <c r="W58" i="1"/>
  <c r="BK108" i="1"/>
  <c r="BK111" i="1" s="1"/>
  <c r="BK34" i="1"/>
  <c r="BK63" i="4" s="1"/>
  <c r="W56" i="1"/>
  <c r="AI56" i="1"/>
  <c r="AI59" i="3"/>
  <c r="CA55" i="1"/>
  <c r="CC55" i="1"/>
  <c r="AU79" i="3"/>
  <c r="BA164" i="3"/>
  <c r="BP126" i="1"/>
  <c r="BX117" i="1"/>
  <c r="AI69" i="1"/>
  <c r="AI97" i="1"/>
  <c r="BM123" i="1"/>
  <c r="BY123" i="1"/>
  <c r="BX125" i="1"/>
  <c r="BX128" i="1" s="1"/>
  <c r="BY122" i="1"/>
  <c r="AI61" i="3"/>
  <c r="AI164" i="3"/>
  <c r="AV65" i="36"/>
  <c r="AO58" i="1"/>
  <c r="W59" i="3"/>
  <c r="BA59" i="3"/>
  <c r="CA108" i="1"/>
  <c r="CA111" i="1" s="1"/>
  <c r="CA34" i="1"/>
  <c r="CA63" i="4" s="1"/>
  <c r="AO30" i="1"/>
  <c r="AO117" i="1" s="1"/>
  <c r="W69" i="1"/>
  <c r="CA59" i="1"/>
  <c r="CA37" i="1"/>
  <c r="W97" i="1"/>
  <c r="BA56" i="1"/>
  <c r="CA55" i="3"/>
  <c r="E90" i="3"/>
  <c r="E93" i="3" s="1"/>
  <c r="E94" i="3" s="1"/>
  <c r="BQ55" i="3"/>
  <c r="E36" i="1"/>
  <c r="BQ108" i="1"/>
  <c r="BQ103" i="1" s="1"/>
  <c r="BQ110" i="1" s="1"/>
  <c r="AO59" i="3"/>
  <c r="AO56" i="1"/>
  <c r="BM80" i="3"/>
  <c r="BM61" i="4"/>
  <c r="BA61" i="3"/>
  <c r="BA97" i="1"/>
  <c r="BQ34" i="1"/>
  <c r="BQ63" i="4" s="1"/>
  <c r="BQ37" i="1"/>
  <c r="BQ71" i="1"/>
  <c r="BX115" i="1"/>
  <c r="AO172" i="3"/>
  <c r="AO69" i="1"/>
  <c r="AO164" i="3"/>
  <c r="BA58" i="1"/>
  <c r="BA80" i="3"/>
  <c r="BA172" i="3"/>
  <c r="BA30" i="1"/>
  <c r="BA117" i="1" s="1"/>
  <c r="AP23" i="36"/>
  <c r="T69" i="36"/>
  <c r="T70" i="36" s="1"/>
  <c r="S69" i="36"/>
  <c r="S70" i="36" s="1"/>
  <c r="R69" i="36"/>
  <c r="R70" i="36" s="1"/>
  <c r="AD34" i="36"/>
  <c r="AL34" i="36"/>
  <c r="M69" i="36"/>
  <c r="M70" i="36" s="1"/>
  <c r="N67" i="36"/>
  <c r="N34" i="36" s="1"/>
  <c r="P69" i="36"/>
  <c r="P70" i="36" s="1"/>
  <c r="O69" i="36"/>
  <c r="O70" i="36" s="1"/>
  <c r="AG34" i="36"/>
  <c r="AK34" i="36"/>
  <c r="Y102" i="36"/>
  <c r="AH34" i="36"/>
  <c r="AG102" i="36"/>
  <c r="AK102" i="36"/>
  <c r="M67" i="36"/>
  <c r="M34" i="36" s="1"/>
  <c r="M106" i="36"/>
  <c r="Q106" i="36"/>
  <c r="AX163" i="3"/>
  <c r="AD39" i="36"/>
  <c r="R67" i="36"/>
  <c r="R34" i="36" s="1"/>
  <c r="Q67" i="36"/>
  <c r="Q34" i="36" s="1"/>
  <c r="AD65" i="36"/>
  <c r="AD33" i="36" s="1"/>
  <c r="AC65" i="36"/>
  <c r="AC33" i="36" s="1"/>
  <c r="Z65" i="36"/>
  <c r="Z33" i="36" s="1"/>
  <c r="Y65" i="36"/>
  <c r="Y33" i="36" s="1"/>
  <c r="AN22" i="36"/>
  <c r="AN23" i="36"/>
  <c r="BV155" i="7"/>
  <c r="AI11" i="36" s="1"/>
  <c r="AE12" i="36"/>
  <c r="AE23" i="36" s="1"/>
  <c r="AI12" i="36"/>
  <c r="AF22" i="36"/>
  <c r="V12" i="36"/>
  <c r="V23" i="36" s="1"/>
  <c r="AJ22" i="36"/>
  <c r="AJ23" i="36"/>
  <c r="AT77" i="7"/>
  <c r="AT79" i="7" s="1"/>
  <c r="AT82" i="7" s="1"/>
  <c r="AT36" i="8"/>
  <c r="AT41" i="8"/>
  <c r="Y20" i="36"/>
  <c r="AC20" i="36"/>
  <c r="E103" i="1"/>
  <c r="E110" i="1" s="1"/>
  <c r="AX59" i="1"/>
  <c r="AX55" i="3"/>
  <c r="AO62" i="4"/>
  <c r="BM172" i="3"/>
  <c r="BM30" i="1"/>
  <c r="BM32" i="1" s="1"/>
  <c r="BM64" i="4" s="1"/>
  <c r="E109" i="1"/>
  <c r="BD71" i="1"/>
  <c r="AX108" i="1"/>
  <c r="AX111" i="1" s="1"/>
  <c r="AX34" i="1"/>
  <c r="AX63" i="4" s="1"/>
  <c r="AX37" i="1"/>
  <c r="AG308" i="7"/>
  <c r="BP33" i="7"/>
  <c r="BP32" i="7" s="1"/>
  <c r="BJ32" i="7" s="1"/>
  <c r="BF41" i="8"/>
  <c r="BM59" i="3"/>
  <c r="BM97" i="1"/>
  <c r="BM164" i="3"/>
  <c r="BM56" i="1"/>
  <c r="G70" i="1"/>
  <c r="AL163" i="3"/>
  <c r="AL59" i="1"/>
  <c r="AL37" i="1"/>
  <c r="AL34" i="1"/>
  <c r="AL108" i="1"/>
  <c r="AL55" i="3"/>
  <c r="BL32" i="1"/>
  <c r="BL64" i="4" s="1"/>
  <c r="BL117" i="1"/>
  <c r="BL115" i="1"/>
  <c r="BL121" i="1"/>
  <c r="AH309" i="7"/>
  <c r="AH308" i="7" s="1"/>
  <c r="AZ62" i="4"/>
  <c r="BW62" i="4"/>
  <c r="BG60" i="4"/>
  <c r="BG80" i="3" s="1"/>
  <c r="BM122" i="1"/>
  <c r="BW158" i="7"/>
  <c r="CC158" i="7"/>
  <c r="BP156" i="7"/>
  <c r="BV156" i="7"/>
  <c r="BW157" i="7"/>
  <c r="CC157" i="7"/>
  <c r="BP24" i="7"/>
  <c r="BP23" i="7" s="1"/>
  <c r="BA193" i="7"/>
  <c r="BK33" i="7"/>
  <c r="BF36" i="8"/>
  <c r="BJ156" i="7"/>
  <c r="AA163" i="3"/>
  <c r="AA59" i="1"/>
  <c r="AA37" i="1"/>
  <c r="AA55" i="3"/>
  <c r="AA34" i="1"/>
  <c r="AA108" i="1"/>
  <c r="BQ24" i="7"/>
  <c r="BQ23" i="7" s="1"/>
  <c r="AJ48" i="36" s="1"/>
  <c r="BQ33" i="7"/>
  <c r="BQ32" i="7" s="1"/>
  <c r="BO33" i="7"/>
  <c r="BO32" i="7" s="1"/>
  <c r="O163" i="3"/>
  <c r="O108" i="1"/>
  <c r="O59" i="1"/>
  <c r="O55" i="3"/>
  <c r="O34" i="1"/>
  <c r="O37" i="1"/>
  <c r="O54" i="3"/>
  <c r="BL33" i="7"/>
  <c r="BI33" i="7"/>
  <c r="BJ33" i="7"/>
  <c r="C163" i="3"/>
  <c r="C37" i="1"/>
  <c r="E70" i="1" s="1"/>
  <c r="C108" i="1"/>
  <c r="C34" i="1"/>
  <c r="C59" i="1"/>
  <c r="E71" i="1"/>
  <c r="S170" i="3"/>
  <c r="S36" i="1"/>
  <c r="S90" i="3"/>
  <c r="S38" i="3"/>
  <c r="S10" i="4"/>
  <c r="S19" i="4" s="1"/>
  <c r="S26" i="4" s="1"/>
  <c r="S111" i="1"/>
  <c r="S103" i="1"/>
  <c r="S110" i="1" s="1"/>
  <c r="S109" i="1"/>
  <c r="AF37" i="1"/>
  <c r="AF59" i="1"/>
  <c r="AF163" i="3"/>
  <c r="AF34" i="1"/>
  <c r="AF63" i="4" s="1"/>
  <c r="AF108" i="1"/>
  <c r="AF55" i="3"/>
  <c r="AL71" i="1"/>
  <c r="AQ142" i="7"/>
  <c r="AX156" i="7"/>
  <c r="AZ41" i="8"/>
  <c r="AZ77" i="7"/>
  <c r="AZ79" i="7" s="1"/>
  <c r="AZ82" i="7" s="1"/>
  <c r="AZ36" i="8"/>
  <c r="BO141" i="7"/>
  <c r="AW143" i="7"/>
  <c r="AX157" i="7"/>
  <c r="BJ155" i="7"/>
  <c r="AA11" i="36" s="1"/>
  <c r="AA22" i="36" s="1"/>
  <c r="BP155" i="7"/>
  <c r="AE11" i="36" s="1"/>
  <c r="BJ157" i="7"/>
  <c r="BD158" i="7"/>
  <c r="BJ158" i="7"/>
  <c r="BD157" i="7"/>
  <c r="BF22" i="8"/>
  <c r="DP23" i="8" s="1"/>
  <c r="BF30" i="8"/>
  <c r="BL22" i="8"/>
  <c r="DT23" i="8" s="1"/>
  <c r="DP12" i="8"/>
  <c r="BI30" i="8"/>
  <c r="BI141" i="7"/>
  <c r="Z12" i="36" s="1"/>
  <c r="BI143" i="7"/>
  <c r="BC144" i="7"/>
  <c r="BC155" i="7"/>
  <c r="V11" i="36" s="1"/>
  <c r="V22" i="36" s="1"/>
  <c r="BD156" i="7"/>
  <c r="BC142" i="7"/>
  <c r="BI156" i="7" s="1"/>
  <c r="BC143" i="7"/>
  <c r="BO142" i="7"/>
  <c r="BO143" i="7"/>
  <c r="BU157" i="7" s="1"/>
  <c r="BP157" i="7"/>
  <c r="AW158" i="7"/>
  <c r="AO77" i="7"/>
  <c r="AO79" i="7" s="1"/>
  <c r="AO82" i="7" s="1"/>
  <c r="BX34" i="1"/>
  <c r="BX63" i="4" s="1"/>
  <c r="BX55" i="3"/>
  <c r="BX108" i="1"/>
  <c r="BX59" i="1"/>
  <c r="BX163" i="3"/>
  <c r="BX37" i="1"/>
  <c r="BP163" i="3"/>
  <c r="BP59" i="1"/>
  <c r="BP108" i="1"/>
  <c r="BP34" i="1"/>
  <c r="BP63" i="4" s="1"/>
  <c r="BP55" i="3"/>
  <c r="BP37" i="1"/>
  <c r="CC90" i="3"/>
  <c r="CC170" i="3"/>
  <c r="CE22" i="1"/>
  <c r="CN73" i="4"/>
  <c r="CM74" i="4"/>
  <c r="CP39" i="3"/>
  <c r="CO92" i="3"/>
  <c r="BP38" i="9"/>
  <c r="BS14" i="9"/>
  <c r="BS46" i="9" s="1"/>
  <c r="BO38" i="9"/>
  <c r="Q6" i="7"/>
  <c r="O235" i="7"/>
  <c r="AO18" i="7"/>
  <c r="AI18" i="7"/>
  <c r="AO41" i="8"/>
  <c r="AO36" i="8"/>
  <c r="AN78" i="7"/>
  <c r="BO158" i="7"/>
  <c r="AI77" i="7"/>
  <c r="AI79" i="7" s="1"/>
  <c r="AI82" i="7" s="1"/>
  <c r="AN34" i="8"/>
  <c r="AN55" i="7"/>
  <c r="AN57" i="7" s="1"/>
  <c r="BV128" i="1"/>
  <c r="BV126" i="1"/>
  <c r="BV55" i="3"/>
  <c r="BV59" i="1"/>
  <c r="BV34" i="1"/>
  <c r="BV63" i="4" s="1"/>
  <c r="BV163" i="3"/>
  <c r="BV108" i="1"/>
  <c r="BV37" i="1"/>
  <c r="CB70" i="1" s="1"/>
  <c r="BV71" i="1"/>
  <c r="BK109" i="1"/>
  <c r="K54" i="3"/>
  <c r="K34" i="1"/>
  <c r="K55" i="3"/>
  <c r="K108" i="1"/>
  <c r="K37" i="1"/>
  <c r="K70" i="1" s="1"/>
  <c r="K59" i="1"/>
  <c r="K163" i="3"/>
  <c r="AH117" i="1"/>
  <c r="AH32" i="1"/>
  <c r="BY115" i="1"/>
  <c r="CB109" i="1"/>
  <c r="CB111" i="1"/>
  <c r="CB103" i="1"/>
  <c r="CB110" i="1" s="1"/>
  <c r="Q163" i="3"/>
  <c r="Q59" i="1"/>
  <c r="Q108" i="1"/>
  <c r="Q37" i="1"/>
  <c r="Q34" i="1"/>
  <c r="Q63" i="4" s="1"/>
  <c r="Q55" i="3"/>
  <c r="Q54" i="3"/>
  <c r="Q71" i="1"/>
  <c r="AM90" i="3"/>
  <c r="AM36" i="1"/>
  <c r="AM170" i="3"/>
  <c r="CB170" i="3"/>
  <c r="CB90" i="3"/>
  <c r="CB36" i="1"/>
  <c r="AZ117" i="1"/>
  <c r="AZ32" i="1"/>
  <c r="AZ64" i="4" s="1"/>
  <c r="AM111" i="1"/>
  <c r="AM103" i="1"/>
  <c r="AM110" i="1" s="1"/>
  <c r="AM109" i="1"/>
  <c r="T55" i="3"/>
  <c r="T163" i="3"/>
  <c r="T34" i="1"/>
  <c r="T59" i="1"/>
  <c r="T108" i="1"/>
  <c r="T37" i="1"/>
  <c r="BY32" i="1"/>
  <c r="BY64" i="4" s="1"/>
  <c r="BY117" i="1"/>
  <c r="CJ154" i="3"/>
  <c r="CK30" i="3"/>
  <c r="CK187" i="3" s="1"/>
  <c r="AI124" i="3"/>
  <c r="AE124" i="3"/>
  <c r="AE126" i="3" s="1"/>
  <c r="AI126" i="3" s="1"/>
  <c r="K52" i="4"/>
  <c r="K54" i="4" s="1"/>
  <c r="I55" i="4"/>
  <c r="BS77" i="3"/>
  <c r="T76" i="4"/>
  <c r="T72" i="4"/>
  <c r="U68" i="4" s="1"/>
  <c r="T78" i="4"/>
  <c r="T77" i="4"/>
  <c r="BS79" i="3"/>
  <c r="BS60" i="4"/>
  <c r="AC68" i="4"/>
  <c r="Y68" i="4"/>
  <c r="AZ80" i="3"/>
  <c r="AZ61" i="4"/>
  <c r="BQ61" i="4"/>
  <c r="BQ80" i="3"/>
  <c r="CK19" i="3"/>
  <c r="CJ147" i="3"/>
  <c r="AU95" i="1"/>
  <c r="AU96" i="1" s="1"/>
  <c r="AU23" i="1"/>
  <c r="CH150" i="7"/>
  <c r="CH148" i="7"/>
  <c r="AO117" i="3"/>
  <c r="AK117" i="3"/>
  <c r="AO80" i="3"/>
  <c r="AO61" i="4"/>
  <c r="BO117" i="1"/>
  <c r="BO32" i="1"/>
  <c r="BF172" i="3"/>
  <c r="BF30" i="1"/>
  <c r="BF58" i="1"/>
  <c r="G90" i="3"/>
  <c r="G93" i="3" s="1"/>
  <c r="G170" i="3"/>
  <c r="G36" i="1"/>
  <c r="AC140" i="3"/>
  <c r="AC141" i="3" s="1"/>
  <c r="AC142" i="3" s="1"/>
  <c r="AC136" i="3" s="1"/>
  <c r="BJ128" i="1"/>
  <c r="BJ126" i="1"/>
  <c r="M117" i="1"/>
  <c r="M32" i="1"/>
  <c r="BD111" i="1"/>
  <c r="BD109" i="1"/>
  <c r="BD103" i="1"/>
  <c r="BD110" i="1" s="1"/>
  <c r="Y71" i="1"/>
  <c r="Y37" i="1"/>
  <c r="Y59" i="1"/>
  <c r="Y34" i="1"/>
  <c r="Y108" i="1"/>
  <c r="Y163" i="3"/>
  <c r="Y55" i="3"/>
  <c r="BU108" i="1"/>
  <c r="BU37" i="1"/>
  <c r="BU59" i="1"/>
  <c r="BU34" i="1"/>
  <c r="BU63" i="4" s="1"/>
  <c r="BU163" i="3"/>
  <c r="BU55" i="3"/>
  <c r="CA71" i="1"/>
  <c r="CM85" i="4"/>
  <c r="CM41" i="1"/>
  <c r="BF140" i="3"/>
  <c r="BF141" i="3" s="1"/>
  <c r="BF142" i="3" s="1"/>
  <c r="BF136" i="3" s="1"/>
  <c r="BJ37" i="1"/>
  <c r="BJ55" i="3"/>
  <c r="BJ163" i="3"/>
  <c r="BJ59" i="1"/>
  <c r="BJ108" i="1"/>
  <c r="BJ71" i="1"/>
  <c r="BJ34" i="1"/>
  <c r="BJ63" i="4" s="1"/>
  <c r="BP71" i="1"/>
  <c r="BW108" i="1"/>
  <c r="BW59" i="1"/>
  <c r="BW163" i="3"/>
  <c r="BW34" i="1"/>
  <c r="BW63" i="4" s="1"/>
  <c r="BW37" i="1"/>
  <c r="BW71" i="1"/>
  <c r="BW55" i="3"/>
  <c r="AI80" i="3"/>
  <c r="AI61" i="4"/>
  <c r="AT140" i="3"/>
  <c r="AT141" i="3" s="1"/>
  <c r="AT142" i="3" s="1"/>
  <c r="AT136" i="3" s="1"/>
  <c r="BO121" i="1"/>
  <c r="BF33" i="7"/>
  <c r="BD33" i="7"/>
  <c r="BC33" i="7"/>
  <c r="BE33" i="7"/>
  <c r="G103" i="1"/>
  <c r="G110" i="1" s="1"/>
  <c r="G111" i="1"/>
  <c r="G109" i="1"/>
  <c r="BC59" i="1"/>
  <c r="BC34" i="1"/>
  <c r="BC63" i="4" s="1"/>
  <c r="BC108" i="1"/>
  <c r="BC163" i="3"/>
  <c r="BC71" i="1"/>
  <c r="BC37" i="1"/>
  <c r="BC55" i="3"/>
  <c r="AB32" i="1"/>
  <c r="AB117" i="1"/>
  <c r="V99" i="3"/>
  <c r="U110" i="3"/>
  <c r="U114" i="3"/>
  <c r="BD36" i="1"/>
  <c r="BD90" i="3"/>
  <c r="BD170" i="3"/>
  <c r="BI23" i="7"/>
  <c r="AT61" i="4"/>
  <c r="AT80" i="3"/>
  <c r="BE59" i="1"/>
  <c r="BE108" i="1"/>
  <c r="BE37" i="1"/>
  <c r="BE54" i="3"/>
  <c r="BE163" i="3"/>
  <c r="BE55" i="3"/>
  <c r="BK71" i="1"/>
  <c r="BE34" i="1"/>
  <c r="BE63" i="4" s="1"/>
  <c r="BE71" i="1"/>
  <c r="BO115" i="1"/>
  <c r="CC103" i="1"/>
  <c r="CC109" i="1"/>
  <c r="CC111" i="1"/>
  <c r="BU126" i="1"/>
  <c r="BU128" i="1"/>
  <c r="BM115" i="1"/>
  <c r="AY34" i="1"/>
  <c r="AY63" i="4" s="1"/>
  <c r="AY59" i="1"/>
  <c r="AY55" i="3"/>
  <c r="AY37" i="1"/>
  <c r="AY71" i="1"/>
  <c r="AY163" i="3"/>
  <c r="AY108" i="1"/>
  <c r="AT59" i="3"/>
  <c r="AT69" i="1"/>
  <c r="AT61" i="3"/>
  <c r="AT56" i="1"/>
  <c r="AT164" i="3"/>
  <c r="AZ69" i="1"/>
  <c r="AT97" i="1"/>
  <c r="AR32" i="1"/>
  <c r="AR64" i="4" s="1"/>
  <c r="AR117" i="1"/>
  <c r="AE163" i="3"/>
  <c r="AE71" i="1"/>
  <c r="AE108" i="1"/>
  <c r="AE59" i="1"/>
  <c r="AE34" i="1"/>
  <c r="AE63" i="4" s="1"/>
  <c r="AE37" i="1"/>
  <c r="AE55" i="3"/>
  <c r="BI117" i="1"/>
  <c r="BI32" i="1"/>
  <c r="BI64" i="4" s="1"/>
  <c r="I70" i="1"/>
  <c r="AS71" i="1"/>
  <c r="AS163" i="3"/>
  <c r="AS34" i="1"/>
  <c r="AS63" i="4" s="1"/>
  <c r="AS108" i="1"/>
  <c r="AS55" i="3"/>
  <c r="AS37" i="1"/>
  <c r="AS59" i="1"/>
  <c r="AQ117" i="1"/>
  <c r="AQ32" i="1"/>
  <c r="BS28" i="1"/>
  <c r="BS60" i="3"/>
  <c r="BS138" i="3"/>
  <c r="BY68" i="1"/>
  <c r="BS165" i="3"/>
  <c r="BY54" i="1"/>
  <c r="BS54" i="1"/>
  <c r="BS68" i="1"/>
  <c r="BS136" i="7"/>
  <c r="BS53" i="1"/>
  <c r="BS24" i="1"/>
  <c r="AC30" i="1"/>
  <c r="AC58" i="1"/>
  <c r="AC172" i="3"/>
  <c r="BR59" i="3"/>
  <c r="BR56" i="1"/>
  <c r="BR164" i="3"/>
  <c r="BR97" i="1"/>
  <c r="BR69" i="1"/>
  <c r="BX69" i="1"/>
  <c r="BW126" i="1"/>
  <c r="BW128" i="1"/>
  <c r="Z117" i="1"/>
  <c r="Z32" i="1"/>
  <c r="CJ86" i="4"/>
  <c r="BF61" i="3"/>
  <c r="BF56" i="1"/>
  <c r="BF59" i="3"/>
  <c r="BF164" i="3"/>
  <c r="BF69" i="1"/>
  <c r="BL69" i="1"/>
  <c r="BF97" i="1"/>
  <c r="CC36" i="1"/>
  <c r="BI121" i="1"/>
  <c r="AU53" i="1"/>
  <c r="AU24" i="1"/>
  <c r="AU165" i="3"/>
  <c r="AU136" i="7"/>
  <c r="AU28" i="1"/>
  <c r="AU60" i="3"/>
  <c r="AU68" i="1"/>
  <c r="AU54" i="1"/>
  <c r="AU138" i="3"/>
  <c r="BA54" i="1"/>
  <c r="BA68" i="1"/>
  <c r="AK108" i="1"/>
  <c r="AK59" i="1"/>
  <c r="AK37" i="1"/>
  <c r="AK71" i="1"/>
  <c r="AK34" i="1"/>
  <c r="AK63" i="4" s="1"/>
  <c r="AK163" i="3"/>
  <c r="AK55" i="3"/>
  <c r="U103" i="1"/>
  <c r="U110" i="1" s="1"/>
  <c r="U109" i="1"/>
  <c r="U111" i="1"/>
  <c r="AT58" i="1"/>
  <c r="AT30" i="1"/>
  <c r="AT172" i="3"/>
  <c r="I170" i="3"/>
  <c r="I36" i="1"/>
  <c r="I90" i="3"/>
  <c r="I93" i="3" s="1"/>
  <c r="I111" i="1"/>
  <c r="I103" i="1"/>
  <c r="I110" i="1" s="1"/>
  <c r="I109" i="1"/>
  <c r="BG28" i="1"/>
  <c r="BG53" i="1"/>
  <c r="BG60" i="3"/>
  <c r="BG138" i="3"/>
  <c r="BG136" i="7"/>
  <c r="BG180" i="3"/>
  <c r="BG181" i="3" s="1"/>
  <c r="BG182" i="3" s="1"/>
  <c r="BG54" i="1"/>
  <c r="BG165" i="3"/>
  <c r="BG68" i="1"/>
  <c r="BG24" i="1"/>
  <c r="BM54" i="1"/>
  <c r="BM68" i="1"/>
  <c r="BV9" i="9"/>
  <c r="AN163" i="3"/>
  <c r="AN59" i="1"/>
  <c r="AN37" i="1"/>
  <c r="AN108" i="1"/>
  <c r="AN34" i="1"/>
  <c r="AN63" i="4" s="1"/>
  <c r="AN55" i="3"/>
  <c r="AC97" i="1"/>
  <c r="AC59" i="3"/>
  <c r="AC164" i="3"/>
  <c r="AC56" i="1"/>
  <c r="AC69" i="1"/>
  <c r="BR58" i="1"/>
  <c r="BR172" i="3"/>
  <c r="BR30" i="1"/>
  <c r="AG163" i="3"/>
  <c r="AG37" i="1"/>
  <c r="AG34" i="1"/>
  <c r="AG63" i="4" s="1"/>
  <c r="AG59" i="1"/>
  <c r="AG55" i="3"/>
  <c r="AG71" i="1"/>
  <c r="AG108" i="1"/>
  <c r="AM71" i="1"/>
  <c r="V108" i="1"/>
  <c r="V34" i="1"/>
  <c r="V59" i="1"/>
  <c r="V37" i="1"/>
  <c r="V163" i="3"/>
  <c r="V55" i="3"/>
  <c r="AW108" i="1"/>
  <c r="AW37" i="1"/>
  <c r="AW55" i="3"/>
  <c r="AW163" i="3"/>
  <c r="AW59" i="1"/>
  <c r="AW34" i="1"/>
  <c r="AW63" i="4" s="1"/>
  <c r="AU61" i="4" l="1"/>
  <c r="AU80" i="3"/>
  <c r="AN71" i="1"/>
  <c r="AH64" i="4"/>
  <c r="AW71" i="1"/>
  <c r="AQ64" i="4"/>
  <c r="BU71" i="1"/>
  <c r="BO64" i="4"/>
  <c r="AU62" i="4"/>
  <c r="U170" i="3"/>
  <c r="CA129" i="1"/>
  <c r="CB55" i="1"/>
  <c r="CB129" i="1"/>
  <c r="BQ67" i="1"/>
  <c r="BQ129" i="1"/>
  <c r="CB67" i="1"/>
  <c r="BP67" i="1"/>
  <c r="BK103" i="1"/>
  <c r="BK110" i="1" s="1"/>
  <c r="BV37" i="7"/>
  <c r="BV35" i="7" s="1"/>
  <c r="BV34" i="7" s="1"/>
  <c r="BV32" i="7" s="1"/>
  <c r="AM49" i="36" s="1"/>
  <c r="BP129" i="1"/>
  <c r="AU180" i="3"/>
  <c r="AU181" i="3" s="1"/>
  <c r="AU182" i="3" s="1"/>
  <c r="BM139" i="3"/>
  <c r="BM140" i="3" s="1"/>
  <c r="BM141" i="3" s="1"/>
  <c r="BM142" i="3" s="1"/>
  <c r="BM136" i="3" s="1"/>
  <c r="BM179" i="3"/>
  <c r="BM180" i="3" s="1"/>
  <c r="BM181" i="3" s="1"/>
  <c r="BM182" i="3" s="1"/>
  <c r="BO139" i="3"/>
  <c r="BO140" i="3" s="1"/>
  <c r="BO141" i="3" s="1"/>
  <c r="BO142" i="3" s="1"/>
  <c r="BO136" i="3" s="1"/>
  <c r="BO179" i="3"/>
  <c r="BO180" i="3" s="1"/>
  <c r="BO181" i="3" s="1"/>
  <c r="BO182" i="3" s="1"/>
  <c r="BY139" i="3"/>
  <c r="BY140" i="3" s="1"/>
  <c r="BY141" i="3" s="1"/>
  <c r="BY142" i="3" s="1"/>
  <c r="BY136" i="3" s="1"/>
  <c r="BY179" i="3"/>
  <c r="BY180" i="3" s="1"/>
  <c r="BY181" i="3" s="1"/>
  <c r="BY182" i="3" s="1"/>
  <c r="BL139" i="3"/>
  <c r="BL140" i="3" s="1"/>
  <c r="BL141" i="3" s="1"/>
  <c r="BL142" i="3" s="1"/>
  <c r="BL136" i="3" s="1"/>
  <c r="BL179" i="3"/>
  <c r="BL180" i="3" s="1"/>
  <c r="BL181" i="3" s="1"/>
  <c r="BL182" i="3" s="1"/>
  <c r="BX139" i="3"/>
  <c r="BX140" i="3" s="1"/>
  <c r="BX141" i="3" s="1"/>
  <c r="BX142" i="3" s="1"/>
  <c r="BX136" i="3" s="1"/>
  <c r="BX179" i="3"/>
  <c r="BX180" i="3" s="1"/>
  <c r="BX181" i="3" s="1"/>
  <c r="BX182" i="3" s="1"/>
  <c r="CP41" i="3"/>
  <c r="CO190" i="3"/>
  <c r="CP32" i="3"/>
  <c r="CO191" i="3"/>
  <c r="AG88" i="36"/>
  <c r="U10" i="4"/>
  <c r="W117" i="1"/>
  <c r="U36" i="1"/>
  <c r="AI117" i="1"/>
  <c r="BK90" i="3"/>
  <c r="CA67" i="1"/>
  <c r="BM121" i="1"/>
  <c r="AZ42" i="8"/>
  <c r="AT42" i="8"/>
  <c r="AO42" i="8"/>
  <c r="BF42" i="8"/>
  <c r="BP55" i="1"/>
  <c r="BR125" i="1"/>
  <c r="BV67" i="1"/>
  <c r="BU67" i="1"/>
  <c r="BJ129" i="1"/>
  <c r="BW67" i="1"/>
  <c r="AA70" i="1"/>
  <c r="BQ70" i="1"/>
  <c r="BK36" i="1"/>
  <c r="Y88" i="36"/>
  <c r="BS120" i="1"/>
  <c r="BY121" i="1" s="1"/>
  <c r="BK170" i="3"/>
  <c r="BV55" i="1"/>
  <c r="BW55" i="1"/>
  <c r="BU55" i="1"/>
  <c r="BA32" i="1"/>
  <c r="CA109" i="1"/>
  <c r="CA103" i="1"/>
  <c r="CA110" i="1" s="1"/>
  <c r="CA90" i="3"/>
  <c r="BQ36" i="1"/>
  <c r="BQ111" i="1"/>
  <c r="BM125" i="1"/>
  <c r="BQ109" i="1"/>
  <c r="CA36" i="1"/>
  <c r="CA170" i="3"/>
  <c r="AH49" i="36"/>
  <c r="AV33" i="36"/>
  <c r="BY125" i="1"/>
  <c r="AO32" i="1"/>
  <c r="BX67" i="1"/>
  <c r="AX103" i="1"/>
  <c r="AX110" i="1" s="1"/>
  <c r="AX170" i="3"/>
  <c r="AX109" i="1"/>
  <c r="BQ170" i="3"/>
  <c r="BQ90" i="3"/>
  <c r="BM117" i="1"/>
  <c r="Q70" i="1"/>
  <c r="BX129" i="1"/>
  <c r="Z23" i="36"/>
  <c r="AX36" i="1"/>
  <c r="AX90" i="3"/>
  <c r="BD70" i="1"/>
  <c r="AF40" i="36"/>
  <c r="AJ49" i="36"/>
  <c r="AE40" i="36"/>
  <c r="AI49" i="36"/>
  <c r="AE39" i="36"/>
  <c r="AI48" i="36"/>
  <c r="BW23" i="7"/>
  <c r="BW24" i="7" s="1"/>
  <c r="AF39" i="36"/>
  <c r="BO25" i="7"/>
  <c r="BO26" i="7" s="1"/>
  <c r="BO30" i="7" s="1"/>
  <c r="BO9" i="8" s="1"/>
  <c r="Z39" i="36"/>
  <c r="BI32" i="7"/>
  <c r="BI40" i="7" s="1"/>
  <c r="AD40" i="36"/>
  <c r="BP34" i="7"/>
  <c r="BP35" i="7" s="1"/>
  <c r="AA40" i="36"/>
  <c r="AI23" i="36"/>
  <c r="AM23" i="36"/>
  <c r="AI22" i="36"/>
  <c r="AM22" i="36"/>
  <c r="AE22" i="36"/>
  <c r="BU155" i="7"/>
  <c r="AH11" i="36" s="1"/>
  <c r="AD12" i="36"/>
  <c r="AD23" i="36" s="1"/>
  <c r="AH12" i="36"/>
  <c r="AH312" i="7"/>
  <c r="BK23" i="7"/>
  <c r="BE23" i="7" s="1"/>
  <c r="BO40" i="7"/>
  <c r="BO41" i="7" s="1"/>
  <c r="BU37" i="7"/>
  <c r="BU35" i="7" s="1"/>
  <c r="BU34" i="7" s="1"/>
  <c r="BU32" i="7" s="1"/>
  <c r="CA32" i="7" s="1"/>
  <c r="AL103" i="1"/>
  <c r="AL110" i="1" s="1"/>
  <c r="AL111" i="1"/>
  <c r="AL109" i="1"/>
  <c r="AL63" i="4"/>
  <c r="AL170" i="3"/>
  <c r="AL36" i="1"/>
  <c r="AL90" i="3"/>
  <c r="BL126" i="1"/>
  <c r="BL128" i="1"/>
  <c r="BL34" i="1"/>
  <c r="BL163" i="3"/>
  <c r="BL55" i="3"/>
  <c r="BL59" i="1"/>
  <c r="BL108" i="1"/>
  <c r="BL37" i="1"/>
  <c r="BR32" i="7"/>
  <c r="BR33" i="7" s="1"/>
  <c r="BR23" i="7"/>
  <c r="BR24" i="7" s="1"/>
  <c r="BG61" i="4"/>
  <c r="BP40" i="7"/>
  <c r="BV40" i="7" s="1"/>
  <c r="AM50" i="36" s="1"/>
  <c r="BJ23" i="7"/>
  <c r="BJ24" i="7" s="1"/>
  <c r="BS62" i="4"/>
  <c r="BY62" i="4"/>
  <c r="BG62" i="4"/>
  <c r="BM62" i="4"/>
  <c r="BQ40" i="7"/>
  <c r="AJ50" i="36" s="1"/>
  <c r="BO156" i="7"/>
  <c r="BU156" i="7"/>
  <c r="BW37" i="7"/>
  <c r="BW35" i="7" s="1"/>
  <c r="BW34" i="7" s="1"/>
  <c r="BW32" i="7" s="1"/>
  <c r="AN49" i="36" s="1"/>
  <c r="BK32" i="7"/>
  <c r="BQ37" i="7" s="1"/>
  <c r="AA170" i="3"/>
  <c r="AA36" i="1"/>
  <c r="AA10" i="4"/>
  <c r="AA90" i="3"/>
  <c r="AA103" i="1"/>
  <c r="AA110" i="1" s="1"/>
  <c r="AA111" i="1"/>
  <c r="AA109" i="1"/>
  <c r="O109" i="1"/>
  <c r="O103" i="1"/>
  <c r="O110" i="1" s="1"/>
  <c r="O111" i="1"/>
  <c r="O90" i="3"/>
  <c r="O93" i="3" s="1"/>
  <c r="O36" i="1"/>
  <c r="O170" i="3"/>
  <c r="AW156" i="7"/>
  <c r="AL70" i="1"/>
  <c r="S37" i="3"/>
  <c r="S93" i="3"/>
  <c r="AF90" i="3"/>
  <c r="AF170" i="3"/>
  <c r="AF36" i="1"/>
  <c r="C36" i="1"/>
  <c r="C170" i="3"/>
  <c r="AF103" i="1"/>
  <c r="AF110" i="1" s="1"/>
  <c r="AF109" i="1"/>
  <c r="AF111" i="1"/>
  <c r="C103" i="1"/>
  <c r="C110" i="1" s="1"/>
  <c r="C111" i="1"/>
  <c r="C109" i="1"/>
  <c r="S50" i="4"/>
  <c r="S77" i="3" s="1"/>
  <c r="S59" i="4"/>
  <c r="S78" i="3"/>
  <c r="CG151" i="7"/>
  <c r="CG144" i="7" s="1"/>
  <c r="CG149" i="7"/>
  <c r="CG142" i="7" s="1"/>
  <c r="AW157" i="7"/>
  <c r="BI158" i="7"/>
  <c r="BC158" i="7"/>
  <c r="BI155" i="7"/>
  <c r="Z11" i="36" s="1"/>
  <c r="Z22" i="36" s="1"/>
  <c r="BO155" i="7"/>
  <c r="AD11" i="36" s="1"/>
  <c r="BC157" i="7"/>
  <c r="BC156" i="7"/>
  <c r="BI157" i="7"/>
  <c r="BO157" i="7"/>
  <c r="BX90" i="3"/>
  <c r="BX170" i="3"/>
  <c r="BX36" i="1"/>
  <c r="BX111" i="1"/>
  <c r="BX109" i="1"/>
  <c r="BX103" i="1"/>
  <c r="BX110" i="1" s="1"/>
  <c r="BP111" i="1"/>
  <c r="BP103" i="1"/>
  <c r="BP110" i="1" s="1"/>
  <c r="BP109" i="1"/>
  <c r="BP90" i="3"/>
  <c r="BP170" i="3"/>
  <c r="BP36" i="1"/>
  <c r="CO73" i="4"/>
  <c r="CN74" i="4"/>
  <c r="CQ39" i="3"/>
  <c r="CS39" i="3" s="1"/>
  <c r="CP92" i="3"/>
  <c r="CQ92" i="3" s="1"/>
  <c r="BU14" i="9"/>
  <c r="AN41" i="8"/>
  <c r="AN36" i="8"/>
  <c r="AN77" i="7"/>
  <c r="AN79" i="7" s="1"/>
  <c r="AN82" i="7" s="1"/>
  <c r="W6" i="7"/>
  <c r="AC6" i="7" s="1"/>
  <c r="AI6" i="7" s="1"/>
  <c r="AO6" i="7" s="1"/>
  <c r="AU6" i="7" s="1"/>
  <c r="BA6" i="7" s="1"/>
  <c r="BG6" i="7" s="1"/>
  <c r="BM6" i="7" s="1"/>
  <c r="BS6" i="7" s="1"/>
  <c r="BY6" i="7" s="1"/>
  <c r="CE6" i="7" s="1"/>
  <c r="CK6" i="7" s="1"/>
  <c r="CQ6" i="7" s="1"/>
  <c r="CW6" i="7" s="1"/>
  <c r="DC6" i="7" s="1"/>
  <c r="DI6" i="7" s="1"/>
  <c r="Q235" i="7"/>
  <c r="BV111" i="1"/>
  <c r="BV109" i="1"/>
  <c r="BV103" i="1"/>
  <c r="BV110" i="1" s="1"/>
  <c r="BV170" i="3"/>
  <c r="BV90" i="3"/>
  <c r="BV36" i="1"/>
  <c r="BV70" i="1"/>
  <c r="BV129" i="1"/>
  <c r="K103" i="1"/>
  <c r="K110" i="1" s="1"/>
  <c r="K111" i="1"/>
  <c r="K109" i="1"/>
  <c r="AH108" i="1"/>
  <c r="AH34" i="1"/>
  <c r="AH63" i="4" s="1"/>
  <c r="AH55" i="3"/>
  <c r="AH163" i="3"/>
  <c r="AH59" i="1"/>
  <c r="AH37" i="1"/>
  <c r="AN70" i="1" s="1"/>
  <c r="K90" i="3"/>
  <c r="K93" i="3" s="1"/>
  <c r="K170" i="3"/>
  <c r="K36" i="1"/>
  <c r="Q90" i="3"/>
  <c r="Q93" i="3" s="1"/>
  <c r="Q170" i="3"/>
  <c r="Q36" i="1"/>
  <c r="T109" i="1"/>
  <c r="T103" i="1"/>
  <c r="T110" i="1" s="1"/>
  <c r="T111" i="1"/>
  <c r="AZ34" i="1"/>
  <c r="AZ63" i="4" s="1"/>
  <c r="AZ37" i="1"/>
  <c r="AZ59" i="1"/>
  <c r="AZ55" i="3"/>
  <c r="AZ163" i="3"/>
  <c r="AZ108" i="1"/>
  <c r="Q111" i="1"/>
  <c r="Q109" i="1"/>
  <c r="Q103" i="1"/>
  <c r="Q110" i="1" s="1"/>
  <c r="BY55" i="3"/>
  <c r="BY34" i="1"/>
  <c r="BY63" i="4" s="1"/>
  <c r="BY108" i="1"/>
  <c r="BY37" i="1"/>
  <c r="BY163" i="3"/>
  <c r="BY59" i="1"/>
  <c r="T170" i="3"/>
  <c r="T36" i="1"/>
  <c r="T10" i="4"/>
  <c r="T90" i="3"/>
  <c r="T38" i="3"/>
  <c r="CM30" i="3"/>
  <c r="CM187" i="3" s="1"/>
  <c r="CK154" i="3"/>
  <c r="AI127" i="3"/>
  <c r="BS61" i="4"/>
  <c r="BS80" i="3"/>
  <c r="Y72" i="4"/>
  <c r="Z68" i="4" s="1"/>
  <c r="Y77" i="4"/>
  <c r="Y76" i="4"/>
  <c r="Y78" i="4"/>
  <c r="M52" i="4"/>
  <c r="M54" i="4" s="1"/>
  <c r="K55" i="4"/>
  <c r="CK147" i="3"/>
  <c r="CM19" i="3"/>
  <c r="AC72" i="4"/>
  <c r="AC78" i="4"/>
  <c r="AC76" i="4"/>
  <c r="AC77" i="4"/>
  <c r="U76" i="4"/>
  <c r="U72" i="4"/>
  <c r="V68" i="4" s="1"/>
  <c r="U77" i="4"/>
  <c r="U78" i="4"/>
  <c r="CI150" i="7"/>
  <c r="CI148" i="7"/>
  <c r="AN170" i="3"/>
  <c r="AN90" i="3"/>
  <c r="AN36" i="1"/>
  <c r="AK111" i="1"/>
  <c r="AK109" i="1"/>
  <c r="AK103" i="1"/>
  <c r="AK110" i="1" s="1"/>
  <c r="AU61" i="3"/>
  <c r="AU164" i="3"/>
  <c r="AU56" i="1"/>
  <c r="AU59" i="3"/>
  <c r="AU69" i="1"/>
  <c r="BA69" i="1"/>
  <c r="AU97" i="1"/>
  <c r="AC32" i="1"/>
  <c r="AC117" i="1"/>
  <c r="BI34" i="1"/>
  <c r="BI63" i="4" s="1"/>
  <c r="BI37" i="1"/>
  <c r="BI59" i="1"/>
  <c r="BI163" i="3"/>
  <c r="BI71" i="1"/>
  <c r="BI108" i="1"/>
  <c r="BI55" i="3"/>
  <c r="BE70" i="1"/>
  <c r="BK70" i="1"/>
  <c r="BC38" i="3"/>
  <c r="BC170" i="3"/>
  <c r="BC90" i="3"/>
  <c r="BC36" i="1"/>
  <c r="BW70" i="1"/>
  <c r="Y103" i="1"/>
  <c r="Y110" i="1" s="1"/>
  <c r="Y111" i="1"/>
  <c r="Y109" i="1"/>
  <c r="Y70" i="1"/>
  <c r="AG109" i="1"/>
  <c r="AG111" i="1"/>
  <c r="AG103" i="1"/>
  <c r="AG110" i="1" s="1"/>
  <c r="AG90" i="3"/>
  <c r="AG170" i="3"/>
  <c r="AG36" i="1"/>
  <c r="BR117" i="1"/>
  <c r="BR32" i="1"/>
  <c r="BR64" i="4" s="1"/>
  <c r="BR115" i="1"/>
  <c r="BW9" i="9"/>
  <c r="AT117" i="1"/>
  <c r="AT32" i="1"/>
  <c r="AT64" i="4" s="1"/>
  <c r="AU140" i="3"/>
  <c r="AU141" i="3" s="1"/>
  <c r="AU142" i="3" s="1"/>
  <c r="AU136" i="3" s="1"/>
  <c r="AU30" i="1"/>
  <c r="AU172" i="3"/>
  <c r="AU58" i="1"/>
  <c r="CC26" i="4"/>
  <c r="CC78" i="3" s="1"/>
  <c r="AQ108" i="1"/>
  <c r="AQ55" i="3"/>
  <c r="AQ37" i="1"/>
  <c r="AW70" i="1" s="1"/>
  <c r="AQ163" i="3"/>
  <c r="AQ59" i="1"/>
  <c r="AQ71" i="1"/>
  <c r="AQ34" i="1"/>
  <c r="AQ63" i="4" s="1"/>
  <c r="AS70" i="1"/>
  <c r="AS109" i="1"/>
  <c r="AS103" i="1"/>
  <c r="AS110" i="1" s="1"/>
  <c r="AS111" i="1"/>
  <c r="AE109" i="1"/>
  <c r="AE111" i="1"/>
  <c r="AE103" i="1"/>
  <c r="AE110" i="1" s="1"/>
  <c r="AY111" i="1"/>
  <c r="AY103" i="1"/>
  <c r="AY110" i="1" s="1"/>
  <c r="AY109" i="1"/>
  <c r="AY70" i="1"/>
  <c r="AY90" i="3"/>
  <c r="AY170" i="3"/>
  <c r="AY36" i="1"/>
  <c r="CC110" i="1"/>
  <c r="BJ170" i="3"/>
  <c r="BJ90" i="3"/>
  <c r="BJ36" i="1"/>
  <c r="CN85" i="4"/>
  <c r="CN41" i="1"/>
  <c r="BU170" i="3"/>
  <c r="BU90" i="3"/>
  <c r="BU36" i="1"/>
  <c r="BM34" i="1"/>
  <c r="BM63" i="4" s="1"/>
  <c r="BM59" i="1"/>
  <c r="BM108" i="1"/>
  <c r="BM163" i="3"/>
  <c r="BM37" i="1"/>
  <c r="BM55" i="3"/>
  <c r="CC70" i="1"/>
  <c r="W37" i="1"/>
  <c r="W70" i="1" s="1"/>
  <c r="W59" i="1"/>
  <c r="W71" i="1"/>
  <c r="W54" i="3"/>
  <c r="W108" i="1"/>
  <c r="W34" i="1"/>
  <c r="W63" i="4" s="1"/>
  <c r="W163" i="3"/>
  <c r="W55" i="3"/>
  <c r="AW90" i="3"/>
  <c r="AW38" i="3"/>
  <c r="AW170" i="3"/>
  <c r="AW36" i="1"/>
  <c r="AG70" i="1"/>
  <c r="AM70" i="1"/>
  <c r="BG140" i="3"/>
  <c r="BG141" i="3" s="1"/>
  <c r="BG142" i="3" s="1"/>
  <c r="BG136" i="3" s="1"/>
  <c r="BI128" i="1"/>
  <c r="BI126" i="1"/>
  <c r="BW129" i="1"/>
  <c r="AS170" i="3"/>
  <c r="AS36" i="1"/>
  <c r="AS90" i="3"/>
  <c r="BO128" i="1"/>
  <c r="BO126" i="1"/>
  <c r="BF117" i="1"/>
  <c r="BF32" i="1"/>
  <c r="BF64" i="4" s="1"/>
  <c r="AN109" i="1"/>
  <c r="AN103" i="1"/>
  <c r="AN110" i="1" s="1"/>
  <c r="AN111" i="1"/>
  <c r="BG30" i="1"/>
  <c r="BG172" i="3"/>
  <c r="BG58" i="1"/>
  <c r="AK70" i="1"/>
  <c r="Z163" i="3"/>
  <c r="Z108" i="1"/>
  <c r="Z34" i="1"/>
  <c r="Z55" i="3"/>
  <c r="Z37" i="1"/>
  <c r="Z59" i="1"/>
  <c r="Z71" i="1"/>
  <c r="AF71" i="1"/>
  <c r="BS58" i="1"/>
  <c r="BS172" i="3"/>
  <c r="BS30" i="1"/>
  <c r="AE90" i="3"/>
  <c r="AE170" i="3"/>
  <c r="AE38" i="3"/>
  <c r="AE36" i="1"/>
  <c r="BE111" i="1"/>
  <c r="BE109" i="1"/>
  <c r="BE103" i="1"/>
  <c r="BE110" i="1" s="1"/>
  <c r="V103" i="3"/>
  <c r="W103" i="3" s="1"/>
  <c r="W104" i="3" s="1"/>
  <c r="V108" i="3"/>
  <c r="BW90" i="3"/>
  <c r="BW170" i="3"/>
  <c r="BW36" i="1"/>
  <c r="BJ109" i="1"/>
  <c r="BJ111" i="1"/>
  <c r="BJ103" i="1"/>
  <c r="BJ110" i="1" s="1"/>
  <c r="CA70" i="1"/>
  <c r="AK120" i="3"/>
  <c r="AK121" i="3"/>
  <c r="AO121" i="3" s="1"/>
  <c r="AO122" i="3" s="1"/>
  <c r="AE70" i="1"/>
  <c r="AR55" i="3"/>
  <c r="AR37" i="1"/>
  <c r="AR34" i="1"/>
  <c r="AR63" i="4" s="1"/>
  <c r="AR108" i="1"/>
  <c r="AR59" i="1"/>
  <c r="AR163" i="3"/>
  <c r="AR71" i="1"/>
  <c r="AX71" i="1"/>
  <c r="U109" i="3"/>
  <c r="V106" i="3"/>
  <c r="V109" i="3" s="1"/>
  <c r="U115" i="3"/>
  <c r="BJ70" i="1"/>
  <c r="BP70" i="1"/>
  <c r="AW103" i="1"/>
  <c r="AW110" i="1" s="1"/>
  <c r="AW109" i="1"/>
  <c r="AW111" i="1"/>
  <c r="V90" i="3"/>
  <c r="V170" i="3"/>
  <c r="V10" i="4"/>
  <c r="V36" i="1"/>
  <c r="BP37" i="7"/>
  <c r="V111" i="1"/>
  <c r="V103" i="1"/>
  <c r="V110" i="1" s="1"/>
  <c r="V109" i="1"/>
  <c r="BG56" i="1"/>
  <c r="BG164" i="3"/>
  <c r="BG61" i="3"/>
  <c r="BG69" i="1"/>
  <c r="BG59" i="3"/>
  <c r="BG97" i="1"/>
  <c r="BM69" i="1"/>
  <c r="AK90" i="3"/>
  <c r="AK170" i="3"/>
  <c r="AK38" i="3"/>
  <c r="AK36" i="1"/>
  <c r="BS56" i="1"/>
  <c r="BS59" i="3"/>
  <c r="BS164" i="3"/>
  <c r="BS69" i="1"/>
  <c r="BS97" i="1"/>
  <c r="BY69" i="1"/>
  <c r="BU129" i="1"/>
  <c r="BE170" i="3"/>
  <c r="BE90" i="3"/>
  <c r="BE93" i="3" s="1"/>
  <c r="BE36" i="1"/>
  <c r="BI24" i="7"/>
  <c r="BC23" i="7"/>
  <c r="AB34" i="1"/>
  <c r="AH71" i="1"/>
  <c r="AB163" i="3"/>
  <c r="AB37" i="1"/>
  <c r="AB108" i="1"/>
  <c r="AB71" i="1"/>
  <c r="AB55" i="3"/>
  <c r="AB59" i="1"/>
  <c r="BC70" i="1"/>
  <c r="BC103" i="1"/>
  <c r="BC110" i="1" s="1"/>
  <c r="BC109" i="1"/>
  <c r="BC111" i="1"/>
  <c r="BW111" i="1"/>
  <c r="BW109" i="1"/>
  <c r="BW103" i="1"/>
  <c r="BW110" i="1" s="1"/>
  <c r="CM83" i="4"/>
  <c r="CM86" i="4"/>
  <c r="BU103" i="1"/>
  <c r="BU111" i="1"/>
  <c r="BU109" i="1"/>
  <c r="Y38" i="3"/>
  <c r="Y170" i="3"/>
  <c r="Y10" i="4"/>
  <c r="Y36" i="1"/>
  <c r="Y90" i="3"/>
  <c r="M163" i="3"/>
  <c r="M37" i="1"/>
  <c r="M34" i="1"/>
  <c r="M54" i="3"/>
  <c r="M55" i="3"/>
  <c r="M59" i="1"/>
  <c r="M108" i="1"/>
  <c r="M71" i="1"/>
  <c r="O71" i="1"/>
  <c r="BX126" i="1"/>
  <c r="BR121" i="1"/>
  <c r="BX121" i="1"/>
  <c r="G88" i="3"/>
  <c r="G94" i="3" s="1"/>
  <c r="E95" i="3"/>
  <c r="BO108" i="1"/>
  <c r="BO37" i="1"/>
  <c r="BU70" i="1" s="1"/>
  <c r="BO163" i="3"/>
  <c r="BO71" i="1"/>
  <c r="BO55" i="3"/>
  <c r="BO34" i="1"/>
  <c r="BO63" i="4" s="1"/>
  <c r="BO59" i="1"/>
  <c r="AI34" i="1"/>
  <c r="AI63" i="4" s="1"/>
  <c r="AI59" i="1"/>
  <c r="AI37" i="1"/>
  <c r="AI108" i="1"/>
  <c r="AI163" i="3"/>
  <c r="AI54" i="3"/>
  <c r="AI55" i="3"/>
  <c r="AO120" i="3"/>
  <c r="AI71" i="1" l="1"/>
  <c r="AC64" i="4"/>
  <c r="AO163" i="3"/>
  <c r="AO64" i="4"/>
  <c r="BA64" i="4"/>
  <c r="S63" i="4"/>
  <c r="S64" i="4"/>
  <c r="AD6" i="36"/>
  <c r="BO15" i="8"/>
  <c r="AO54" i="3"/>
  <c r="BV33" i="7"/>
  <c r="CB32" i="7"/>
  <c r="AQ49" i="36" s="1"/>
  <c r="AM60" i="36"/>
  <c r="AI40" i="36"/>
  <c r="CC23" i="7"/>
  <c r="CI28" i="7" s="1"/>
  <c r="BR139" i="3"/>
  <c r="BR140" i="3" s="1"/>
  <c r="BR141" i="3" s="1"/>
  <c r="BR142" i="3" s="1"/>
  <c r="BR136" i="3" s="1"/>
  <c r="BR179" i="3"/>
  <c r="BR180" i="3" s="1"/>
  <c r="BR181" i="3" s="1"/>
  <c r="BR182" i="3" s="1"/>
  <c r="CQ41" i="3"/>
  <c r="CP190" i="3"/>
  <c r="CQ32" i="3"/>
  <c r="CP191" i="3"/>
  <c r="AN42" i="8"/>
  <c r="BY128" i="1"/>
  <c r="BY67" i="1" s="1"/>
  <c r="BO55" i="1"/>
  <c r="BS125" i="1"/>
  <c r="BI129" i="1"/>
  <c r="BL129" i="1"/>
  <c r="BC32" i="7"/>
  <c r="V40" i="36" s="1"/>
  <c r="BS121" i="1"/>
  <c r="BA108" i="1"/>
  <c r="BA103" i="1" s="1"/>
  <c r="BA110" i="1" s="1"/>
  <c r="AO34" i="1"/>
  <c r="AO63" i="4" s="1"/>
  <c r="BA55" i="3"/>
  <c r="BX55" i="1"/>
  <c r="AO55" i="3"/>
  <c r="AO59" i="1"/>
  <c r="AO37" i="1"/>
  <c r="AO71" i="1"/>
  <c r="AO108" i="1"/>
  <c r="AO109" i="1" s="1"/>
  <c r="BA34" i="1"/>
  <c r="BA63" i="4" s="1"/>
  <c r="BA59" i="1"/>
  <c r="BA54" i="3"/>
  <c r="BA163" i="3"/>
  <c r="BA37" i="1"/>
  <c r="BP38" i="7"/>
  <c r="BP10" i="8" s="1"/>
  <c r="BV20" i="8" s="1"/>
  <c r="DZ21" i="8" s="1"/>
  <c r="BK40" i="7"/>
  <c r="BK41" i="7" s="1"/>
  <c r="BU33" i="7"/>
  <c r="BQ1" i="7"/>
  <c r="BQ2" i="7"/>
  <c r="BW2" i="7"/>
  <c r="AH50" i="36"/>
  <c r="BE32" i="7"/>
  <c r="BK34" i="7" s="1"/>
  <c r="BK35" i="7" s="1"/>
  <c r="BK38" i="7" s="1"/>
  <c r="BK10" i="8" s="1"/>
  <c r="BL32" i="7"/>
  <c r="BF32" i="7" s="1"/>
  <c r="BP41" i="7"/>
  <c r="BK24" i="7"/>
  <c r="BM128" i="1"/>
  <c r="DU9" i="8"/>
  <c r="BO129" i="1"/>
  <c r="BO67" i="1"/>
  <c r="BY126" i="1"/>
  <c r="AQ60" i="36"/>
  <c r="AN60" i="36"/>
  <c r="AD48" i="36"/>
  <c r="AL40" i="36"/>
  <c r="AP49" i="36"/>
  <c r="AI41" i="36"/>
  <c r="AE41" i="36"/>
  <c r="AI50" i="36"/>
  <c r="AM62" i="36" s="1"/>
  <c r="AH40" i="36"/>
  <c r="AL49" i="36"/>
  <c r="AL60" i="36" s="1"/>
  <c r="AM61" i="36" s="1"/>
  <c r="AJ39" i="36"/>
  <c r="AN48" i="36"/>
  <c r="BO42" i="7"/>
  <c r="BO43" i="7" s="1"/>
  <c r="BO46" i="7" s="1"/>
  <c r="BO11" i="8" s="1"/>
  <c r="AD8" i="36" s="1"/>
  <c r="Z41" i="36"/>
  <c r="BK25" i="7"/>
  <c r="BK26" i="7" s="1"/>
  <c r="BK30" i="7" s="1"/>
  <c r="BK9" i="8" s="1"/>
  <c r="X39" i="36"/>
  <c r="BQ34" i="7"/>
  <c r="BQ35" i="7" s="1"/>
  <c r="BQ38" i="7" s="1"/>
  <c r="BQ10" i="8" s="1"/>
  <c r="AB40" i="36"/>
  <c r="BX36" i="7"/>
  <c r="AG40" i="36"/>
  <c r="BQ25" i="7"/>
  <c r="BQ26" i="7" s="1"/>
  <c r="BQ30" i="7" s="1"/>
  <c r="BQ9" i="8" s="1"/>
  <c r="AB39" i="36"/>
  <c r="BI25" i="7"/>
  <c r="BI26" i="7" s="1"/>
  <c r="BI30" i="7" s="1"/>
  <c r="BI9" i="8" s="1"/>
  <c r="V39" i="36"/>
  <c r="CC32" i="7"/>
  <c r="AR49" i="36" s="1"/>
  <c r="AJ40" i="36"/>
  <c r="BQ41" i="7"/>
  <c r="AF41" i="36"/>
  <c r="BP25" i="7"/>
  <c r="BP26" i="7" s="1"/>
  <c r="BP30" i="7" s="1"/>
  <c r="BP9" i="8" s="1"/>
  <c r="AA39" i="36"/>
  <c r="BS28" i="7"/>
  <c r="BS30" i="7" s="1"/>
  <c r="BS9" i="8" s="1"/>
  <c r="AG39" i="36"/>
  <c r="BU40" i="7"/>
  <c r="BU41" i="7" s="1"/>
  <c r="AD41" i="36"/>
  <c r="BO34" i="7"/>
  <c r="BO35" i="7" s="1"/>
  <c r="BO38" i="7" s="1"/>
  <c r="BO10" i="8" s="1"/>
  <c r="Z40" i="36"/>
  <c r="BL23" i="7"/>
  <c r="BR40" i="7"/>
  <c r="BR41" i="7" s="1"/>
  <c r="AD22" i="36"/>
  <c r="AH23" i="36"/>
  <c r="AL23" i="36"/>
  <c r="AH22" i="36"/>
  <c r="AL22" i="36"/>
  <c r="BJ40" i="7"/>
  <c r="BX27" i="7"/>
  <c r="BL63" i="4"/>
  <c r="BL170" i="3"/>
  <c r="BL36" i="1"/>
  <c r="BL90" i="3"/>
  <c r="BL103" i="1"/>
  <c r="BL110" i="1" s="1"/>
  <c r="BL111" i="1"/>
  <c r="BL109" i="1"/>
  <c r="CG37" i="7"/>
  <c r="CG35" i="7" s="1"/>
  <c r="BW40" i="7"/>
  <c r="BX37" i="7"/>
  <c r="BW33" i="7"/>
  <c r="BX32" i="7"/>
  <c r="AO49" i="36" s="1"/>
  <c r="S89" i="3"/>
  <c r="S40" i="3"/>
  <c r="S42" i="3" s="1"/>
  <c r="S79" i="3"/>
  <c r="S60" i="4"/>
  <c r="CH149" i="7"/>
  <c r="CH151" i="7"/>
  <c r="CS92" i="3"/>
  <c r="CT39" i="3"/>
  <c r="CP73" i="4"/>
  <c r="CQ73" i="4" s="1"/>
  <c r="CQ74" i="4" s="1"/>
  <c r="CO74" i="4"/>
  <c r="CI185" i="3"/>
  <c r="BV14" i="9"/>
  <c r="AH90" i="3"/>
  <c r="AI90" i="3" s="1"/>
  <c r="AH170" i="3"/>
  <c r="AH36" i="1"/>
  <c r="AH109" i="1"/>
  <c r="AH111" i="1"/>
  <c r="AH103" i="1"/>
  <c r="AH110" i="1" s="1"/>
  <c r="T93" i="3"/>
  <c r="T37" i="3"/>
  <c r="U38" i="3"/>
  <c r="AZ103" i="1"/>
  <c r="AZ110" i="1" s="1"/>
  <c r="AZ111" i="1"/>
  <c r="AZ109" i="1"/>
  <c r="AZ170" i="3"/>
  <c r="AZ36" i="1"/>
  <c r="AZ90" i="3"/>
  <c r="BA90" i="3" s="1"/>
  <c r="BY36" i="1"/>
  <c r="BY170" i="3"/>
  <c r="T19" i="4"/>
  <c r="U19" i="4" s="1"/>
  <c r="U26" i="4" s="1"/>
  <c r="U50" i="4" s="1"/>
  <c r="BY111" i="1"/>
  <c r="BY109" i="1"/>
  <c r="CM154" i="3"/>
  <c r="CN30" i="3"/>
  <c r="CN187" i="3" s="1"/>
  <c r="AK124" i="3"/>
  <c r="AK126" i="3" s="1"/>
  <c r="AO126" i="3" s="1"/>
  <c r="AO124" i="3"/>
  <c r="O52" i="4"/>
  <c r="O54" i="4" s="1"/>
  <c r="M55" i="4"/>
  <c r="Z72" i="4"/>
  <c r="AA68" i="4" s="1"/>
  <c r="Z78" i="4"/>
  <c r="Z76" i="4"/>
  <c r="Z77" i="4"/>
  <c r="V77" i="4"/>
  <c r="V78" i="4"/>
  <c r="V76" i="4"/>
  <c r="V72" i="4"/>
  <c r="AE68" i="4"/>
  <c r="AI68" i="4"/>
  <c r="CM147" i="3"/>
  <c r="CN19" i="3"/>
  <c r="CJ150" i="7"/>
  <c r="CJ148" i="7"/>
  <c r="BY90" i="3"/>
  <c r="W90" i="3"/>
  <c r="BO109" i="1"/>
  <c r="BO103" i="1"/>
  <c r="BO110" i="1" s="1"/>
  <c r="BO111" i="1"/>
  <c r="BR126" i="1"/>
  <c r="BR128" i="1"/>
  <c r="AQ117" i="3"/>
  <c r="AU117" i="3"/>
  <c r="AI170" i="3"/>
  <c r="AI36" i="1"/>
  <c r="BO170" i="3"/>
  <c r="BO90" i="3"/>
  <c r="BO36" i="1"/>
  <c r="AB90" i="3"/>
  <c r="AB36" i="1"/>
  <c r="AB170" i="3"/>
  <c r="AB10" i="4"/>
  <c r="BI41" i="7"/>
  <c r="BO70" i="1"/>
  <c r="M109" i="1"/>
  <c r="M111" i="1"/>
  <c r="M103" i="1"/>
  <c r="M110" i="1" s="1"/>
  <c r="M36" i="1"/>
  <c r="M170" i="3"/>
  <c r="M90" i="3"/>
  <c r="M93" i="3" s="1"/>
  <c r="Y19" i="4"/>
  <c r="AB70" i="1"/>
  <c r="AH70" i="1"/>
  <c r="BC24" i="7"/>
  <c r="AO90" i="3"/>
  <c r="AR111" i="1"/>
  <c r="AR109" i="1"/>
  <c r="AR103" i="1"/>
  <c r="AR110" i="1" s="1"/>
  <c r="AC99" i="3"/>
  <c r="W114" i="3"/>
  <c r="Y99" i="3"/>
  <c r="BG117" i="1"/>
  <c r="BG32" i="1"/>
  <c r="BG64" i="4" s="1"/>
  <c r="AW37" i="3"/>
  <c r="AX38" i="3"/>
  <c r="AW93" i="3"/>
  <c r="BM109" i="1"/>
  <c r="BM111" i="1"/>
  <c r="BM103" i="1"/>
  <c r="BM110" i="1" s="1"/>
  <c r="CN86" i="4"/>
  <c r="CN83" i="4"/>
  <c r="AQ70" i="1"/>
  <c r="CC59" i="4"/>
  <c r="CC64" i="4" s="1"/>
  <c r="BR163" i="3"/>
  <c r="BR34" i="1"/>
  <c r="BR63" i="4" s="1"/>
  <c r="BR37" i="1"/>
  <c r="BR71" i="1"/>
  <c r="BR108" i="1"/>
  <c r="BR59" i="1"/>
  <c r="BX71" i="1"/>
  <c r="BR55" i="3"/>
  <c r="BC37" i="3"/>
  <c r="BC93" i="3"/>
  <c r="BD93" i="3"/>
  <c r="CA33" i="7"/>
  <c r="AR170" i="3"/>
  <c r="AR36" i="1"/>
  <c r="AR90" i="3"/>
  <c r="CO41" i="1"/>
  <c r="CQ65" i="4"/>
  <c r="CQ41" i="1" s="1"/>
  <c r="CO85" i="4"/>
  <c r="AQ38" i="3"/>
  <c r="AQ36" i="1"/>
  <c r="AQ170" i="3"/>
  <c r="AQ90" i="3"/>
  <c r="BS126" i="1"/>
  <c r="AI111" i="1"/>
  <c r="AI103" i="1"/>
  <c r="AI110" i="1" s="1"/>
  <c r="AI109" i="1"/>
  <c r="BU110" i="1"/>
  <c r="BY103" i="1"/>
  <c r="BY110" i="1" s="1"/>
  <c r="AK37" i="3"/>
  <c r="AL38" i="3"/>
  <c r="AK93" i="3"/>
  <c r="W109" i="3"/>
  <c r="W110" i="3" s="1"/>
  <c r="Z70" i="1"/>
  <c r="AF70" i="1"/>
  <c r="BF37" i="1"/>
  <c r="BF34" i="1"/>
  <c r="BF63" i="4" s="1"/>
  <c r="BF108" i="1"/>
  <c r="BF59" i="1"/>
  <c r="BF55" i="3"/>
  <c r="BF163" i="3"/>
  <c r="BL71" i="1"/>
  <c r="BF71" i="1"/>
  <c r="W170" i="3"/>
  <c r="W36" i="1"/>
  <c r="BM170" i="3"/>
  <c r="BM36" i="1"/>
  <c r="AQ111" i="1"/>
  <c r="AQ109" i="1"/>
  <c r="AQ103" i="1"/>
  <c r="AQ110" i="1" s="1"/>
  <c r="AT108" i="1"/>
  <c r="AT37" i="1"/>
  <c r="AT55" i="3"/>
  <c r="AT34" i="1"/>
  <c r="AT63" i="4" s="1"/>
  <c r="AZ71" i="1"/>
  <c r="AT71" i="1"/>
  <c r="AT59" i="1"/>
  <c r="AT163" i="3"/>
  <c r="BX9" i="9"/>
  <c r="BI70" i="1"/>
  <c r="AC34" i="1"/>
  <c r="AC63" i="4" s="1"/>
  <c r="AC71" i="1"/>
  <c r="AC37" i="1"/>
  <c r="AI70" i="1" s="1"/>
  <c r="AC108" i="1"/>
  <c r="AC59" i="1"/>
  <c r="AC163" i="3"/>
  <c r="AC54" i="3"/>
  <c r="AC55" i="3"/>
  <c r="I88" i="3"/>
  <c r="I94" i="3" s="1"/>
  <c r="G95" i="3"/>
  <c r="M70" i="1"/>
  <c r="O70" i="1"/>
  <c r="Z170" i="3"/>
  <c r="Z90" i="3"/>
  <c r="Z36" i="1"/>
  <c r="Z10" i="4"/>
  <c r="BE24" i="7"/>
  <c r="AU117" i="1"/>
  <c r="AU32" i="1"/>
  <c r="AU64" i="4" s="1"/>
  <c r="Z38" i="3"/>
  <c r="Y37" i="3"/>
  <c r="Y93" i="3"/>
  <c r="AB103" i="1"/>
  <c r="AB110" i="1" s="1"/>
  <c r="AB111" i="1"/>
  <c r="AB109" i="1"/>
  <c r="AR70" i="1"/>
  <c r="AX70" i="1"/>
  <c r="AO111" i="1"/>
  <c r="AE93" i="3"/>
  <c r="AE37" i="3"/>
  <c r="AF38" i="3"/>
  <c r="BS32" i="1"/>
  <c r="BS64" i="4" s="1"/>
  <c r="BS117" i="1"/>
  <c r="BS115" i="1"/>
  <c r="Z109" i="1"/>
  <c r="Z103" i="1"/>
  <c r="Z110" i="1" s="1"/>
  <c r="Z111" i="1"/>
  <c r="BV23" i="7"/>
  <c r="AM48" i="36" s="1"/>
  <c r="AM58" i="36" s="1"/>
  <c r="BV41" i="7"/>
  <c r="CB45" i="7"/>
  <c r="CB43" i="7" s="1"/>
  <c r="CB42" i="7" s="1"/>
  <c r="CB40" i="7" s="1"/>
  <c r="W103" i="1"/>
  <c r="W110" i="1" s="1"/>
  <c r="W111" i="1"/>
  <c r="W109" i="1"/>
  <c r="BI103" i="1"/>
  <c r="BI110" i="1" s="1"/>
  <c r="BI111" i="1"/>
  <c r="BI109" i="1"/>
  <c r="BI90" i="3"/>
  <c r="BI36" i="1"/>
  <c r="BI170" i="3"/>
  <c r="AB6" i="36" l="1"/>
  <c r="AB17" i="36" s="1"/>
  <c r="BK15" i="8"/>
  <c r="BV19" i="8"/>
  <c r="DZ20" i="8" s="1"/>
  <c r="BP15" i="8"/>
  <c r="DW9" i="8"/>
  <c r="BQ15" i="8"/>
  <c r="BY19" i="8"/>
  <c r="BS15" i="8"/>
  <c r="Z6" i="36"/>
  <c r="Z17" i="36" s="1"/>
  <c r="BI15" i="8"/>
  <c r="CI26" i="7"/>
  <c r="CI25" i="7" s="1"/>
  <c r="CI23" i="7" s="1"/>
  <c r="AO36" i="1"/>
  <c r="CB33" i="7"/>
  <c r="AB41" i="36"/>
  <c r="AM40" i="36"/>
  <c r="AN39" i="36"/>
  <c r="BA109" i="1"/>
  <c r="BA111" i="1"/>
  <c r="AE49" i="36"/>
  <c r="AI60" i="36" s="1"/>
  <c r="AR48" i="36"/>
  <c r="AR58" i="36" s="1"/>
  <c r="BI34" i="7"/>
  <c r="BI35" i="7" s="1"/>
  <c r="BI38" i="7" s="1"/>
  <c r="BI10" i="8" s="1"/>
  <c r="Z7" i="36" s="1"/>
  <c r="Z18" i="36" s="1"/>
  <c r="BC40" i="7"/>
  <c r="BC41" i="7" s="1"/>
  <c r="BS139" i="3"/>
  <c r="BS140" i="3" s="1"/>
  <c r="BS141" i="3" s="1"/>
  <c r="BS142" i="3" s="1"/>
  <c r="BS136" i="3" s="1"/>
  <c r="BS179" i="3"/>
  <c r="BS180" i="3" s="1"/>
  <c r="BS181" i="3" s="1"/>
  <c r="BS182" i="3" s="1"/>
  <c r="CS41" i="3"/>
  <c r="CQ190" i="3"/>
  <c r="CS32" i="3"/>
  <c r="CQ191" i="3"/>
  <c r="BR37" i="7"/>
  <c r="BS37" i="7" s="1"/>
  <c r="BS38" i="7" s="1"/>
  <c r="BS10" i="8" s="1"/>
  <c r="BY20" i="8" s="1"/>
  <c r="BQ42" i="7"/>
  <c r="BQ43" i="7" s="1"/>
  <c r="BQ46" i="7" s="1"/>
  <c r="BQ11" i="8" s="1"/>
  <c r="BW21" i="8" s="1"/>
  <c r="EA22" i="8" s="1"/>
  <c r="BS128" i="1"/>
  <c r="AO70" i="1"/>
  <c r="BA170" i="3"/>
  <c r="BY129" i="1"/>
  <c r="BA36" i="1"/>
  <c r="BR55" i="1"/>
  <c r="BE40" i="7"/>
  <c r="BE41" i="7" s="1"/>
  <c r="BP28" i="8"/>
  <c r="AO170" i="3"/>
  <c r="DV10" i="8"/>
  <c r="AE7" i="36"/>
  <c r="AI18" i="36" s="1"/>
  <c r="DS9" i="8"/>
  <c r="BY55" i="1"/>
  <c r="BS55" i="1"/>
  <c r="AO103" i="1"/>
  <c r="AO110" i="1" s="1"/>
  <c r="DU11" i="8"/>
  <c r="BR34" i="7"/>
  <c r="BR35" i="7" s="1"/>
  <c r="AC40" i="36"/>
  <c r="BM37" i="7"/>
  <c r="BM38" i="7" s="1"/>
  <c r="BM10" i="8" s="1"/>
  <c r="BL40" i="7"/>
  <c r="BR42" i="7" s="1"/>
  <c r="BR43" i="7" s="1"/>
  <c r="BR46" i="7" s="1"/>
  <c r="BR11" i="8" s="1"/>
  <c r="AG8" i="36" s="1"/>
  <c r="AB7" i="36"/>
  <c r="AB18" i="36" s="1"/>
  <c r="DS10" i="8"/>
  <c r="AQ50" i="36"/>
  <c r="AQ62" i="36" s="1"/>
  <c r="CH45" i="7"/>
  <c r="CH43" i="7" s="1"/>
  <c r="CH42" i="7" s="1"/>
  <c r="CH40" i="7" s="1"/>
  <c r="X40" i="36"/>
  <c r="BF23" i="7"/>
  <c r="Y39" i="36" s="1"/>
  <c r="BR25" i="7"/>
  <c r="BR26" i="7" s="1"/>
  <c r="BR30" i="7" s="1"/>
  <c r="BR9" i="8" s="1"/>
  <c r="CA45" i="7"/>
  <c r="BW3" i="7"/>
  <c r="CH35" i="7"/>
  <c r="CH34" i="7" s="1"/>
  <c r="CH32" i="7" s="1"/>
  <c r="BQ3" i="7"/>
  <c r="BM129" i="1"/>
  <c r="DQ9" i="8"/>
  <c r="BO19" i="8"/>
  <c r="DU20" i="8" s="1"/>
  <c r="BQ19" i="8"/>
  <c r="DW20" i="8" s="1"/>
  <c r="BU21" i="8"/>
  <c r="DY22" i="8" s="1"/>
  <c r="BR129" i="1"/>
  <c r="BR130" i="1"/>
  <c r="BR67" i="1"/>
  <c r="AR60" i="36"/>
  <c r="AR61" i="36" s="1"/>
  <c r="AN61" i="36"/>
  <c r="AN31" i="36" s="1"/>
  <c r="AM31" i="36"/>
  <c r="BU23" i="7"/>
  <c r="CA23" i="7" s="1"/>
  <c r="AI39" i="36"/>
  <c r="BW41" i="7"/>
  <c r="AN50" i="36"/>
  <c r="AN62" i="36" s="1"/>
  <c r="BW19" i="8"/>
  <c r="EA20" i="8" s="1"/>
  <c r="BX44" i="7"/>
  <c r="AN58" i="36"/>
  <c r="AD49" i="36"/>
  <c r="AB48" i="36"/>
  <c r="AP60" i="36"/>
  <c r="AQ61" i="36" s="1"/>
  <c r="Z48" i="36"/>
  <c r="AH41" i="36"/>
  <c r="AE48" i="36"/>
  <c r="AD50" i="36"/>
  <c r="AF48" i="36"/>
  <c r="AF49" i="36"/>
  <c r="AB49" i="36"/>
  <c r="AF7" i="36"/>
  <c r="AJ18" i="36" s="1"/>
  <c r="BQ28" i="8"/>
  <c r="BQ20" i="8"/>
  <c r="DW21" i="8" s="1"/>
  <c r="DW10" i="8"/>
  <c r="BW20" i="8"/>
  <c r="EA21" i="8" s="1"/>
  <c r="CD32" i="7"/>
  <c r="AK40" i="36"/>
  <c r="BP42" i="7"/>
  <c r="BP43" i="7" s="1"/>
  <c r="BP46" i="7" s="1"/>
  <c r="BP11" i="8" s="1"/>
  <c r="DV11" i="8" s="1"/>
  <c r="AA41" i="36"/>
  <c r="BX45" i="7"/>
  <c r="AG41" i="36"/>
  <c r="BM28" i="7"/>
  <c r="BM30" i="7" s="1"/>
  <c r="BM9" i="8" s="1"/>
  <c r="AC39" i="36"/>
  <c r="AD7" i="36"/>
  <c r="BU20" i="8"/>
  <c r="DY21" i="8" s="1"/>
  <c r="DU10" i="8"/>
  <c r="BP27" i="8"/>
  <c r="BQ27" i="8"/>
  <c r="CI37" i="7"/>
  <c r="CI35" i="7" s="1"/>
  <c r="CI34" i="7" s="1"/>
  <c r="CI32" i="7" s="1"/>
  <c r="AN40" i="36"/>
  <c r="AM41" i="36"/>
  <c r="BL34" i="7"/>
  <c r="BL35" i="7" s="1"/>
  <c r="BL38" i="7" s="1"/>
  <c r="BL10" i="8" s="1"/>
  <c r="AC7" i="36" s="1"/>
  <c r="AC18" i="36" s="1"/>
  <c r="Y40" i="36"/>
  <c r="AJ41" i="36"/>
  <c r="AF6" i="36"/>
  <c r="AF17" i="36" s="1"/>
  <c r="AE6" i="36"/>
  <c r="AI17" i="36" s="1"/>
  <c r="DV9" i="8"/>
  <c r="BJ41" i="7"/>
  <c r="BL24" i="7"/>
  <c r="AH19" i="36"/>
  <c r="BM90" i="3"/>
  <c r="CC45" i="7"/>
  <c r="CC43" i="7" s="1"/>
  <c r="CC42" i="7" s="1"/>
  <c r="CC40" i="7" s="1"/>
  <c r="AR50" i="36" s="1"/>
  <c r="BX40" i="7"/>
  <c r="AO50" i="36" s="1"/>
  <c r="BX34" i="7"/>
  <c r="BX35" i="7" s="1"/>
  <c r="BX38" i="7" s="1"/>
  <c r="CC79" i="3"/>
  <c r="CC63" i="4"/>
  <c r="AC90" i="3"/>
  <c r="S54" i="3"/>
  <c r="S62" i="3"/>
  <c r="S44" i="3"/>
  <c r="S45" i="3" s="1"/>
  <c r="S80" i="3"/>
  <c r="S61" i="4"/>
  <c r="CI151" i="7"/>
  <c r="CI149" i="7"/>
  <c r="CJ43" i="1"/>
  <c r="CT92" i="3"/>
  <c r="CU39" i="3"/>
  <c r="CS73" i="4"/>
  <c r="CP74" i="4"/>
  <c r="BW14" i="9"/>
  <c r="U59" i="4"/>
  <c r="U64" i="4" s="1"/>
  <c r="T40" i="3"/>
  <c r="T42" i="3" s="1"/>
  <c r="T89" i="3"/>
  <c r="V19" i="4"/>
  <c r="V26" i="4" s="1"/>
  <c r="V59" i="4" s="1"/>
  <c r="U78" i="3"/>
  <c r="T26" i="4"/>
  <c r="U37" i="3"/>
  <c r="U93" i="3"/>
  <c r="V93" i="3"/>
  <c r="BD32" i="7"/>
  <c r="BK2" i="7" s="1"/>
  <c r="CN154" i="3"/>
  <c r="CO30" i="3"/>
  <c r="CO187" i="3" s="1"/>
  <c r="AO127" i="3"/>
  <c r="AU124" i="3" s="1"/>
  <c r="AI72" i="4"/>
  <c r="AI76" i="4"/>
  <c r="AI78" i="4"/>
  <c r="AI77" i="4"/>
  <c r="AE76" i="4"/>
  <c r="AE77" i="4"/>
  <c r="AE78" i="4"/>
  <c r="AE72" i="4"/>
  <c r="AF68" i="4" s="1"/>
  <c r="AA76" i="4"/>
  <c r="AA72" i="4"/>
  <c r="AB68" i="4" s="1"/>
  <c r="AA77" i="4"/>
  <c r="AA78" i="4"/>
  <c r="CN147" i="3"/>
  <c r="CO19" i="3"/>
  <c r="O55" i="4"/>
  <c r="Q52" i="4"/>
  <c r="Q54" i="4" s="1"/>
  <c r="CK148" i="7"/>
  <c r="CK150" i="7"/>
  <c r="Z19" i="4"/>
  <c r="AA19" i="4" s="1"/>
  <c r="AA26" i="4" s="1"/>
  <c r="CB41" i="7"/>
  <c r="AL93" i="3"/>
  <c r="AL37" i="3"/>
  <c r="AM38" i="3"/>
  <c r="AF37" i="3"/>
  <c r="AF93" i="3"/>
  <c r="AG38" i="3"/>
  <c r="AE40" i="3"/>
  <c r="AE42" i="3" s="1"/>
  <c r="AE192" i="3" s="1"/>
  <c r="AE89" i="3"/>
  <c r="CB23" i="7"/>
  <c r="BV24" i="7"/>
  <c r="Y40" i="3"/>
  <c r="Y42" i="3" s="1"/>
  <c r="Y192" i="3" s="1"/>
  <c r="Y89" i="3"/>
  <c r="BY9" i="9"/>
  <c r="AT109" i="1"/>
  <c r="AT111" i="1"/>
  <c r="AT103" i="1"/>
  <c r="AT110" i="1" s="1"/>
  <c r="BF103" i="1"/>
  <c r="BF110" i="1" s="1"/>
  <c r="BF109" i="1"/>
  <c r="BF111" i="1"/>
  <c r="Y106" i="3"/>
  <c r="AC106" i="3"/>
  <c r="W115" i="3"/>
  <c r="BD89" i="3"/>
  <c r="BC40" i="3"/>
  <c r="BC42" i="3" s="1"/>
  <c r="BC192" i="3" s="1"/>
  <c r="BC89" i="3"/>
  <c r="AY38" i="3"/>
  <c r="AX93" i="3"/>
  <c r="AX37" i="3"/>
  <c r="W112" i="3"/>
  <c r="Y26" i="4"/>
  <c r="AQ120" i="3"/>
  <c r="AQ121" i="3"/>
  <c r="AU121" i="3" s="1"/>
  <c r="AU122" i="3" s="1"/>
  <c r="Z93" i="3"/>
  <c r="AA38" i="3"/>
  <c r="Z37" i="3"/>
  <c r="AU37" i="1"/>
  <c r="AU163" i="3"/>
  <c r="AU34" i="1"/>
  <c r="AU63" i="4" s="1"/>
  <c r="AU59" i="1"/>
  <c r="AU55" i="3"/>
  <c r="AU71" i="1"/>
  <c r="AU108" i="1"/>
  <c r="AU54" i="3"/>
  <c r="BA71" i="1"/>
  <c r="AC36" i="1"/>
  <c r="AC170" i="3"/>
  <c r="AT70" i="1"/>
  <c r="AZ70" i="1"/>
  <c r="BR36" i="1"/>
  <c r="BR170" i="3"/>
  <c r="BR90" i="3"/>
  <c r="BS90" i="3" s="1"/>
  <c r="CC60" i="4"/>
  <c r="BF170" i="3"/>
  <c r="BF36" i="1"/>
  <c r="BF38" i="3"/>
  <c r="BF90" i="3"/>
  <c r="BG90" i="3" s="1"/>
  <c r="AK89" i="3"/>
  <c r="AK40" i="3"/>
  <c r="AK42" i="3" s="1"/>
  <c r="AK192" i="3" s="1"/>
  <c r="CP85" i="4"/>
  <c r="CP41" i="1"/>
  <c r="Y104" i="3"/>
  <c r="Y108" i="3"/>
  <c r="BS59" i="1"/>
  <c r="BS71" i="1"/>
  <c r="BS108" i="1"/>
  <c r="BS37" i="1"/>
  <c r="BS163" i="3"/>
  <c r="BS34" i="1"/>
  <c r="BS63" i="4" s="1"/>
  <c r="BS55" i="3"/>
  <c r="BY71" i="1"/>
  <c r="AC70" i="1"/>
  <c r="CO83" i="4"/>
  <c r="BR103" i="1"/>
  <c r="BR110" i="1" s="1"/>
  <c r="BR111" i="1"/>
  <c r="BR109" i="1"/>
  <c r="AW89" i="3"/>
  <c r="AW40" i="3"/>
  <c r="AW42" i="3" s="1"/>
  <c r="AW192" i="3" s="1"/>
  <c r="AC108" i="3"/>
  <c r="K88" i="3"/>
  <c r="K94" i="3" s="1"/>
  <c r="I95" i="3"/>
  <c r="AC111" i="1"/>
  <c r="AC109" i="1"/>
  <c r="AC103" i="1"/>
  <c r="AC110" i="1" s="1"/>
  <c r="AT36" i="1"/>
  <c r="AT90" i="3"/>
  <c r="AU90" i="3" s="1"/>
  <c r="AT170" i="3"/>
  <c r="BL70" i="1"/>
  <c r="BF70" i="1"/>
  <c r="AR38" i="3"/>
  <c r="AQ93" i="3"/>
  <c r="AQ37" i="3"/>
  <c r="BR70" i="1"/>
  <c r="BX70" i="1"/>
  <c r="BG34" i="1"/>
  <c r="BG63" i="4" s="1"/>
  <c r="BG71" i="1"/>
  <c r="BG37" i="1"/>
  <c r="BG163" i="3"/>
  <c r="BG108" i="1"/>
  <c r="BG59" i="1"/>
  <c r="BG55" i="3"/>
  <c r="BM71" i="1"/>
  <c r="BI42" i="7"/>
  <c r="BI43" i="7" s="1"/>
  <c r="BI46" i="7" s="1"/>
  <c r="BI11" i="8" s="1"/>
  <c r="Z8" i="36" s="1"/>
  <c r="Z19" i="36" s="1"/>
  <c r="AU120" i="3"/>
  <c r="U77" i="3"/>
  <c r="V63" i="4" l="1"/>
  <c r="V64" i="4"/>
  <c r="AD17" i="36"/>
  <c r="BS19" i="8"/>
  <c r="BM15" i="8"/>
  <c r="AG6" i="36"/>
  <c r="BR15" i="8"/>
  <c r="CO23" i="7"/>
  <c r="AR39" i="36"/>
  <c r="AQ31" i="36"/>
  <c r="V41" i="36"/>
  <c r="BD23" i="7"/>
  <c r="BK1" i="7" s="1"/>
  <c r="BL25" i="7"/>
  <c r="BL26" i="7" s="1"/>
  <c r="BL30" i="7" s="1"/>
  <c r="BL9" i="8" s="1"/>
  <c r="BF40" i="7"/>
  <c r="Y41" i="36" s="1"/>
  <c r="BS129" i="1"/>
  <c r="CH28" i="7"/>
  <c r="AF8" i="36"/>
  <c r="AJ19" i="36" s="1"/>
  <c r="CE32" i="7"/>
  <c r="CE37" i="7" s="1"/>
  <c r="CJ37" i="7"/>
  <c r="CJ35" i="7" s="1"/>
  <c r="CJ34" i="7" s="1"/>
  <c r="CJ32" i="7" s="1"/>
  <c r="AS40" i="36" s="1"/>
  <c r="DQ10" i="8"/>
  <c r="BK42" i="7"/>
  <c r="BK43" i="7" s="1"/>
  <c r="BK46" i="7" s="1"/>
  <c r="BK11" i="8" s="1"/>
  <c r="AB8" i="36" s="1"/>
  <c r="AB19" i="36" s="1"/>
  <c r="BO20" i="8"/>
  <c r="DU21" i="8" s="1"/>
  <c r="Z49" i="36"/>
  <c r="AD60" i="36" s="1"/>
  <c r="AD61" i="36" s="1"/>
  <c r="AD31" i="36" s="1"/>
  <c r="BR38" i="7"/>
  <c r="BR10" i="8" s="1"/>
  <c r="AG7" i="36" s="1"/>
  <c r="AG18" i="36" s="1"/>
  <c r="BS67" i="1"/>
  <c r="BM45" i="7"/>
  <c r="BM46" i="7" s="1"/>
  <c r="BM11" i="8" s="1"/>
  <c r="BS21" i="8" s="1"/>
  <c r="DW11" i="8"/>
  <c r="AF50" i="36"/>
  <c r="AJ62" i="36" s="1"/>
  <c r="BL41" i="7"/>
  <c r="CT41" i="3"/>
  <c r="CS190" i="3"/>
  <c r="Y199" i="3"/>
  <c r="Y198" i="3"/>
  <c r="AE198" i="3"/>
  <c r="AE199" i="3"/>
  <c r="CT32" i="3"/>
  <c r="CS191" i="3"/>
  <c r="AW199" i="3"/>
  <c r="AW198" i="3"/>
  <c r="AK199" i="3"/>
  <c r="AK198" i="3"/>
  <c r="BC198" i="3"/>
  <c r="BC199" i="3"/>
  <c r="BF24" i="7"/>
  <c r="X41" i="36"/>
  <c r="AC41" i="36"/>
  <c r="BR27" i="8"/>
  <c r="AG48" i="36"/>
  <c r="DX9" i="8"/>
  <c r="AQ40" i="36"/>
  <c r="AU49" i="36"/>
  <c r="AU60" i="36" s="1"/>
  <c r="AH39" i="36"/>
  <c r="BW1" i="7"/>
  <c r="BU24" i="7"/>
  <c r="BX23" i="7"/>
  <c r="AK39" i="36" s="1"/>
  <c r="AL48" i="36"/>
  <c r="BU25" i="7"/>
  <c r="BU26" i="7" s="1"/>
  <c r="BU30" i="7" s="1"/>
  <c r="BU9" i="8" s="1"/>
  <c r="BU15" i="8" s="1"/>
  <c r="BO28" i="8"/>
  <c r="BL28" i="8"/>
  <c r="DT10" i="8"/>
  <c r="AF18" i="36"/>
  <c r="AR40" i="36"/>
  <c r="AV49" i="36"/>
  <c r="AV60" i="36" s="1"/>
  <c r="AQ41" i="36"/>
  <c r="AU50" i="36"/>
  <c r="AU62" i="36" s="1"/>
  <c r="DX11" i="8"/>
  <c r="BR29" i="8"/>
  <c r="BU29" i="8"/>
  <c r="AE8" i="36"/>
  <c r="AI19" i="36" s="1"/>
  <c r="BP29" i="8"/>
  <c r="AR31" i="36"/>
  <c r="AR62" i="36"/>
  <c r="AR63" i="36" s="1"/>
  <c r="BQ29" i="8"/>
  <c r="BV21" i="8"/>
  <c r="DZ22" i="8" s="1"/>
  <c r="AN63" i="36"/>
  <c r="AN32" i="36" s="1"/>
  <c r="AM39" i="36"/>
  <c r="AQ48" i="36"/>
  <c r="AO40" i="36"/>
  <c r="AS49" i="36"/>
  <c r="AF60" i="36"/>
  <c r="AJ60" i="36"/>
  <c r="AJ61" i="36" s="1"/>
  <c r="AJ31" i="36" s="1"/>
  <c r="AH62" i="36"/>
  <c r="AD58" i="36"/>
  <c r="AH60" i="36"/>
  <c r="AI61" i="36" s="1"/>
  <c r="AI31" i="36" s="1"/>
  <c r="AE50" i="36"/>
  <c r="Z50" i="36"/>
  <c r="AD62" i="36" s="1"/>
  <c r="AD63" i="36" s="1"/>
  <c r="AD32" i="36" s="1"/>
  <c r="AN59" i="36"/>
  <c r="AN30" i="36" s="1"/>
  <c r="AL39" i="36"/>
  <c r="AP48" i="36"/>
  <c r="BX10" i="8"/>
  <c r="AK7" i="36" s="1"/>
  <c r="AK49" i="36"/>
  <c r="AF58" i="36"/>
  <c r="AJ58" i="36"/>
  <c r="AI58" i="36"/>
  <c r="AG50" i="36"/>
  <c r="AC49" i="36"/>
  <c r="AJ17" i="36"/>
  <c r="CI45" i="7"/>
  <c r="CI57" i="7" s="1"/>
  <c r="AN41" i="36"/>
  <c r="AD18" i="36"/>
  <c r="AH18" i="36"/>
  <c r="BJ34" i="7"/>
  <c r="BJ35" i="7" s="1"/>
  <c r="BJ38" i="7" s="1"/>
  <c r="BJ10" i="8" s="1"/>
  <c r="BJ28" i="8" s="1"/>
  <c r="W40" i="36"/>
  <c r="CD45" i="7"/>
  <c r="AK41" i="36"/>
  <c r="AD19" i="36"/>
  <c r="BX42" i="7"/>
  <c r="BX43" i="7" s="1"/>
  <c r="BX46" i="7" s="1"/>
  <c r="AK50" i="36" s="1"/>
  <c r="BX193" i="7"/>
  <c r="CC80" i="3"/>
  <c r="CC62" i="4"/>
  <c r="U60" i="4"/>
  <c r="U80" i="3" s="1"/>
  <c r="U63" i="4"/>
  <c r="CJ149" i="7"/>
  <c r="CJ151" i="7"/>
  <c r="BS20" i="8"/>
  <c r="CG28" i="7"/>
  <c r="CG26" i="7" s="1"/>
  <c r="AB19" i="4"/>
  <c r="AB26" i="4" s="1"/>
  <c r="AB78" i="3" s="1"/>
  <c r="Z26" i="4"/>
  <c r="AQ124" i="3"/>
  <c r="AQ126" i="3" s="1"/>
  <c r="AU126" i="3" s="1"/>
  <c r="AU127" i="3" s="1"/>
  <c r="BA124" i="3" s="1"/>
  <c r="CS74" i="4"/>
  <c r="CT73" i="4"/>
  <c r="CU92" i="3"/>
  <c r="CV39" i="3"/>
  <c r="BX14" i="9"/>
  <c r="U79" i="3"/>
  <c r="V89" i="3"/>
  <c r="U89" i="3"/>
  <c r="U40" i="3"/>
  <c r="U42" i="3" s="1"/>
  <c r="V50" i="4"/>
  <c r="V77" i="3" s="1"/>
  <c r="V78" i="3"/>
  <c r="W93" i="3"/>
  <c r="T44" i="3"/>
  <c r="T45" i="3" s="1"/>
  <c r="T62" i="3"/>
  <c r="T54" i="3"/>
  <c r="T50" i="4"/>
  <c r="T77" i="3" s="1"/>
  <c r="T59" i="4"/>
  <c r="T78" i="3"/>
  <c r="CO154" i="3"/>
  <c r="CP30" i="3"/>
  <c r="CP187" i="3" s="1"/>
  <c r="Q55" i="4"/>
  <c r="S52" i="4"/>
  <c r="S54" i="4" s="1"/>
  <c r="W52" i="4"/>
  <c r="W54" i="4" s="1"/>
  <c r="AF77" i="4"/>
  <c r="AF76" i="4"/>
  <c r="AF72" i="4"/>
  <c r="AG68" i="4" s="1"/>
  <c r="AF78" i="4"/>
  <c r="CO147" i="3"/>
  <c r="CP19" i="3"/>
  <c r="AB77" i="4"/>
  <c r="AB72" i="4"/>
  <c r="AB78" i="4"/>
  <c r="AB76" i="4"/>
  <c r="AK68" i="4"/>
  <c r="AO68" i="4"/>
  <c r="CM150" i="7"/>
  <c r="CM148" i="7"/>
  <c r="DQ11" i="8"/>
  <c r="BO21" i="8"/>
  <c r="DU22" i="8" s="1"/>
  <c r="BG70" i="1"/>
  <c r="BM70" i="1"/>
  <c r="AW62" i="3"/>
  <c r="AW44" i="3"/>
  <c r="AW45" i="3" s="1"/>
  <c r="AW54" i="3"/>
  <c r="BF93" i="3"/>
  <c r="BG93" i="3" s="1"/>
  <c r="BI38" i="3"/>
  <c r="BG38" i="3"/>
  <c r="BF37" i="3"/>
  <c r="BA117" i="3"/>
  <c r="AW117" i="3"/>
  <c r="BG111" i="1"/>
  <c r="BG109" i="1"/>
  <c r="BG103" i="1"/>
  <c r="BG110" i="1" s="1"/>
  <c r="AQ89" i="3"/>
  <c r="AQ40" i="3"/>
  <c r="AQ42" i="3" s="1"/>
  <c r="AQ192" i="3" s="1"/>
  <c r="BS70" i="1"/>
  <c r="BY70" i="1"/>
  <c r="Y110" i="3"/>
  <c r="Z99" i="3"/>
  <c r="Y114" i="3"/>
  <c r="AB93" i="3"/>
  <c r="AA37" i="3"/>
  <c r="AA93" i="3"/>
  <c r="AY93" i="3"/>
  <c r="AY37" i="3"/>
  <c r="AZ93" i="3"/>
  <c r="CB24" i="7"/>
  <c r="AG93" i="3"/>
  <c r="AH93" i="3"/>
  <c r="AG37" i="3"/>
  <c r="CA24" i="7"/>
  <c r="CA40" i="7"/>
  <c r="M88" i="3"/>
  <c r="M94" i="3" s="1"/>
  <c r="K95" i="3"/>
  <c r="CP86" i="4"/>
  <c r="CP83" i="4"/>
  <c r="AA50" i="4"/>
  <c r="AA59" i="4"/>
  <c r="AA78" i="3"/>
  <c r="AU111" i="1"/>
  <c r="AU103" i="1"/>
  <c r="AU110" i="1" s="1"/>
  <c r="AU109" i="1"/>
  <c r="CA9" i="9"/>
  <c r="BY41" i="9"/>
  <c r="Y44" i="3"/>
  <c r="Y45" i="3" s="1"/>
  <c r="Y62" i="3"/>
  <c r="Y54" i="3"/>
  <c r="AE62" i="3"/>
  <c r="AE44" i="3"/>
  <c r="AE45" i="3" s="1"/>
  <c r="AE54" i="3"/>
  <c r="BS36" i="1"/>
  <c r="BS170" i="3"/>
  <c r="CS41" i="1"/>
  <c r="CS85" i="4"/>
  <c r="CC75" i="7"/>
  <c r="CC124" i="7"/>
  <c r="CC123" i="7"/>
  <c r="CC125" i="7" s="1"/>
  <c r="CC9" i="7"/>
  <c r="CC61" i="4"/>
  <c r="AU36" i="1"/>
  <c r="AU170" i="3"/>
  <c r="AU70" i="1"/>
  <c r="BA70" i="1"/>
  <c r="AX40" i="3"/>
  <c r="AX42" i="3" s="1"/>
  <c r="AX89" i="3"/>
  <c r="BC44" i="3"/>
  <c r="BC45" i="3" s="1"/>
  <c r="BC62" i="3"/>
  <c r="BD54" i="3"/>
  <c r="BC54" i="3"/>
  <c r="AF40" i="3"/>
  <c r="AF42" i="3" s="1"/>
  <c r="AF89" i="3"/>
  <c r="AM93" i="3"/>
  <c r="AM37" i="3"/>
  <c r="AN93" i="3"/>
  <c r="BG170" i="3"/>
  <c r="BG36" i="1"/>
  <c r="BS109" i="1"/>
  <c r="BS103" i="1"/>
  <c r="BS110" i="1" s="1"/>
  <c r="BS111" i="1"/>
  <c r="AK62" i="3"/>
  <c r="AK44" i="3"/>
  <c r="AK45" i="3" s="1"/>
  <c r="AK54" i="3"/>
  <c r="Y59" i="4"/>
  <c r="Y50" i="4"/>
  <c r="Y78" i="3"/>
  <c r="AR93" i="3"/>
  <c r="AR37" i="3"/>
  <c r="AS38" i="3"/>
  <c r="V60" i="4"/>
  <c r="V79" i="3"/>
  <c r="Z40" i="3"/>
  <c r="Z42" i="3" s="1"/>
  <c r="Z89" i="3"/>
  <c r="AL89" i="3"/>
  <c r="AL40" i="3"/>
  <c r="AL42" i="3" s="1"/>
  <c r="AA63" i="4" l="1"/>
  <c r="AA64" i="4"/>
  <c r="T63" i="4"/>
  <c r="T64" i="4"/>
  <c r="Y63" i="4"/>
  <c r="Y64" i="4"/>
  <c r="BD40" i="7"/>
  <c r="BK3" i="7" s="1"/>
  <c r="BF41" i="7"/>
  <c r="AC6" i="36"/>
  <c r="AC17" i="36" s="1"/>
  <c r="BL15" i="8"/>
  <c r="AC48" i="36"/>
  <c r="AG58" i="36" s="1"/>
  <c r="BL27" i="8"/>
  <c r="DT9" i="8"/>
  <c r="BR19" i="8"/>
  <c r="DX20" i="8" s="1"/>
  <c r="CH26" i="7"/>
  <c r="CH25" i="7" s="1"/>
  <c r="CH23" i="7" s="1"/>
  <c r="CU23" i="7"/>
  <c r="DA23" i="7" s="1"/>
  <c r="BO27" i="8"/>
  <c r="BD24" i="7"/>
  <c r="W39" i="36"/>
  <c r="BJ25" i="7"/>
  <c r="BJ26" i="7" s="1"/>
  <c r="BJ30" i="7" s="1"/>
  <c r="BJ9" i="8" s="1"/>
  <c r="BJ27" i="8" s="1"/>
  <c r="BL42" i="7"/>
  <c r="BL43" i="7" s="1"/>
  <c r="BL46" i="7" s="1"/>
  <c r="BL11" i="8" s="1"/>
  <c r="AC8" i="36" s="1"/>
  <c r="AG19" i="36" s="1"/>
  <c r="CE34" i="7"/>
  <c r="CD23" i="7"/>
  <c r="CJ28" i="7" s="1"/>
  <c r="BQ21" i="8"/>
  <c r="DW22" i="8" s="1"/>
  <c r="AV61" i="36"/>
  <c r="AV31" i="36" s="1"/>
  <c r="DS11" i="8"/>
  <c r="AB50" i="36"/>
  <c r="AF62" i="36" s="1"/>
  <c r="AG49" i="36"/>
  <c r="AK60" i="36" s="1"/>
  <c r="AL61" i="36" s="1"/>
  <c r="AL31" i="36" s="1"/>
  <c r="CU41" i="3"/>
  <c r="CT190" i="3"/>
  <c r="BC202" i="3"/>
  <c r="BC56" i="3" s="1"/>
  <c r="AK201" i="3"/>
  <c r="AW201" i="3"/>
  <c r="AE202" i="3"/>
  <c r="AE56" i="3" s="1"/>
  <c r="Y201" i="3"/>
  <c r="BC201" i="3"/>
  <c r="AK202" i="3"/>
  <c r="AK56" i="3" s="1"/>
  <c r="AW202" i="3"/>
  <c r="AW56" i="3" s="1"/>
  <c r="AE201" i="3"/>
  <c r="Y202" i="3"/>
  <c r="Y56" i="3" s="1"/>
  <c r="AL54" i="3"/>
  <c r="AL192" i="3"/>
  <c r="Z54" i="3"/>
  <c r="Z192" i="3"/>
  <c r="AF54" i="3"/>
  <c r="AF192" i="3"/>
  <c r="AX54" i="3"/>
  <c r="AX192" i="3"/>
  <c r="AQ199" i="3"/>
  <c r="AQ198" i="3"/>
  <c r="CU32" i="3"/>
  <c r="CT191" i="3"/>
  <c r="BX11" i="8"/>
  <c r="AK8" i="36" s="1"/>
  <c r="AK19" i="36" s="1"/>
  <c r="BX25" i="7"/>
  <c r="BX26" i="7" s="1"/>
  <c r="BX30" i="7" s="1"/>
  <c r="AK48" i="36" s="1"/>
  <c r="AK58" i="36" s="1"/>
  <c r="AH48" i="36"/>
  <c r="AL58" i="36" s="1"/>
  <c r="AM59" i="36" s="1"/>
  <c r="AM30" i="36" s="1"/>
  <c r="AO48" i="36"/>
  <c r="AW49" i="36"/>
  <c r="AW60" i="36" s="1"/>
  <c r="AW61" i="36" s="1"/>
  <c r="AW31" i="36" s="1"/>
  <c r="AH6" i="36"/>
  <c r="BV27" i="8"/>
  <c r="BU19" i="8"/>
  <c r="DY20" i="8" s="1"/>
  <c r="BX53" i="7"/>
  <c r="AO47" i="36" s="1"/>
  <c r="BX191" i="7"/>
  <c r="BX28" i="8"/>
  <c r="BR28" i="8"/>
  <c r="DX10" i="8"/>
  <c r="CD20" i="8"/>
  <c r="EF21" i="8" s="1"/>
  <c r="BP20" i="8"/>
  <c r="DV21" i="8" s="1"/>
  <c r="DY9" i="8"/>
  <c r="DR10" i="8"/>
  <c r="BU27" i="8"/>
  <c r="BK28" i="8"/>
  <c r="BU28" i="8"/>
  <c r="BR20" i="8"/>
  <c r="DX21" i="8" s="1"/>
  <c r="CA19" i="8"/>
  <c r="EC20" i="8" s="1"/>
  <c r="AA7" i="36"/>
  <c r="AA18" i="36" s="1"/>
  <c r="CA28" i="8"/>
  <c r="EB10" i="8"/>
  <c r="BX20" i="8"/>
  <c r="EB21" i="8" s="1"/>
  <c r="AS60" i="36"/>
  <c r="AO60" i="36"/>
  <c r="AP58" i="36"/>
  <c r="AD59" i="36"/>
  <c r="AD30" i="36" s="1"/>
  <c r="AQ58" i="36"/>
  <c r="AR59" i="36" s="1"/>
  <c r="AR30" i="36" s="1"/>
  <c r="AN43" i="36"/>
  <c r="AL41" i="36"/>
  <c r="AP50" i="36"/>
  <c r="AK62" i="36"/>
  <c r="AR32" i="36"/>
  <c r="AJ59" i="36"/>
  <c r="AJ30" i="36" s="1"/>
  <c r="AO62" i="36"/>
  <c r="AI62" i="36"/>
  <c r="AJ63" i="36" s="1"/>
  <c r="AJ32" i="36" s="1"/>
  <c r="AA49" i="36"/>
  <c r="AE60" i="36" s="1"/>
  <c r="W41" i="36"/>
  <c r="CI43" i="7"/>
  <c r="CI42" i="7" s="1"/>
  <c r="CI40" i="7" s="1"/>
  <c r="CO57" i="7" s="1"/>
  <c r="CI79" i="7"/>
  <c r="AK18" i="36"/>
  <c r="AO18" i="36"/>
  <c r="AF19" i="36"/>
  <c r="U61" i="4"/>
  <c r="CG45" i="7"/>
  <c r="CG43" i="7" s="1"/>
  <c r="Z50" i="4"/>
  <c r="Z78" i="3"/>
  <c r="Z59" i="4"/>
  <c r="Z64" i="4" s="1"/>
  <c r="AB50" i="4"/>
  <c r="AB59" i="4"/>
  <c r="AB64" i="4" s="1"/>
  <c r="CK151" i="7"/>
  <c r="CK149" i="7"/>
  <c r="CH57" i="7"/>
  <c r="AC93" i="3"/>
  <c r="CC91" i="7"/>
  <c r="CC87" i="7"/>
  <c r="CC90" i="7"/>
  <c r="CC86" i="7"/>
  <c r="CC89" i="7"/>
  <c r="CC85" i="7"/>
  <c r="CC88" i="7"/>
  <c r="CT74" i="4"/>
  <c r="CU73" i="4"/>
  <c r="AW124" i="3"/>
  <c r="AW126" i="3" s="1"/>
  <c r="BA126" i="3" s="1"/>
  <c r="BA127" i="3" s="1"/>
  <c r="CV92" i="3"/>
  <c r="CW92" i="3" s="1"/>
  <c r="CW39" i="3"/>
  <c r="CY39" i="3" s="1"/>
  <c r="BY14" i="9"/>
  <c r="W89" i="3"/>
  <c r="U44" i="3"/>
  <c r="U45" i="3" s="1"/>
  <c r="U54" i="3"/>
  <c r="U62" i="3"/>
  <c r="V54" i="3"/>
  <c r="T79" i="3"/>
  <c r="T60" i="4"/>
  <c r="CQ30" i="3"/>
  <c r="CQ187" i="3" s="1"/>
  <c r="CP154" i="3"/>
  <c r="AO76" i="4"/>
  <c r="AO77" i="4"/>
  <c r="AO78" i="4"/>
  <c r="AO72" i="4"/>
  <c r="AU68" i="4" s="1"/>
  <c r="W55" i="4"/>
  <c r="AC52" i="4"/>
  <c r="AC54" i="4" s="1"/>
  <c r="Y52" i="4"/>
  <c r="Y54" i="4" s="1"/>
  <c r="AK76" i="4"/>
  <c r="AK72" i="4"/>
  <c r="AL68" i="4" s="1"/>
  <c r="AK78" i="4"/>
  <c r="AK77" i="4"/>
  <c r="AG78" i="4"/>
  <c r="AG72" i="4"/>
  <c r="AH68" i="4" s="1"/>
  <c r="AG76" i="4"/>
  <c r="AG77" i="4"/>
  <c r="S55" i="4"/>
  <c r="T52" i="4"/>
  <c r="T54" i="4" s="1"/>
  <c r="CQ19" i="3"/>
  <c r="CP147" i="3"/>
  <c r="CN150" i="7"/>
  <c r="CN148" i="7"/>
  <c r="AI93" i="3"/>
  <c r="CC76" i="7"/>
  <c r="CC81" i="7"/>
  <c r="CC73" i="7"/>
  <c r="CB9" i="9"/>
  <c r="Y115" i="3"/>
  <c r="Z106" i="3"/>
  <c r="Y109" i="3"/>
  <c r="Y77" i="3"/>
  <c r="AM89" i="3"/>
  <c r="AM40" i="3"/>
  <c r="AM42" i="3" s="1"/>
  <c r="AN89" i="3"/>
  <c r="CC17" i="7"/>
  <c r="CC10" i="7"/>
  <c r="V80" i="3"/>
  <c r="V61" i="4"/>
  <c r="AR89" i="3"/>
  <c r="AR40" i="3"/>
  <c r="AR42" i="3" s="1"/>
  <c r="Y79" i="3"/>
  <c r="Y60" i="4"/>
  <c r="CS86" i="4"/>
  <c r="CS83" i="4"/>
  <c r="M95" i="3"/>
  <c r="O88" i="3"/>
  <c r="O94" i="3" s="1"/>
  <c r="AG40" i="3"/>
  <c r="AG42" i="3" s="1"/>
  <c r="AH89" i="3"/>
  <c r="AG89" i="3"/>
  <c r="BA93" i="3"/>
  <c r="Z108" i="3"/>
  <c r="Z104" i="3"/>
  <c r="AQ44" i="3"/>
  <c r="AQ45" i="3" s="1"/>
  <c r="AQ62" i="3"/>
  <c r="AQ54" i="3"/>
  <c r="BI37" i="3"/>
  <c r="BJ38" i="3"/>
  <c r="BI93" i="3"/>
  <c r="CT41" i="1"/>
  <c r="CT85" i="4"/>
  <c r="AA79" i="3"/>
  <c r="AA60" i="4"/>
  <c r="AA40" i="3"/>
  <c r="AA42" i="3" s="1"/>
  <c r="AB89" i="3"/>
  <c r="AA89" i="3"/>
  <c r="BA120" i="3"/>
  <c r="AF44" i="3"/>
  <c r="AF45" i="3" s="1"/>
  <c r="AF62" i="3"/>
  <c r="AA77" i="3"/>
  <c r="AW120" i="3"/>
  <c r="AW121" i="3"/>
  <c r="BA121" i="3" s="1"/>
  <c r="BA122" i="3" s="1"/>
  <c r="AL44" i="3"/>
  <c r="AL45" i="3" s="1"/>
  <c r="AL62" i="3"/>
  <c r="Z44" i="3"/>
  <c r="Z45" i="3" s="1"/>
  <c r="Z62" i="3"/>
  <c r="AS93" i="3"/>
  <c r="AT93" i="3"/>
  <c r="AS37" i="3"/>
  <c r="AO93" i="3"/>
  <c r="AX62" i="3"/>
  <c r="AX44" i="3"/>
  <c r="AX45" i="3" s="1"/>
  <c r="CA42" i="7"/>
  <c r="CA43" i="7" s="1"/>
  <c r="CA46" i="7" s="1"/>
  <c r="AL50" i="36" s="1"/>
  <c r="CA41" i="7"/>
  <c r="AY89" i="3"/>
  <c r="AY40" i="3"/>
  <c r="AY42" i="3" s="1"/>
  <c r="AY192" i="3" s="1"/>
  <c r="AZ89" i="3"/>
  <c r="BG37" i="3"/>
  <c r="BG40" i="3" s="1"/>
  <c r="BG42" i="3" s="1"/>
  <c r="BG192" i="3" s="1"/>
  <c r="BF89" i="3"/>
  <c r="BG89" i="3" s="1"/>
  <c r="BF40" i="3"/>
  <c r="BF42" i="3" s="1"/>
  <c r="BF192" i="3" s="1"/>
  <c r="CQ83" i="4"/>
  <c r="BD41" i="7" l="1"/>
  <c r="BJ42" i="7"/>
  <c r="BJ43" i="7" s="1"/>
  <c r="BJ46" i="7" s="1"/>
  <c r="BJ11" i="8" s="1"/>
  <c r="AA8" i="36" s="1"/>
  <c r="AE19" i="36" s="1"/>
  <c r="AA48" i="36"/>
  <c r="BO29" i="8"/>
  <c r="DR9" i="8"/>
  <c r="BJ15" i="8"/>
  <c r="AG17" i="36"/>
  <c r="CN57" i="7"/>
  <c r="AQ39" i="36"/>
  <c r="CN23" i="7"/>
  <c r="CJ26" i="7"/>
  <c r="CJ25" i="7" s="1"/>
  <c r="CJ23" i="7" s="1"/>
  <c r="DT11" i="8"/>
  <c r="BL29" i="8"/>
  <c r="BK27" i="8"/>
  <c r="AA6" i="36"/>
  <c r="AA17" i="36" s="1"/>
  <c r="BP19" i="8"/>
  <c r="DV20" i="8" s="1"/>
  <c r="BR21" i="8"/>
  <c r="DX22" i="8" s="1"/>
  <c r="AC19" i="36"/>
  <c r="AC50" i="36"/>
  <c r="AG62" i="36" s="1"/>
  <c r="AH63" i="36" s="1"/>
  <c r="AH32" i="36" s="1"/>
  <c r="CE23" i="7"/>
  <c r="DG23" i="7"/>
  <c r="AO39" i="36"/>
  <c r="AS48" i="36"/>
  <c r="AS58" i="36" s="1"/>
  <c r="AG60" i="36"/>
  <c r="AH61" i="36" s="1"/>
  <c r="AH31" i="36" s="1"/>
  <c r="CD21" i="8"/>
  <c r="EF22" i="8" s="1"/>
  <c r="AO19" i="36"/>
  <c r="BX190" i="7"/>
  <c r="CV41" i="3"/>
  <c r="CU190" i="3"/>
  <c r="AQ201" i="3"/>
  <c r="AQ202" i="3"/>
  <c r="AQ56" i="3" s="1"/>
  <c r="BG199" i="3"/>
  <c r="BG198" i="3"/>
  <c r="AA54" i="3"/>
  <c r="AA192" i="3"/>
  <c r="AG54" i="3"/>
  <c r="AG192" i="3"/>
  <c r="AM54" i="3"/>
  <c r="AM192" i="3"/>
  <c r="CV32" i="3"/>
  <c r="CU191" i="3"/>
  <c r="AX199" i="3"/>
  <c r="AX198" i="3"/>
  <c r="AF198" i="3"/>
  <c r="AF199" i="3"/>
  <c r="Z199" i="3"/>
  <c r="Z198" i="3"/>
  <c r="AL199" i="3"/>
  <c r="AL198" i="3"/>
  <c r="BF198" i="3"/>
  <c r="BF199" i="3"/>
  <c r="AY199" i="3"/>
  <c r="AY202" i="3" s="1"/>
  <c r="AY56" i="3" s="1"/>
  <c r="AY198" i="3"/>
  <c r="AY201" i="3" s="1"/>
  <c r="AR54" i="3"/>
  <c r="AR192" i="3"/>
  <c r="BX21" i="8"/>
  <c r="EB22" i="8" s="1"/>
  <c r="BX29" i="8"/>
  <c r="CC77" i="7"/>
  <c r="CC80" i="7" s="1"/>
  <c r="AN52" i="36" s="1"/>
  <c r="AN105" i="36" s="1"/>
  <c r="AN106" i="36" s="1"/>
  <c r="EB11" i="8"/>
  <c r="AV50" i="36"/>
  <c r="AV62" i="36" s="1"/>
  <c r="AV63" i="36" s="1"/>
  <c r="AO58" i="36"/>
  <c r="AP59" i="36" s="1"/>
  <c r="AP30" i="36" s="1"/>
  <c r="BX9" i="8"/>
  <c r="AH58" i="36"/>
  <c r="AI59" i="36" s="1"/>
  <c r="AI30" i="36" s="1"/>
  <c r="AK38" i="36"/>
  <c r="CH114" i="7"/>
  <c r="CH123" i="7"/>
  <c r="CH125" i="7" s="1"/>
  <c r="CH124" i="7"/>
  <c r="CZ39" i="3"/>
  <c r="CY92" i="3"/>
  <c r="BX75" i="7"/>
  <c r="BX85" i="7" s="1"/>
  <c r="BY53" i="7"/>
  <c r="CE124" i="7" s="1"/>
  <c r="BX123" i="7"/>
  <c r="CD125" i="7" s="1"/>
  <c r="BX124" i="7"/>
  <c r="AL59" i="36"/>
  <c r="AL30" i="36" s="1"/>
  <c r="CD57" i="7"/>
  <c r="BX54" i="7"/>
  <c r="BX93" i="7" s="1"/>
  <c r="BX9" i="7"/>
  <c r="BX10" i="7" s="1"/>
  <c r="CD124" i="7"/>
  <c r="AH17" i="36"/>
  <c r="AL17" i="36"/>
  <c r="AQ38" i="36"/>
  <c r="BJ29" i="8"/>
  <c r="BP21" i="8"/>
  <c r="DV22" i="8" s="1"/>
  <c r="AS61" i="36"/>
  <c r="AS31" i="36" s="1"/>
  <c r="AE18" i="36"/>
  <c r="AB77" i="3"/>
  <c r="AK61" i="36"/>
  <c r="AK31" i="36" s="1"/>
  <c r="AE61" i="36"/>
  <c r="AE31" i="36" s="1"/>
  <c r="AF61" i="36"/>
  <c r="AF31" i="36" s="1"/>
  <c r="AO63" i="36"/>
  <c r="AO32" i="36" s="1"/>
  <c r="AP62" i="36"/>
  <c r="AQ63" i="36" s="1"/>
  <c r="AQ32" i="36" s="1"/>
  <c r="AK63" i="36"/>
  <c r="AK32" i="36" s="1"/>
  <c r="AQ59" i="36"/>
  <c r="AQ30" i="36" s="1"/>
  <c r="AE58" i="36"/>
  <c r="AK59" i="36"/>
  <c r="AK30" i="36" s="1"/>
  <c r="AO56" i="36"/>
  <c r="AL62" i="36"/>
  <c r="AA50" i="36"/>
  <c r="AE62" i="36" s="1"/>
  <c r="AI63" i="36"/>
  <c r="AI32" i="36" s="1"/>
  <c r="AP61" i="36"/>
  <c r="AP31" i="36" s="1"/>
  <c r="AO61" i="36"/>
  <c r="AO31" i="36" s="1"/>
  <c r="AG59" i="36"/>
  <c r="AG30" i="36" s="1"/>
  <c r="CG57" i="7"/>
  <c r="CG79" i="7" s="1"/>
  <c r="AR41" i="36"/>
  <c r="AA19" i="36"/>
  <c r="AA62" i="4"/>
  <c r="AG62" i="4"/>
  <c r="Y62" i="4"/>
  <c r="AE62" i="4"/>
  <c r="AB79" i="3"/>
  <c r="AB63" i="4"/>
  <c r="Z60" i="4"/>
  <c r="Z80" i="3" s="1"/>
  <c r="Z63" i="4"/>
  <c r="Z77" i="3"/>
  <c r="Z79" i="3"/>
  <c r="AB60" i="4"/>
  <c r="CM149" i="7"/>
  <c r="CM151" i="7"/>
  <c r="CV73" i="4"/>
  <c r="CU74" i="4"/>
  <c r="CA14" i="9"/>
  <c r="BY46" i="9"/>
  <c r="T80" i="3"/>
  <c r="T61" i="4"/>
  <c r="CQ154" i="3"/>
  <c r="CS30" i="3"/>
  <c r="CS187" i="3" s="1"/>
  <c r="BG124" i="3"/>
  <c r="BC124" i="3"/>
  <c r="BC126" i="3" s="1"/>
  <c r="BG126" i="3" s="1"/>
  <c r="AC89" i="3"/>
  <c r="CQ147" i="3"/>
  <c r="CS19" i="3"/>
  <c r="AC55" i="4"/>
  <c r="AE52" i="4"/>
  <c r="U52" i="4"/>
  <c r="U54" i="4" s="1"/>
  <c r="T55" i="4"/>
  <c r="AH72" i="4"/>
  <c r="AH77" i="4"/>
  <c r="AH76" i="4"/>
  <c r="AH78" i="4"/>
  <c r="AL78" i="4"/>
  <c r="AL77" i="4"/>
  <c r="AL76" i="4"/>
  <c r="AL72" i="4"/>
  <c r="AM68" i="4" s="1"/>
  <c r="AU72" i="4"/>
  <c r="AU76" i="4"/>
  <c r="AU77" i="4"/>
  <c r="AU78" i="4"/>
  <c r="CO148" i="7"/>
  <c r="CO150" i="7"/>
  <c r="AU93" i="3"/>
  <c r="AO89" i="3"/>
  <c r="BA89" i="3"/>
  <c r="BG117" i="3"/>
  <c r="BC117" i="3"/>
  <c r="CA11" i="8"/>
  <c r="AL8" i="36" s="1"/>
  <c r="AL19" i="36" s="1"/>
  <c r="CA191" i="7"/>
  <c r="CU41" i="1"/>
  <c r="CU85" i="4"/>
  <c r="Y80" i="3"/>
  <c r="Y61" i="4"/>
  <c r="CC9" i="9"/>
  <c r="BG44" i="3"/>
  <c r="BG45" i="3" s="1"/>
  <c r="BG62" i="3"/>
  <c r="BG54" i="3"/>
  <c r="AY44" i="3"/>
  <c r="AY45" i="3" s="1"/>
  <c r="AZ54" i="3"/>
  <c r="AY62" i="3"/>
  <c r="AY54" i="3"/>
  <c r="BK38" i="3"/>
  <c r="BJ93" i="3"/>
  <c r="BJ37" i="3"/>
  <c r="BF62" i="3"/>
  <c r="BF44" i="3"/>
  <c r="BF45" i="3" s="1"/>
  <c r="BF54" i="3"/>
  <c r="AS89" i="3"/>
  <c r="AS40" i="3"/>
  <c r="AS42" i="3" s="1"/>
  <c r="AT89" i="3"/>
  <c r="CH54" i="7"/>
  <c r="CH93" i="7" s="1"/>
  <c r="CH9" i="7"/>
  <c r="CT86" i="4"/>
  <c r="CT83" i="4"/>
  <c r="BI40" i="3"/>
  <c r="BI42" i="3" s="1"/>
  <c r="BI89" i="3"/>
  <c r="AI89" i="3"/>
  <c r="CC18" i="7"/>
  <c r="CC33" i="7"/>
  <c r="CC24" i="7"/>
  <c r="CC41" i="7"/>
  <c r="CQ85" i="4"/>
  <c r="AG44" i="3"/>
  <c r="AG45" i="3" s="1"/>
  <c r="AH54" i="3"/>
  <c r="AG62" i="3"/>
  <c r="Q88" i="3"/>
  <c r="Q94" i="3" s="1"/>
  <c r="O95" i="3"/>
  <c r="AM62" i="3"/>
  <c r="AM44" i="3"/>
  <c r="AM45" i="3" s="1"/>
  <c r="AN54" i="3"/>
  <c r="Y55" i="4"/>
  <c r="Z52" i="4"/>
  <c r="Z54" i="4" s="1"/>
  <c r="AA44" i="3"/>
  <c r="AA45" i="3" s="1"/>
  <c r="AA62" i="3"/>
  <c r="AB54" i="3"/>
  <c r="AA80" i="3"/>
  <c r="AA61" i="4"/>
  <c r="Z110" i="3"/>
  <c r="AA99" i="3"/>
  <c r="Z114" i="3"/>
  <c r="AR62" i="3"/>
  <c r="AR44" i="3"/>
  <c r="AR45" i="3" s="1"/>
  <c r="DR11" i="8" l="1"/>
  <c r="BK29" i="8"/>
  <c r="AE17" i="36"/>
  <c r="AK6" i="36"/>
  <c r="AO17" i="36" s="1"/>
  <c r="BX15" i="8"/>
  <c r="CP29" i="7"/>
  <c r="CP26" i="7" s="1"/>
  <c r="CP25" i="7" s="1"/>
  <c r="CP23" i="7" s="1"/>
  <c r="AS39" i="36"/>
  <c r="CT23" i="7"/>
  <c r="AG63" i="36"/>
  <c r="AG32" i="36" s="1"/>
  <c r="CE28" i="7"/>
  <c r="AK43" i="36"/>
  <c r="CE25" i="7"/>
  <c r="CD19" i="8"/>
  <c r="EF20" i="8" s="1"/>
  <c r="CC46" i="8"/>
  <c r="AG61" i="36"/>
  <c r="AG31" i="36" s="1"/>
  <c r="AN66" i="36"/>
  <c r="AN67" i="36" s="1"/>
  <c r="AN68" i="36" s="1"/>
  <c r="CC127" i="1"/>
  <c r="CC13" i="8"/>
  <c r="BX73" i="7"/>
  <c r="BX88" i="7"/>
  <c r="BX90" i="7"/>
  <c r="BX91" i="7"/>
  <c r="BX81" i="7"/>
  <c r="BX87" i="7"/>
  <c r="BX76" i="7"/>
  <c r="BX77" i="7" s="1"/>
  <c r="BX79" i="7" s="1"/>
  <c r="CW41" i="3"/>
  <c r="CV190" i="3"/>
  <c r="BF202" i="3"/>
  <c r="BF56" i="3" s="1"/>
  <c r="BG202" i="3"/>
  <c r="BG56" i="3" s="1"/>
  <c r="AL201" i="3"/>
  <c r="Z201" i="3"/>
  <c r="AF202" i="3"/>
  <c r="AF56" i="3" s="1"/>
  <c r="AX201" i="3"/>
  <c r="BA201" i="3"/>
  <c r="BF201" i="3"/>
  <c r="BG201" i="3"/>
  <c r="AL202" i="3"/>
  <c r="AL56" i="3" s="1"/>
  <c r="Z202" i="3"/>
  <c r="Z56" i="3" s="1"/>
  <c r="AF201" i="3"/>
  <c r="AX202" i="3"/>
  <c r="AX56" i="3" s="1"/>
  <c r="BA202" i="3"/>
  <c r="BA56" i="3" s="1"/>
  <c r="AS54" i="3"/>
  <c r="AS192" i="3"/>
  <c r="AR198" i="3"/>
  <c r="AR199" i="3"/>
  <c r="AM199" i="3"/>
  <c r="AM202" i="3" s="1"/>
  <c r="AM56" i="3" s="1"/>
  <c r="AM198" i="3"/>
  <c r="AM201" i="3" s="1"/>
  <c r="AG198" i="3"/>
  <c r="AG201" i="3" s="1"/>
  <c r="AG199" i="3"/>
  <c r="AG202" i="3" s="1"/>
  <c r="AG56" i="3" s="1"/>
  <c r="AA199" i="3"/>
  <c r="AA202" i="3" s="1"/>
  <c r="AA56" i="3" s="1"/>
  <c r="AA198" i="3"/>
  <c r="AA201" i="3" s="1"/>
  <c r="BI54" i="3"/>
  <c r="BI192" i="3"/>
  <c r="CW32" i="3"/>
  <c r="CV191" i="3"/>
  <c r="BX125" i="7"/>
  <c r="CI54" i="7"/>
  <c r="CI55" i="7" s="1"/>
  <c r="CI123" i="7"/>
  <c r="CI125" i="7" s="1"/>
  <c r="CI124" i="7"/>
  <c r="EB9" i="8"/>
  <c r="BY114" i="7"/>
  <c r="BX114" i="7" s="1"/>
  <c r="BX115" i="7" s="1"/>
  <c r="AK80" i="36" s="1"/>
  <c r="AK74" i="36" s="1"/>
  <c r="AK86" i="36" s="1"/>
  <c r="CA27" i="8"/>
  <c r="BX19" i="8"/>
  <c r="EB20" i="8" s="1"/>
  <c r="AV32" i="36"/>
  <c r="AO59" i="36"/>
  <c r="AO30" i="36" s="1"/>
  <c r="BX86" i="7"/>
  <c r="BX89" i="7"/>
  <c r="BX27" i="8"/>
  <c r="BY123" i="7"/>
  <c r="CE125" i="7" s="1"/>
  <c r="AH59" i="36"/>
  <c r="AH30" i="36" s="1"/>
  <c r="BX55" i="7"/>
  <c r="BY75" i="7"/>
  <c r="BY85" i="7" s="1"/>
  <c r="BY124" i="7"/>
  <c r="BY9" i="7"/>
  <c r="BY17" i="7" s="1"/>
  <c r="BY54" i="7"/>
  <c r="BY55" i="7" s="1"/>
  <c r="BY58" i="7" s="1"/>
  <c r="CY85" i="4"/>
  <c r="CY41" i="1"/>
  <c r="CV74" i="4"/>
  <c r="CY73" i="4"/>
  <c r="CZ92" i="3"/>
  <c r="DA39" i="3"/>
  <c r="BX17" i="7"/>
  <c r="BX33" i="7" s="1"/>
  <c r="AS59" i="36"/>
  <c r="AS30" i="36" s="1"/>
  <c r="AM63" i="36"/>
  <c r="AM32" i="36" s="1"/>
  <c r="AE63" i="36"/>
  <c r="AE32" i="36" s="1"/>
  <c r="AF63" i="36"/>
  <c r="AF32" i="36" s="1"/>
  <c r="AF59" i="36"/>
  <c r="AF30" i="36" s="1"/>
  <c r="AE59" i="36"/>
  <c r="AE30" i="36" s="1"/>
  <c r="AP57" i="36"/>
  <c r="AP29" i="36" s="1"/>
  <c r="AO57" i="36"/>
  <c r="AO29" i="36" s="1"/>
  <c r="AL63" i="36"/>
  <c r="AL32" i="36" s="1"/>
  <c r="AP63" i="36"/>
  <c r="AP32" i="36" s="1"/>
  <c r="AR38" i="36"/>
  <c r="CI9" i="7"/>
  <c r="AP19" i="36"/>
  <c r="CG21" i="8"/>
  <c r="EG22" i="8" s="1"/>
  <c r="CA21" i="8"/>
  <c r="EC22" i="8" s="1"/>
  <c r="Z61" i="4"/>
  <c r="CW73" i="4"/>
  <c r="CW74" i="4" s="1"/>
  <c r="AB61" i="4"/>
  <c r="AB62" i="4"/>
  <c r="AH62" i="4"/>
  <c r="Z62" i="4"/>
  <c r="AF62" i="4"/>
  <c r="AB80" i="3"/>
  <c r="CD43" i="7"/>
  <c r="CD42" i="7" s="1"/>
  <c r="CD40" i="7" s="1"/>
  <c r="CJ45" i="7" s="1"/>
  <c r="CN151" i="7"/>
  <c r="CN149" i="7"/>
  <c r="CB14" i="9"/>
  <c r="CT30" i="3"/>
  <c r="CT187" i="3" s="1"/>
  <c r="CS154" i="3"/>
  <c r="BG127" i="3"/>
  <c r="AM77" i="4"/>
  <c r="AM72" i="4"/>
  <c r="AN68" i="4" s="1"/>
  <c r="AM78" i="4"/>
  <c r="AM76" i="4"/>
  <c r="CS147" i="3"/>
  <c r="CT19" i="3"/>
  <c r="U55" i="4"/>
  <c r="V52" i="4"/>
  <c r="V54" i="4" s="1"/>
  <c r="V55" i="4" s="1"/>
  <c r="AX68" i="4"/>
  <c r="BA68" i="4"/>
  <c r="AE54" i="4"/>
  <c r="AI52" i="4"/>
  <c r="AI54" i="4" s="1"/>
  <c r="CP150" i="7"/>
  <c r="CP148" i="7"/>
  <c r="CH15" i="7"/>
  <c r="BJ89" i="3"/>
  <c r="BJ40" i="3"/>
  <c r="BJ42" i="3" s="1"/>
  <c r="CV41" i="1"/>
  <c r="CV85" i="4"/>
  <c r="AA104" i="3"/>
  <c r="AA108" i="3"/>
  <c r="CE72" i="7"/>
  <c r="CD15" i="7"/>
  <c r="S88" i="3"/>
  <c r="S94" i="3" s="1"/>
  <c r="W88" i="3"/>
  <c r="W94" i="3" s="1"/>
  <c r="Q95" i="3"/>
  <c r="BI62" i="3"/>
  <c r="BI44" i="3"/>
  <c r="BI45" i="3" s="1"/>
  <c r="CH10" i="7"/>
  <c r="CH75" i="7"/>
  <c r="CN79" i="7" s="1"/>
  <c r="AU89" i="3"/>
  <c r="CU83" i="4"/>
  <c r="CU86" i="4"/>
  <c r="EC11" i="8"/>
  <c r="CB29" i="8"/>
  <c r="CA29" i="8"/>
  <c r="BC120" i="3"/>
  <c r="BC121" i="3"/>
  <c r="BG121" i="3" s="1"/>
  <c r="BG122" i="3" s="1"/>
  <c r="AA52" i="4"/>
  <c r="AA54" i="4" s="1"/>
  <c r="Z55" i="4"/>
  <c r="BG120" i="3"/>
  <c r="Z115" i="3"/>
  <c r="AA106" i="3"/>
  <c r="Z109" i="3"/>
  <c r="CH55" i="7"/>
  <c r="AS44" i="3"/>
  <c r="AS45" i="3" s="1"/>
  <c r="AS62" i="3"/>
  <c r="AT54" i="3"/>
  <c r="BL38" i="3"/>
  <c r="BK37" i="3"/>
  <c r="BK93" i="3"/>
  <c r="CD9" i="9"/>
  <c r="CW65" i="4"/>
  <c r="CW41" i="1" s="1"/>
  <c r="AK17" i="36" l="1"/>
  <c r="CC43" i="8"/>
  <c r="CC14" i="8"/>
  <c r="CV29" i="7"/>
  <c r="CV26" i="7" s="1"/>
  <c r="CV25" i="7" s="1"/>
  <c r="CV23" i="7" s="1"/>
  <c r="DB23" i="7" s="1"/>
  <c r="CZ23" i="7"/>
  <c r="AN69" i="36"/>
  <c r="AN70" i="36" s="1"/>
  <c r="EE13" i="8"/>
  <c r="DF23" i="7"/>
  <c r="CC23" i="8"/>
  <c r="EE24" i="8" s="1"/>
  <c r="AN10" i="36"/>
  <c r="AN21" i="36" s="1"/>
  <c r="CC128" i="1"/>
  <c r="CC67" i="1" s="1"/>
  <c r="CC31" i="8"/>
  <c r="BY90" i="7"/>
  <c r="BY93" i="7"/>
  <c r="CY41" i="3"/>
  <c r="CW190" i="3"/>
  <c r="AR202" i="3"/>
  <c r="AR56" i="3" s="1"/>
  <c r="AI201" i="3"/>
  <c r="AC202" i="3"/>
  <c r="AC56" i="3" s="1"/>
  <c r="AO202" i="3"/>
  <c r="AO56" i="3" s="1"/>
  <c r="AI202" i="3"/>
  <c r="AI56" i="3" s="1"/>
  <c r="AC201" i="3"/>
  <c r="AO201" i="3"/>
  <c r="AR201" i="3"/>
  <c r="BI199" i="3"/>
  <c r="BI198" i="3"/>
  <c r="AS198" i="3"/>
  <c r="AS201" i="3" s="1"/>
  <c r="AS199" i="3"/>
  <c r="AS202" i="3" s="1"/>
  <c r="AS56" i="3" s="1"/>
  <c r="BJ54" i="3"/>
  <c r="BJ192" i="3"/>
  <c r="CY32" i="3"/>
  <c r="CW191" i="3"/>
  <c r="BX41" i="7"/>
  <c r="BY76" i="7"/>
  <c r="BY77" i="7" s="1"/>
  <c r="BY79" i="7" s="1"/>
  <c r="CE78" i="7"/>
  <c r="CE68" i="7" s="1"/>
  <c r="CE67" i="7" s="1"/>
  <c r="BY125" i="7"/>
  <c r="AO74" i="36"/>
  <c r="AS86" i="36" s="1"/>
  <c r="BY81" i="7"/>
  <c r="BY73" i="7"/>
  <c r="BX24" i="7"/>
  <c r="BX18" i="7"/>
  <c r="BY86" i="7"/>
  <c r="BY91" i="7"/>
  <c r="BY88" i="7"/>
  <c r="BY87" i="7"/>
  <c r="BY89" i="7"/>
  <c r="BY10" i="7"/>
  <c r="CY74" i="4"/>
  <c r="CZ73" i="4"/>
  <c r="CZ41" i="1"/>
  <c r="CZ85" i="4"/>
  <c r="CY86" i="4"/>
  <c r="CY83" i="4"/>
  <c r="DA92" i="3"/>
  <c r="DB39" i="3"/>
  <c r="CH81" i="7"/>
  <c r="AQ43" i="36"/>
  <c r="CH90" i="7"/>
  <c r="CH86" i="7"/>
  <c r="CH73" i="7"/>
  <c r="CH91" i="7"/>
  <c r="CH89" i="7"/>
  <c r="CH87" i="7"/>
  <c r="CH88" i="7"/>
  <c r="CH85" i="7"/>
  <c r="AQ47" i="36"/>
  <c r="AQ56" i="36" s="1"/>
  <c r="AN34" i="36"/>
  <c r="AO41" i="36"/>
  <c r="AS50" i="36"/>
  <c r="CI93" i="7"/>
  <c r="CI75" i="7"/>
  <c r="CO79" i="7" s="1"/>
  <c r="CI15" i="7"/>
  <c r="CI10" i="7"/>
  <c r="CJ43" i="7"/>
  <c r="CJ42" i="7" s="1"/>
  <c r="CJ40" i="7" s="1"/>
  <c r="CE40" i="7"/>
  <c r="CO149" i="7"/>
  <c r="CO151" i="7"/>
  <c r="CC14" i="9"/>
  <c r="CH17" i="7"/>
  <c r="CH33" i="7" s="1"/>
  <c r="CU30" i="3"/>
  <c r="CU187" i="3" s="1"/>
  <c r="CT154" i="3"/>
  <c r="BI124" i="3"/>
  <c r="BI126" i="3" s="1"/>
  <c r="BM126" i="3" s="1"/>
  <c r="BM124" i="3"/>
  <c r="AK52" i="4"/>
  <c r="AI55" i="4"/>
  <c r="AF52" i="4"/>
  <c r="AF54" i="4" s="1"/>
  <c r="AE55" i="4"/>
  <c r="BA77" i="4"/>
  <c r="BA78" i="4"/>
  <c r="BA76" i="4"/>
  <c r="BA72" i="4"/>
  <c r="CT147" i="3"/>
  <c r="CU19" i="3"/>
  <c r="AN76" i="4"/>
  <c r="AN72" i="4"/>
  <c r="AN77" i="4"/>
  <c r="AN78" i="4"/>
  <c r="AX72" i="4"/>
  <c r="AY68" i="4" s="1"/>
  <c r="AX76" i="4"/>
  <c r="AX77" i="4"/>
  <c r="AX78" i="4"/>
  <c r="CQ148" i="7"/>
  <c r="CQ150" i="7"/>
  <c r="CH8" i="8"/>
  <c r="CE9" i="9"/>
  <c r="CG9" i="9" s="1"/>
  <c r="BK89" i="3"/>
  <c r="BK40" i="3"/>
  <c r="BK42" i="3" s="1"/>
  <c r="BL89" i="3"/>
  <c r="AA55" i="4"/>
  <c r="AB52" i="4"/>
  <c r="AB54" i="4" s="1"/>
  <c r="AB55" i="4" s="1"/>
  <c r="BL93" i="3"/>
  <c r="BM93" i="3" s="1"/>
  <c r="BM38" i="3"/>
  <c r="BL40" i="3"/>
  <c r="BL42" i="3" s="1"/>
  <c r="BL192" i="3" s="1"/>
  <c r="CG167" i="3"/>
  <c r="CG137" i="3"/>
  <c r="CG40" i="8"/>
  <c r="CG153" i="3"/>
  <c r="BY24" i="7"/>
  <c r="BY33" i="7"/>
  <c r="BY41" i="7"/>
  <c r="BY18" i="7"/>
  <c r="CH76" i="7"/>
  <c r="CH77" i="7" s="1"/>
  <c r="CH80" i="7" s="1"/>
  <c r="AQ52" i="36" s="1"/>
  <c r="BJ44" i="3"/>
  <c r="BJ45" i="3" s="1"/>
  <c r="BJ62" i="3"/>
  <c r="BY8" i="8"/>
  <c r="BY47" i="8"/>
  <c r="BM117" i="3"/>
  <c r="BI117" i="3"/>
  <c r="CD40" i="8"/>
  <c r="CD137" i="3"/>
  <c r="AC88" i="3"/>
  <c r="AC94" i="3" s="1"/>
  <c r="W95" i="3"/>
  <c r="Y88" i="3"/>
  <c r="Y94" i="3" s="1"/>
  <c r="AA114" i="3"/>
  <c r="AA110" i="3"/>
  <c r="AB99" i="3"/>
  <c r="S95" i="3"/>
  <c r="T88" i="3"/>
  <c r="T94" i="3" s="1"/>
  <c r="CE15" i="7"/>
  <c r="CV83" i="4"/>
  <c r="CV86" i="4"/>
  <c r="CC42" i="8" l="1"/>
  <c r="CC129" i="1"/>
  <c r="AO86" i="36"/>
  <c r="DH23" i="7"/>
  <c r="CI91" i="7"/>
  <c r="CI73" i="7"/>
  <c r="CZ41" i="3"/>
  <c r="CY190" i="3"/>
  <c r="BI201" i="3"/>
  <c r="AU201" i="3"/>
  <c r="AU202" i="3"/>
  <c r="AU56" i="3" s="1"/>
  <c r="BI202" i="3"/>
  <c r="BI56" i="3" s="1"/>
  <c r="BL198" i="3"/>
  <c r="BL201" i="3" s="1"/>
  <c r="BL199" i="3"/>
  <c r="BL202" i="3" s="1"/>
  <c r="BL56" i="3" s="1"/>
  <c r="BK54" i="3"/>
  <c r="BK192" i="3"/>
  <c r="CZ32" i="3"/>
  <c r="CY191" i="3"/>
  <c r="BJ198" i="3"/>
  <c r="BJ201" i="3" s="1"/>
  <c r="BJ199" i="3"/>
  <c r="BJ202" i="3" s="1"/>
  <c r="BJ56" i="3" s="1"/>
  <c r="CE56" i="7"/>
  <c r="CE44" i="7" s="1"/>
  <c r="CE36" i="8"/>
  <c r="CE35" i="8"/>
  <c r="CE41" i="8"/>
  <c r="CZ83" i="4"/>
  <c r="CZ86" i="4"/>
  <c r="DA73" i="4"/>
  <c r="CZ74" i="4"/>
  <c r="DA41" i="1"/>
  <c r="DC65" i="4"/>
  <c r="DC41" i="1" s="1"/>
  <c r="DA85" i="4"/>
  <c r="DB92" i="3"/>
  <c r="DC92" i="3" s="1"/>
  <c r="DC39" i="3"/>
  <c r="DE39" i="3" s="1"/>
  <c r="CH9" i="9"/>
  <c r="CH47" i="8"/>
  <c r="AR47" i="36"/>
  <c r="AR56" i="36" s="1"/>
  <c r="AR57" i="36" s="1"/>
  <c r="AR29" i="36" s="1"/>
  <c r="AQ5" i="36"/>
  <c r="AQ16" i="36" s="1"/>
  <c r="AS41" i="36"/>
  <c r="AW50" i="36"/>
  <c r="AW62" i="36" s="1"/>
  <c r="AW63" i="36" s="1"/>
  <c r="AQ66" i="36"/>
  <c r="AS62" i="36"/>
  <c r="AQ57" i="36"/>
  <c r="AQ29" i="36" s="1"/>
  <c r="CI17" i="7"/>
  <c r="AR43" i="36"/>
  <c r="CI76" i="7"/>
  <c r="CI86" i="7"/>
  <c r="CI89" i="7"/>
  <c r="CI88" i="7"/>
  <c r="CI90" i="7"/>
  <c r="CI87" i="7"/>
  <c r="CI85" i="7"/>
  <c r="CG15" i="1"/>
  <c r="CW83" i="4"/>
  <c r="CE79" i="1"/>
  <c r="CE94" i="1"/>
  <c r="CE86" i="1"/>
  <c r="CJ53" i="7"/>
  <c r="CP57" i="7" s="1"/>
  <c r="CE45" i="7"/>
  <c r="CE42" i="7"/>
  <c r="CJ57" i="7"/>
  <c r="CD54" i="7"/>
  <c r="CE57" i="7"/>
  <c r="CD9" i="7"/>
  <c r="CP151" i="7"/>
  <c r="CP149" i="7"/>
  <c r="CH24" i="7"/>
  <c r="CH41" i="7"/>
  <c r="CH18" i="7"/>
  <c r="BM127" i="3"/>
  <c r="BS124" i="3" s="1"/>
  <c r="CD14" i="9"/>
  <c r="CD15" i="1"/>
  <c r="BM89" i="3"/>
  <c r="CU154" i="3"/>
  <c r="CV30" i="3"/>
  <c r="CV187" i="3" s="1"/>
  <c r="BG68" i="4"/>
  <c r="BC68" i="4"/>
  <c r="AY77" i="4"/>
  <c r="AY78" i="4"/>
  <c r="AY72" i="4"/>
  <c r="AZ68" i="4" s="1"/>
  <c r="AY76" i="4"/>
  <c r="AF55" i="4"/>
  <c r="AG52" i="4"/>
  <c r="AG54" i="4" s="1"/>
  <c r="CU147" i="3"/>
  <c r="CV19" i="3"/>
  <c r="AO52" i="4"/>
  <c r="AO54" i="4" s="1"/>
  <c r="AK54" i="4"/>
  <c r="CS148" i="7"/>
  <c r="CS150" i="7"/>
  <c r="AB108" i="3"/>
  <c r="AB103" i="3"/>
  <c r="AC103" i="3" s="1"/>
  <c r="AC104" i="3" s="1"/>
  <c r="CD152" i="3"/>
  <c r="CE25" i="3"/>
  <c r="CE27" i="1"/>
  <c r="CH153" i="3"/>
  <c r="CH145" i="7"/>
  <c r="CH152" i="7" s="1"/>
  <c r="CH40" i="8"/>
  <c r="CH137" i="3"/>
  <c r="CH167" i="3"/>
  <c r="CG143" i="3"/>
  <c r="AA115" i="3"/>
  <c r="AB106" i="3"/>
  <c r="AB109" i="3" s="1"/>
  <c r="AA109" i="3"/>
  <c r="AE88" i="3"/>
  <c r="AE94" i="3" s="1"/>
  <c r="AC95" i="3"/>
  <c r="AI88" i="3"/>
  <c r="AI94" i="3" s="1"/>
  <c r="CD153" i="3"/>
  <c r="CE26" i="3"/>
  <c r="CE85" i="3" s="1"/>
  <c r="CE16" i="1"/>
  <c r="CD19" i="1"/>
  <c r="BI120" i="3"/>
  <c r="BI121" i="3"/>
  <c r="BM121" i="3" s="1"/>
  <c r="BM122" i="3" s="1"/>
  <c r="CG166" i="3"/>
  <c r="CG159" i="7"/>
  <c r="CG168" i="3"/>
  <c r="CG8" i="8"/>
  <c r="CG47" i="8"/>
  <c r="BK62" i="3"/>
  <c r="BL54" i="3"/>
  <c r="BK44" i="3"/>
  <c r="BK45" i="3" s="1"/>
  <c r="CE41" i="9"/>
  <c r="CE40" i="8"/>
  <c r="CE137" i="3"/>
  <c r="BM120" i="3"/>
  <c r="BY18" i="8"/>
  <c r="CG171" i="3"/>
  <c r="CG145" i="3"/>
  <c r="BL44" i="3"/>
  <c r="BL45" i="3" s="1"/>
  <c r="BL62" i="3"/>
  <c r="CD143" i="3"/>
  <c r="CE12" i="3"/>
  <c r="CE71" i="3" s="1"/>
  <c r="T95" i="3"/>
  <c r="U88" i="3"/>
  <c r="U94" i="3" s="1"/>
  <c r="Y95" i="3"/>
  <c r="Z88" i="3"/>
  <c r="Z94" i="3" s="1"/>
  <c r="CE17" i="1"/>
  <c r="CD145" i="3"/>
  <c r="CE14" i="3"/>
  <c r="CE83" i="3" s="1"/>
  <c r="CH13" i="8"/>
  <c r="CH14" i="8" s="1"/>
  <c r="CH127" i="1"/>
  <c r="CH46" i="8"/>
  <c r="CG19" i="1"/>
  <c r="CG152" i="3"/>
  <c r="BO38" i="3"/>
  <c r="BM40" i="3"/>
  <c r="BM42" i="3" s="1"/>
  <c r="BM192" i="3" s="1"/>
  <c r="EH8" i="8"/>
  <c r="CH18" i="8"/>
  <c r="EH19" i="8" s="1"/>
  <c r="CE27" i="7" l="1"/>
  <c r="CE26" i="7" s="1"/>
  <c r="CE30" i="7" s="1"/>
  <c r="CE190" i="7" s="1"/>
  <c r="CE36" i="7"/>
  <c r="CE35" i="7" s="1"/>
  <c r="CE38" i="7" s="1"/>
  <c r="CE10" i="8" s="1"/>
  <c r="CE20" i="8" s="1"/>
  <c r="CE43" i="7"/>
  <c r="CE46" i="7" s="1"/>
  <c r="DA41" i="3"/>
  <c r="CZ190" i="3"/>
  <c r="BK199" i="3"/>
  <c r="BK202" i="3" s="1"/>
  <c r="BK56" i="3" s="1"/>
  <c r="BK198" i="3"/>
  <c r="BK201" i="3" s="1"/>
  <c r="BM198" i="3"/>
  <c r="BM199" i="3"/>
  <c r="DA32" i="3"/>
  <c r="CZ191" i="3"/>
  <c r="AS38" i="36"/>
  <c r="CE34" i="8"/>
  <c r="CI77" i="7"/>
  <c r="CI80" i="7" s="1"/>
  <c r="AR52" i="36" s="1"/>
  <c r="AR66" i="36" s="1"/>
  <c r="AR67" i="36" s="1"/>
  <c r="CI47" i="8"/>
  <c r="DB41" i="1"/>
  <c r="DB85" i="4"/>
  <c r="DA86" i="4"/>
  <c r="DA83" i="4"/>
  <c r="DA74" i="4"/>
  <c r="DB73" i="4"/>
  <c r="DF39" i="3"/>
  <c r="DE92" i="3"/>
  <c r="CI9" i="9"/>
  <c r="BO124" i="3"/>
  <c r="BO126" i="3" s="1"/>
  <c r="BS126" i="3" s="1"/>
  <c r="BS127" i="3" s="1"/>
  <c r="BU124" i="3" s="1"/>
  <c r="BU126" i="3" s="1"/>
  <c r="BY126" i="3" s="1"/>
  <c r="CI8" i="8"/>
  <c r="AQ95" i="36"/>
  <c r="AQ101" i="36" s="1"/>
  <c r="AQ94" i="36"/>
  <c r="AQ100" i="36" s="1"/>
  <c r="AQ10" i="36"/>
  <c r="AQ21" i="36" s="1"/>
  <c r="CH122" i="1"/>
  <c r="CI122" i="1"/>
  <c r="CG122" i="1"/>
  <c r="AW32" i="36"/>
  <c r="CD169" i="3"/>
  <c r="AS63" i="36"/>
  <c r="AS32" i="36" s="1"/>
  <c r="CI81" i="7"/>
  <c r="CI145" i="7"/>
  <c r="CI152" i="7" s="1"/>
  <c r="CI167" i="3"/>
  <c r="CI152" i="3"/>
  <c r="CI40" i="8"/>
  <c r="CI145" i="3"/>
  <c r="CI137" i="3"/>
  <c r="CI153" i="3"/>
  <c r="CI24" i="7"/>
  <c r="CI18" i="7"/>
  <c r="CI41" i="7"/>
  <c r="CI33" i="7"/>
  <c r="AP5" i="36"/>
  <c r="CG66" i="1"/>
  <c r="CG50" i="1"/>
  <c r="CG49" i="1"/>
  <c r="CG80" i="1"/>
  <c r="CE84" i="3"/>
  <c r="CT150" i="7"/>
  <c r="CT148" i="7"/>
  <c r="CE57" i="1"/>
  <c r="CE166" i="3"/>
  <c r="CW85" i="4"/>
  <c r="CW86" i="4" s="1"/>
  <c r="CE87" i="1"/>
  <c r="CE65" i="1"/>
  <c r="CE52" i="1"/>
  <c r="CD66" i="1"/>
  <c r="CD50" i="1"/>
  <c r="CD49" i="1"/>
  <c r="CE64" i="1"/>
  <c r="CE51" i="1"/>
  <c r="CE9" i="8"/>
  <c r="CD80" i="1"/>
  <c r="CE54" i="7"/>
  <c r="CE9" i="7"/>
  <c r="CD93" i="7"/>
  <c r="CD55" i="7"/>
  <c r="CD96" i="7"/>
  <c r="CJ54" i="7"/>
  <c r="CJ9" i="7"/>
  <c r="CD10" i="7"/>
  <c r="CQ149" i="7"/>
  <c r="CQ151" i="7"/>
  <c r="CE14" i="9"/>
  <c r="CG14" i="9" s="1"/>
  <c r="CV154" i="3"/>
  <c r="CW30" i="3"/>
  <c r="CW187" i="3" s="1"/>
  <c r="AL52" i="4"/>
  <c r="AL54" i="4" s="1"/>
  <c r="AK55" i="4"/>
  <c r="AH52" i="4"/>
  <c r="AH54" i="4" s="1"/>
  <c r="AH55" i="4" s="1"/>
  <c r="AG55" i="4"/>
  <c r="AQ52" i="4"/>
  <c r="AO55" i="4"/>
  <c r="CV147" i="3"/>
  <c r="CW19" i="3"/>
  <c r="BC77" i="4"/>
  <c r="BC76" i="4"/>
  <c r="BC78" i="4"/>
  <c r="BC72" i="4"/>
  <c r="BD68" i="4" s="1"/>
  <c r="AZ78" i="4"/>
  <c r="AZ76" i="4"/>
  <c r="AZ72" i="4"/>
  <c r="AZ77" i="4"/>
  <c r="BG78" i="4"/>
  <c r="BG76" i="4"/>
  <c r="BG77" i="4"/>
  <c r="BG72" i="4"/>
  <c r="BS117" i="3"/>
  <c r="BO117" i="3"/>
  <c r="CG169" i="3"/>
  <c r="CG155" i="7"/>
  <c r="AP11" i="36" s="1"/>
  <c r="BM44" i="3"/>
  <c r="BM45" i="3" s="1"/>
  <c r="BM62" i="3"/>
  <c r="BM54" i="3"/>
  <c r="CG33" i="4"/>
  <c r="EH13" i="8"/>
  <c r="CH43" i="8"/>
  <c r="CH23" i="8"/>
  <c r="CE13" i="3"/>
  <c r="CE72" i="3" s="1"/>
  <c r="CD144" i="3"/>
  <c r="CG144" i="3"/>
  <c r="AC109" i="3"/>
  <c r="AC110" i="3" s="1"/>
  <c r="AC112" i="3" s="1"/>
  <c r="CH143" i="3"/>
  <c r="CD20" i="1"/>
  <c r="AO88" i="3"/>
  <c r="AO94" i="3" s="1"/>
  <c r="AK88" i="3"/>
  <c r="AK94" i="3" s="1"/>
  <c r="AI95" i="3"/>
  <c r="CH171" i="3"/>
  <c r="CE152" i="3"/>
  <c r="CE145" i="3"/>
  <c r="Z95" i="3"/>
  <c r="AA88" i="3"/>
  <c r="AA94" i="3" s="1"/>
  <c r="CE143" i="3"/>
  <c r="CE158" i="3"/>
  <c r="CE15" i="1"/>
  <c r="EG8" i="8"/>
  <c r="CH26" i="8"/>
  <c r="CG18" i="8"/>
  <c r="EG19" i="8" s="1"/>
  <c r="CG156" i="7"/>
  <c r="CE19" i="1"/>
  <c r="CH19" i="1"/>
  <c r="CH145" i="3"/>
  <c r="BO37" i="3"/>
  <c r="BP38" i="3"/>
  <c r="BO93" i="3"/>
  <c r="U95" i="3"/>
  <c r="V88" i="3"/>
  <c r="V94" i="3" s="1"/>
  <c r="V95" i="3" s="1"/>
  <c r="CG151" i="3"/>
  <c r="CG155" i="3" s="1"/>
  <c r="CG158" i="7"/>
  <c r="CH152" i="3"/>
  <c r="CE24" i="3"/>
  <c r="CE73" i="3" s="1"/>
  <c r="CD151" i="3"/>
  <c r="CD155" i="3" s="1"/>
  <c r="CG157" i="7"/>
  <c r="CG20" i="1"/>
  <c r="AP96" i="36" s="1"/>
  <c r="AP102" i="36" s="1"/>
  <c r="CE153" i="3"/>
  <c r="AE95" i="3"/>
  <c r="AF88" i="3"/>
  <c r="AF94" i="3" s="1"/>
  <c r="CH33" i="4"/>
  <c r="CH141" i="7"/>
  <c r="AQ12" i="36" s="1"/>
  <c r="CH144" i="7"/>
  <c r="CH159" i="7"/>
  <c r="CH143" i="7"/>
  <c r="CH142" i="7"/>
  <c r="AE99" i="3"/>
  <c r="AI99" i="3"/>
  <c r="AC114" i="3"/>
  <c r="CE19" i="8" l="1"/>
  <c r="CE15" i="8"/>
  <c r="CE193" i="7"/>
  <c r="DB41" i="3"/>
  <c r="DA190" i="3"/>
  <c r="BM201" i="3"/>
  <c r="BM202" i="3"/>
  <c r="BM56" i="3" s="1"/>
  <c r="DB32" i="3"/>
  <c r="DA191" i="3"/>
  <c r="CH42" i="8"/>
  <c r="CI26" i="8"/>
  <c r="AR94" i="36"/>
  <c r="AR100" i="36" s="1"/>
  <c r="CI166" i="3"/>
  <c r="AR95" i="36"/>
  <c r="AR101" i="36" s="1"/>
  <c r="CI46" i="8"/>
  <c r="CI127" i="1"/>
  <c r="CI13" i="8"/>
  <c r="CI14" i="8" s="1"/>
  <c r="AR68" i="36"/>
  <c r="AR34" i="36"/>
  <c r="AO82" i="36"/>
  <c r="AO76" i="36" s="1"/>
  <c r="AO88" i="36" s="1"/>
  <c r="CJ152" i="7"/>
  <c r="DE85" i="4"/>
  <c r="DE41" i="1"/>
  <c r="DB74" i="4"/>
  <c r="DE73" i="4"/>
  <c r="DC73" i="4"/>
  <c r="DC74" i="4" s="1"/>
  <c r="DB86" i="4"/>
  <c r="DB83" i="4"/>
  <c r="DC83" i="4" s="1"/>
  <c r="DC85" i="4" s="1"/>
  <c r="DC86" i="4" s="1"/>
  <c r="CW147" i="3"/>
  <c r="CY19" i="3"/>
  <c r="CW154" i="3"/>
  <c r="CY30" i="3"/>
  <c r="CY187" i="3" s="1"/>
  <c r="DF92" i="3"/>
  <c r="DG39" i="3"/>
  <c r="CH14" i="9"/>
  <c r="CJ9" i="9"/>
  <c r="CI18" i="8"/>
  <c r="EI19" i="8" s="1"/>
  <c r="EI8" i="8"/>
  <c r="AR5" i="36"/>
  <c r="AR16" i="36" s="1"/>
  <c r="CH66" i="1"/>
  <c r="AO96" i="36"/>
  <c r="AO102" i="36" s="1"/>
  <c r="AP22" i="36"/>
  <c r="AP16" i="36"/>
  <c r="AQ23" i="36"/>
  <c r="AP82" i="36"/>
  <c r="AP76" i="36" s="1"/>
  <c r="AP88" i="36" s="1"/>
  <c r="CI171" i="3"/>
  <c r="CI19" i="1"/>
  <c r="CI66" i="1" s="1"/>
  <c r="CI141" i="7"/>
  <c r="CI143" i="7"/>
  <c r="CI142" i="7"/>
  <c r="CI144" i="7"/>
  <c r="CI159" i="7"/>
  <c r="CI143" i="3"/>
  <c r="CG54" i="1"/>
  <c r="CG60" i="3"/>
  <c r="CG68" i="1"/>
  <c r="CG53" i="1"/>
  <c r="CG136" i="7"/>
  <c r="EH24" i="8"/>
  <c r="CE74" i="3"/>
  <c r="CU148" i="7"/>
  <c r="CU150" i="7"/>
  <c r="CE66" i="1"/>
  <c r="CE169" i="3"/>
  <c r="CD165" i="3"/>
  <c r="CD60" i="3"/>
  <c r="CE50" i="1"/>
  <c r="CE49" i="1"/>
  <c r="CD68" i="1"/>
  <c r="CD54" i="1"/>
  <c r="CD53" i="1"/>
  <c r="CD136" i="7"/>
  <c r="CE80" i="1"/>
  <c r="CE11" i="8"/>
  <c r="CE21" i="8" s="1"/>
  <c r="CE191" i="7"/>
  <c r="CJ93" i="7"/>
  <c r="CJ55" i="7"/>
  <c r="CE55" i="7"/>
  <c r="CE10" i="7"/>
  <c r="CJ10" i="7"/>
  <c r="CJ67" i="7"/>
  <c r="CJ66" i="7" s="1"/>
  <c r="CJ50" i="8"/>
  <c r="CD12" i="7"/>
  <c r="CE69" i="7"/>
  <c r="CD75" i="7"/>
  <c r="CE93" i="7"/>
  <c r="CE58" i="7"/>
  <c r="CS151" i="7"/>
  <c r="CS149" i="7"/>
  <c r="BY124" i="3"/>
  <c r="BY127" i="3" s="1"/>
  <c r="CE124" i="3" s="1"/>
  <c r="CE46" i="9"/>
  <c r="BM68" i="4"/>
  <c r="BI68" i="4"/>
  <c r="BD76" i="4"/>
  <c r="BD72" i="4"/>
  <c r="BE68" i="4" s="1"/>
  <c r="BD78" i="4"/>
  <c r="BD77" i="4"/>
  <c r="AU52" i="4"/>
  <c r="AU54" i="4" s="1"/>
  <c r="AQ54" i="4"/>
  <c r="AL55" i="4"/>
  <c r="AM52" i="4"/>
  <c r="AM54" i="4" s="1"/>
  <c r="BO40" i="3"/>
  <c r="BO42" i="3" s="1"/>
  <c r="BO192" i="3" s="1"/>
  <c r="BO89" i="3"/>
  <c r="BS120" i="3"/>
  <c r="CH156" i="7"/>
  <c r="AI108" i="3"/>
  <c r="AE104" i="3"/>
  <c r="AE108" i="3"/>
  <c r="CH158" i="7"/>
  <c r="AF95" i="3"/>
  <c r="AG88" i="3"/>
  <c r="AG94" i="3" s="1"/>
  <c r="CG138" i="3"/>
  <c r="CG165" i="3"/>
  <c r="CE20" i="1"/>
  <c r="CK123" i="1" s="1"/>
  <c r="AA95" i="3"/>
  <c r="AB88" i="3"/>
  <c r="AB94" i="3" s="1"/>
  <c r="AB95" i="3" s="1"/>
  <c r="CD138" i="3"/>
  <c r="CE144" i="3"/>
  <c r="CE151" i="3"/>
  <c r="CE155" i="3" s="1"/>
  <c r="CE27" i="3"/>
  <c r="AK95" i="3"/>
  <c r="AL88" i="3"/>
  <c r="AL94" i="3" s="1"/>
  <c r="CH155" i="7"/>
  <c r="AQ11" i="36" s="1"/>
  <c r="CH157" i="7"/>
  <c r="BP93" i="3"/>
  <c r="BQ38" i="3"/>
  <c r="BP37" i="3"/>
  <c r="CH169" i="3"/>
  <c r="AU88" i="3"/>
  <c r="AU94" i="3" s="1"/>
  <c r="AQ88" i="3"/>
  <c r="AQ94" i="3" s="1"/>
  <c r="AO95" i="3"/>
  <c r="AC115" i="3"/>
  <c r="AE106" i="3"/>
  <c r="AI106" i="3"/>
  <c r="BO120" i="3"/>
  <c r="BO121" i="3"/>
  <c r="BS121" i="3" s="1"/>
  <c r="BS122" i="3" s="1"/>
  <c r="DC41" i="3" l="1"/>
  <c r="DB190" i="3"/>
  <c r="BO198" i="3"/>
  <c r="BO199" i="3"/>
  <c r="DC32" i="3"/>
  <c r="DB191" i="3"/>
  <c r="CI31" i="8"/>
  <c r="CI23" i="8"/>
  <c r="EI24" i="8" s="1"/>
  <c r="EI13" i="8"/>
  <c r="AR10" i="36"/>
  <c r="AR21" i="36" s="1"/>
  <c r="CI43" i="8"/>
  <c r="CK152" i="7"/>
  <c r="DE74" i="4"/>
  <c r="DF73" i="4"/>
  <c r="DF41" i="1"/>
  <c r="DF85" i="4"/>
  <c r="DE83" i="4"/>
  <c r="DE86" i="4"/>
  <c r="DH39" i="3"/>
  <c r="DG92" i="3"/>
  <c r="CY154" i="3"/>
  <c r="CZ30" i="3"/>
  <c r="CZ187" i="3" s="1"/>
  <c r="CY147" i="3"/>
  <c r="CZ19" i="3"/>
  <c r="CK9" i="9"/>
  <c r="CI14" i="9"/>
  <c r="AQ22" i="36"/>
  <c r="AO43" i="36"/>
  <c r="CI156" i="7"/>
  <c r="AR12" i="36"/>
  <c r="CI155" i="7"/>
  <c r="AR11" i="36" s="1"/>
  <c r="CI169" i="3"/>
  <c r="CI158" i="7"/>
  <c r="CI157" i="7"/>
  <c r="CG120" i="1"/>
  <c r="CT151" i="7"/>
  <c r="CT149" i="7"/>
  <c r="CV150" i="7"/>
  <c r="CV148" i="7"/>
  <c r="CE165" i="3"/>
  <c r="CE60" i="3"/>
  <c r="CE68" i="1"/>
  <c r="CE54" i="1"/>
  <c r="CE53" i="1"/>
  <c r="CE136" i="7"/>
  <c r="CK124" i="1"/>
  <c r="CD88" i="7"/>
  <c r="CD81" i="7"/>
  <c r="CE47" i="8"/>
  <c r="CE8" i="8"/>
  <c r="CK67" i="7"/>
  <c r="CE12" i="7"/>
  <c r="CE75" i="7"/>
  <c r="CE81" i="7" s="1"/>
  <c r="CJ65" i="7"/>
  <c r="CJ96" i="7"/>
  <c r="CD47" i="8"/>
  <c r="CD8" i="8"/>
  <c r="CD73" i="7"/>
  <c r="CD86" i="7"/>
  <c r="CD91" i="7"/>
  <c r="CD87" i="7"/>
  <c r="CD76" i="7"/>
  <c r="CD89" i="7"/>
  <c r="CD90" i="7"/>
  <c r="CK78" i="7"/>
  <c r="CJ79" i="7"/>
  <c r="CD85" i="7"/>
  <c r="AS47" i="36"/>
  <c r="CD13" i="7"/>
  <c r="CD17" i="7"/>
  <c r="CD120" i="1"/>
  <c r="CA124" i="3"/>
  <c r="CA126" i="3" s="1"/>
  <c r="CE126" i="3" s="1"/>
  <c r="CE127" i="3" s="1"/>
  <c r="CG124" i="3" s="1"/>
  <c r="CG126" i="3" s="1"/>
  <c r="AQ55" i="4"/>
  <c r="AR52" i="4"/>
  <c r="AR54" i="4" s="1"/>
  <c r="BE76" i="4"/>
  <c r="BE78" i="4"/>
  <c r="BE72" i="4"/>
  <c r="BF68" i="4" s="1"/>
  <c r="BE77" i="4"/>
  <c r="AU55" i="4"/>
  <c r="AW52" i="4"/>
  <c r="AN52" i="4"/>
  <c r="AN54" i="4" s="1"/>
  <c r="AN55" i="4" s="1"/>
  <c r="AM55" i="4"/>
  <c r="BI76" i="4"/>
  <c r="BI78" i="4"/>
  <c r="BI72" i="4"/>
  <c r="BJ68" i="4" s="1"/>
  <c r="BI77" i="4"/>
  <c r="BM77" i="4"/>
  <c r="BM76" i="4"/>
  <c r="BM72" i="4"/>
  <c r="BM78" i="4"/>
  <c r="CG20" i="4"/>
  <c r="BU117" i="3"/>
  <c r="BY117" i="3"/>
  <c r="AM88" i="3"/>
  <c r="AM94" i="3" s="1"/>
  <c r="AL95" i="3"/>
  <c r="AW88" i="3"/>
  <c r="AW94" i="3" s="1"/>
  <c r="BA88" i="3"/>
  <c r="BA94" i="3" s="1"/>
  <c r="AU95" i="3"/>
  <c r="BQ93" i="3"/>
  <c r="BQ37" i="3"/>
  <c r="BR38" i="3"/>
  <c r="CE31" i="3"/>
  <c r="AH88" i="3"/>
  <c r="AH94" i="3" s="1"/>
  <c r="AH95" i="3" s="1"/>
  <c r="AG95" i="3"/>
  <c r="BO62" i="3"/>
  <c r="BO44" i="3"/>
  <c r="BO45" i="3" s="1"/>
  <c r="BO54" i="3"/>
  <c r="AQ95" i="3"/>
  <c r="AR88" i="3"/>
  <c r="AR94" i="3" s="1"/>
  <c r="BP89" i="3"/>
  <c r="BP40" i="3"/>
  <c r="BP42" i="3" s="1"/>
  <c r="CE138" i="3"/>
  <c r="AF99" i="3"/>
  <c r="AE110" i="3"/>
  <c r="AE114" i="3"/>
  <c r="CD77" i="7" l="1"/>
  <c r="CD80" i="7" s="1"/>
  <c r="AO52" i="36" s="1"/>
  <c r="AO105" i="36" s="1"/>
  <c r="AO106" i="36" s="1"/>
  <c r="AO5" i="36"/>
  <c r="AO16" i="36" s="1"/>
  <c r="DE41" i="3"/>
  <c r="DC190" i="3"/>
  <c r="BO202" i="3"/>
  <c r="BO56" i="3" s="1"/>
  <c r="BO201" i="3"/>
  <c r="BP54" i="3"/>
  <c r="BP192" i="3"/>
  <c r="DE32" i="3"/>
  <c r="DC191" i="3"/>
  <c r="CI42" i="8"/>
  <c r="AR105" i="36"/>
  <c r="AR106" i="36" s="1"/>
  <c r="CE120" i="1"/>
  <c r="CM152" i="7"/>
  <c r="DG41" i="1"/>
  <c r="DI65" i="4"/>
  <c r="DI41" i="1" s="1"/>
  <c r="DG85" i="4"/>
  <c r="DG73" i="4"/>
  <c r="DF74" i="4"/>
  <c r="DF86" i="4"/>
  <c r="DF83" i="4"/>
  <c r="DA19" i="3"/>
  <c r="CZ147" i="3"/>
  <c r="CZ154" i="3"/>
  <c r="DA30" i="3"/>
  <c r="DA187" i="3" s="1"/>
  <c r="DH92" i="3"/>
  <c r="DI92" i="3" s="1"/>
  <c r="DI39" i="3"/>
  <c r="CJ14" i="9"/>
  <c r="CM9" i="9"/>
  <c r="CK41" i="9"/>
  <c r="CD121" i="1"/>
  <c r="CD125" i="1"/>
  <c r="CG125" i="1"/>
  <c r="AQ105" i="36"/>
  <c r="AQ106" i="36" s="1"/>
  <c r="AS42" i="36"/>
  <c r="AW51" i="36"/>
  <c r="AW64" i="36" s="1"/>
  <c r="AW65" i="36" s="1"/>
  <c r="CH168" i="3"/>
  <c r="CH15" i="1"/>
  <c r="AR23" i="36"/>
  <c r="AR22" i="36"/>
  <c r="AS56" i="36"/>
  <c r="CI15" i="1"/>
  <c r="CI168" i="3"/>
  <c r="CG121" i="1"/>
  <c r="CW148" i="7"/>
  <c r="CW150" i="7"/>
  <c r="CU149" i="7"/>
  <c r="CU151" i="7"/>
  <c r="CD41" i="7"/>
  <c r="CD18" i="7"/>
  <c r="CD24" i="7"/>
  <c r="CD33" i="7"/>
  <c r="CK41" i="8"/>
  <c r="CK68" i="7"/>
  <c r="CK35" i="8" s="1"/>
  <c r="CK56" i="7"/>
  <c r="CK36" i="8"/>
  <c r="CD26" i="8"/>
  <c r="EF8" i="8"/>
  <c r="CD18" i="8"/>
  <c r="EF19" i="8" s="1"/>
  <c r="CG26" i="8"/>
  <c r="CE90" i="7"/>
  <c r="CE86" i="7"/>
  <c r="CE87" i="7"/>
  <c r="CE73" i="7"/>
  <c r="CE89" i="7"/>
  <c r="CE76" i="7"/>
  <c r="CE77" i="7" s="1"/>
  <c r="CE91" i="7"/>
  <c r="CE85" i="7"/>
  <c r="CE88" i="7"/>
  <c r="CJ8" i="8"/>
  <c r="CJ47" i="8"/>
  <c r="CE96" i="7"/>
  <c r="CE70" i="7"/>
  <c r="CE13" i="7"/>
  <c r="CE17" i="7"/>
  <c r="CE18" i="8"/>
  <c r="CE79" i="7"/>
  <c r="CJ12" i="7"/>
  <c r="CP50" i="8"/>
  <c r="CK65" i="7"/>
  <c r="CQ67" i="7" s="1"/>
  <c r="AW54" i="4"/>
  <c r="BA52" i="4"/>
  <c r="BA54" i="4" s="1"/>
  <c r="AR55" i="4"/>
  <c r="AS52" i="4"/>
  <c r="AS54" i="4" s="1"/>
  <c r="BO68" i="4"/>
  <c r="BS68" i="4"/>
  <c r="BJ72" i="4"/>
  <c r="BK68" i="4" s="1"/>
  <c r="BJ78" i="4"/>
  <c r="BJ77" i="4"/>
  <c r="BJ76" i="4"/>
  <c r="BF77" i="4"/>
  <c r="BF76" i="4"/>
  <c r="BF72" i="4"/>
  <c r="BF78" i="4"/>
  <c r="AE109" i="3"/>
  <c r="AF106" i="3"/>
  <c r="AE115" i="3"/>
  <c r="AR95" i="3"/>
  <c r="AS88" i="3"/>
  <c r="AS94" i="3" s="1"/>
  <c r="BQ89" i="3"/>
  <c r="BQ40" i="3"/>
  <c r="BQ42" i="3" s="1"/>
  <c r="BR89" i="3"/>
  <c r="AW95" i="3"/>
  <c r="AX88" i="3"/>
  <c r="AX94" i="3" s="1"/>
  <c r="BY120" i="3"/>
  <c r="AF104" i="3"/>
  <c r="AF108" i="3"/>
  <c r="BP44" i="3"/>
  <c r="BP45" i="3" s="1"/>
  <c r="BP62" i="3"/>
  <c r="BU120" i="3"/>
  <c r="BU121" i="3"/>
  <c r="BY121" i="3" s="1"/>
  <c r="BY122" i="3" s="1"/>
  <c r="CE117" i="3" s="1"/>
  <c r="AN88" i="3"/>
  <c r="AN94" i="3" s="1"/>
  <c r="AN95" i="3" s="1"/>
  <c r="AM95" i="3"/>
  <c r="BS38" i="3"/>
  <c r="BR93" i="3"/>
  <c r="BS93" i="3" s="1"/>
  <c r="BR40" i="3"/>
  <c r="BR42" i="3" s="1"/>
  <c r="BR192" i="3" s="1"/>
  <c r="BC88" i="3"/>
  <c r="BC94" i="3" s="1"/>
  <c r="BA95" i="3"/>
  <c r="BG88" i="3"/>
  <c r="BG94" i="3" s="1"/>
  <c r="CD13" i="8" l="1"/>
  <c r="CD46" i="8"/>
  <c r="CD127" i="1"/>
  <c r="CD128" i="1" s="1"/>
  <c r="AO66" i="36"/>
  <c r="AO69" i="36" s="1"/>
  <c r="AO70" i="36" s="1"/>
  <c r="CJ75" i="7"/>
  <c r="CP79" i="7" s="1"/>
  <c r="CI50" i="1"/>
  <c r="CI49" i="1"/>
  <c r="AR82" i="36" s="1"/>
  <c r="DF41" i="3"/>
  <c r="DE190" i="3"/>
  <c r="BQ54" i="3"/>
  <c r="BQ192" i="3"/>
  <c r="DF32" i="3"/>
  <c r="DE191" i="3"/>
  <c r="BR198" i="3"/>
  <c r="BR201" i="3" s="1"/>
  <c r="BR199" i="3"/>
  <c r="BR202" i="3" s="1"/>
  <c r="BR56" i="3" s="1"/>
  <c r="BP198" i="3"/>
  <c r="BP199" i="3"/>
  <c r="CI80" i="1"/>
  <c r="CE125" i="1"/>
  <c r="CY150" i="7"/>
  <c r="CY148" i="7"/>
  <c r="CE121" i="1"/>
  <c r="CH50" i="1"/>
  <c r="CH49" i="1"/>
  <c r="CN152" i="7"/>
  <c r="DH85" i="4"/>
  <c r="DH41" i="1"/>
  <c r="DH73" i="4"/>
  <c r="DG74" i="4"/>
  <c r="DG86" i="4"/>
  <c r="DG83" i="4"/>
  <c r="DB30" i="3"/>
  <c r="DB187" i="3" s="1"/>
  <c r="DA154" i="3"/>
  <c r="DA147" i="3"/>
  <c r="DB19" i="3"/>
  <c r="CN9" i="9"/>
  <c r="CK14" i="9"/>
  <c r="CH80" i="1"/>
  <c r="CH20" i="1"/>
  <c r="AW33" i="36"/>
  <c r="CH151" i="3"/>
  <c r="CH155" i="3" s="1"/>
  <c r="CH144" i="3"/>
  <c r="AS57" i="36"/>
  <c r="AS29" i="36" s="1"/>
  <c r="CJ18" i="8"/>
  <c r="EJ19" i="8" s="1"/>
  <c r="AS5" i="36"/>
  <c r="CI151" i="3"/>
  <c r="CI155" i="3" s="1"/>
  <c r="CI27" i="3"/>
  <c r="CI144" i="3"/>
  <c r="CI20" i="1"/>
  <c r="CG126" i="1"/>
  <c r="CV151" i="7"/>
  <c r="CV149" i="7"/>
  <c r="CE120" i="3"/>
  <c r="CE80" i="7"/>
  <c r="CE127" i="1" s="1"/>
  <c r="CJ15" i="7"/>
  <c r="EJ8" i="8"/>
  <c r="CJ26" i="8"/>
  <c r="CK34" i="8"/>
  <c r="CK27" i="7"/>
  <c r="CK36" i="7"/>
  <c r="CK44" i="7"/>
  <c r="CJ13" i="7"/>
  <c r="CE33" i="7"/>
  <c r="CE18" i="7"/>
  <c r="CE24" i="7"/>
  <c r="CE41" i="7"/>
  <c r="CE12" i="8"/>
  <c r="CE22" i="8" s="1"/>
  <c r="CE50" i="8"/>
  <c r="CK69" i="7"/>
  <c r="CK66" i="7"/>
  <c r="CK12" i="7"/>
  <c r="CD126" i="1"/>
  <c r="AS55" i="4"/>
  <c r="AT52" i="4"/>
  <c r="AT54" i="4" s="1"/>
  <c r="AT55" i="4" s="1"/>
  <c r="BK76" i="4"/>
  <c r="BK77" i="4"/>
  <c r="BK72" i="4"/>
  <c r="BL68" i="4" s="1"/>
  <c r="BK78" i="4"/>
  <c r="BS78" i="4"/>
  <c r="BS77" i="4"/>
  <c r="BS72" i="4"/>
  <c r="BS76" i="4"/>
  <c r="BC52" i="4"/>
  <c r="BA55" i="4"/>
  <c r="BO72" i="4"/>
  <c r="BP68" i="4" s="1"/>
  <c r="BO78" i="4"/>
  <c r="BO76" i="4"/>
  <c r="BO77" i="4"/>
  <c r="AX52" i="4"/>
  <c r="AX54" i="4" s="1"/>
  <c r="AW55" i="4"/>
  <c r="BS89" i="3"/>
  <c r="CA117" i="3"/>
  <c r="BR62" i="3"/>
  <c r="BR44" i="3"/>
  <c r="BR45" i="3" s="1"/>
  <c r="BU38" i="3"/>
  <c r="BS40" i="3"/>
  <c r="BS42" i="3" s="1"/>
  <c r="BS192" i="3" s="1"/>
  <c r="BD88" i="3"/>
  <c r="BD94" i="3" s="1"/>
  <c r="BC95" i="3"/>
  <c r="AT88" i="3"/>
  <c r="AT94" i="3" s="1"/>
  <c r="AT95" i="3" s="1"/>
  <c r="AS95" i="3"/>
  <c r="BG95" i="3"/>
  <c r="BM88" i="3"/>
  <c r="BM94" i="3" s="1"/>
  <c r="BI88" i="3"/>
  <c r="BI94" i="3" s="1"/>
  <c r="AF110" i="3"/>
  <c r="AG99" i="3"/>
  <c r="AF114" i="3"/>
  <c r="BQ62" i="3"/>
  <c r="BQ44" i="3"/>
  <c r="BQ45" i="3" s="1"/>
  <c r="BR54" i="3"/>
  <c r="AX95" i="3"/>
  <c r="AY88" i="3"/>
  <c r="AY94" i="3" s="1"/>
  <c r="CD14" i="8" l="1"/>
  <c r="CD23" i="8"/>
  <c r="EF24" i="8" s="1"/>
  <c r="EF13" i="8"/>
  <c r="CD43" i="8"/>
  <c r="AO10" i="36"/>
  <c r="AO21" i="36" s="1"/>
  <c r="CD31" i="8"/>
  <c r="AO67" i="36"/>
  <c r="AO68" i="36" s="1"/>
  <c r="AS43" i="36"/>
  <c r="CJ73" i="7"/>
  <c r="CJ86" i="7"/>
  <c r="CJ87" i="7"/>
  <c r="CJ76" i="7"/>
  <c r="CJ91" i="7"/>
  <c r="CJ85" i="7"/>
  <c r="CJ89" i="7"/>
  <c r="CI66" i="3"/>
  <c r="CI67" i="3"/>
  <c r="CJ90" i="7"/>
  <c r="CJ88" i="7"/>
  <c r="CI60" i="3"/>
  <c r="CI54" i="1"/>
  <c r="CI68" i="1"/>
  <c r="CI53" i="1"/>
  <c r="CI136" i="7"/>
  <c r="CJ122" i="1"/>
  <c r="DG41" i="3"/>
  <c r="DF190" i="3"/>
  <c r="BP202" i="3"/>
  <c r="BP56" i="3" s="1"/>
  <c r="BP201" i="3"/>
  <c r="BQ198" i="3"/>
  <c r="BQ201" i="3" s="1"/>
  <c r="BQ199" i="3"/>
  <c r="BQ202" i="3" s="1"/>
  <c r="BQ56" i="3" s="1"/>
  <c r="BS199" i="3"/>
  <c r="BS198" i="3"/>
  <c r="DG32" i="3"/>
  <c r="DF191" i="3"/>
  <c r="AT76" i="36"/>
  <c r="AT88" i="36" s="1"/>
  <c r="AR76" i="36"/>
  <c r="CE126" i="1"/>
  <c r="AR96" i="36"/>
  <c r="AR102" i="36" s="1"/>
  <c r="CZ148" i="7"/>
  <c r="CZ150" i="7"/>
  <c r="AQ82" i="36"/>
  <c r="AQ76" i="36" s="1"/>
  <c r="AQ88" i="36" s="1"/>
  <c r="CH60" i="3"/>
  <c r="CH54" i="1"/>
  <c r="CH53" i="1"/>
  <c r="CH136" i="7"/>
  <c r="CO152" i="7"/>
  <c r="DH74" i="4"/>
  <c r="DI73" i="4"/>
  <c r="DI74" i="4" s="1"/>
  <c r="DH83" i="4"/>
  <c r="DI83" i="4" s="1"/>
  <c r="DI85" i="4" s="1"/>
  <c r="DI86" i="4" s="1"/>
  <c r="DH86" i="4"/>
  <c r="DC19" i="3"/>
  <c r="DB147" i="3"/>
  <c r="DB154" i="3"/>
  <c r="DC30" i="3"/>
  <c r="DC187" i="3" s="1"/>
  <c r="CK46" i="9"/>
  <c r="CM14" i="9"/>
  <c r="CO9" i="9"/>
  <c r="CG55" i="1"/>
  <c r="CD55" i="1"/>
  <c r="CH68" i="1"/>
  <c r="CH138" i="3"/>
  <c r="CH165" i="3"/>
  <c r="AQ96" i="36"/>
  <c r="AQ102" i="36" s="1"/>
  <c r="CI20" i="4"/>
  <c r="CH20" i="4"/>
  <c r="CD129" i="1"/>
  <c r="CD67" i="1"/>
  <c r="AS16" i="36"/>
  <c r="CI138" i="3"/>
  <c r="CI165" i="3"/>
  <c r="CI31" i="3"/>
  <c r="CJ81" i="7"/>
  <c r="CJ17" i="7"/>
  <c r="CJ41" i="7" s="1"/>
  <c r="CW149" i="7"/>
  <c r="CW151" i="7"/>
  <c r="CE46" i="8"/>
  <c r="CE13" i="8"/>
  <c r="CE128" i="1"/>
  <c r="CK13" i="7"/>
  <c r="CJ62" i="1"/>
  <c r="CJ40" i="8" s="1"/>
  <c r="CJ137" i="3"/>
  <c r="CJ167" i="3"/>
  <c r="CJ145" i="7"/>
  <c r="CK96" i="7"/>
  <c r="CK70" i="7"/>
  <c r="CM68" i="7"/>
  <c r="CM41" i="8"/>
  <c r="CM56" i="7"/>
  <c r="CM36" i="8"/>
  <c r="BG52" i="4"/>
  <c r="BG54" i="4" s="1"/>
  <c r="BC54" i="4"/>
  <c r="AY52" i="4"/>
  <c r="AY54" i="4" s="1"/>
  <c r="AX55" i="4"/>
  <c r="BP77" i="4"/>
  <c r="BP72" i="4"/>
  <c r="BQ68" i="4" s="1"/>
  <c r="BP76" i="4"/>
  <c r="BP78" i="4"/>
  <c r="BU68" i="4"/>
  <c r="BY68" i="4"/>
  <c r="BL78" i="4"/>
  <c r="BL72" i="4"/>
  <c r="BL77" i="4"/>
  <c r="BL76" i="4"/>
  <c r="BV38" i="3"/>
  <c r="BU93" i="3"/>
  <c r="BU37" i="3"/>
  <c r="CA120" i="3"/>
  <c r="CA121" i="3"/>
  <c r="CE121" i="3" s="1"/>
  <c r="CE122" i="3" s="1"/>
  <c r="BS62" i="3"/>
  <c r="BS44" i="3"/>
  <c r="BS45" i="3" s="1"/>
  <c r="BS54" i="3"/>
  <c r="AG104" i="3"/>
  <c r="AG108" i="3"/>
  <c r="BJ88" i="3"/>
  <c r="BJ94" i="3" s="1"/>
  <c r="BI95" i="3"/>
  <c r="AZ88" i="3"/>
  <c r="AZ94" i="3" s="1"/>
  <c r="AZ95" i="3" s="1"/>
  <c r="AY95" i="3"/>
  <c r="AF115" i="3"/>
  <c r="AG106" i="3"/>
  <c r="AF109" i="3"/>
  <c r="BS88" i="3"/>
  <c r="BS94" i="3" s="1"/>
  <c r="BM95" i="3"/>
  <c r="BO88" i="3"/>
  <c r="BO94" i="3" s="1"/>
  <c r="BD95" i="3"/>
  <c r="BE88" i="3"/>
  <c r="BE94" i="3" s="1"/>
  <c r="CG117" i="3" l="1"/>
  <c r="CK117" i="3"/>
  <c r="CE23" i="8"/>
  <c r="CE14" i="8"/>
  <c r="CK79" i="1"/>
  <c r="CK86" i="1"/>
  <c r="CK94" i="1"/>
  <c r="CD42" i="8"/>
  <c r="AO34" i="36"/>
  <c r="CJ77" i="7"/>
  <c r="CJ80" i="7" s="1"/>
  <c r="AS52" i="36" s="1"/>
  <c r="AS66" i="36" s="1"/>
  <c r="AS67" i="36" s="1"/>
  <c r="AS68" i="36" s="1"/>
  <c r="AS94" i="36"/>
  <c r="AS100" i="36" s="1"/>
  <c r="AS95" i="36"/>
  <c r="AS101" i="36" s="1"/>
  <c r="CK122" i="1"/>
  <c r="DH41" i="3"/>
  <c r="DG190" i="3"/>
  <c r="BS201" i="3"/>
  <c r="BS202" i="3"/>
  <c r="BS56" i="3" s="1"/>
  <c r="DH32" i="3"/>
  <c r="DG191" i="3"/>
  <c r="CE55" i="1"/>
  <c r="AV88" i="36"/>
  <c r="AR88" i="36"/>
  <c r="CY151" i="7"/>
  <c r="CY149" i="7"/>
  <c r="DA150" i="7"/>
  <c r="DA148" i="7"/>
  <c r="CH120" i="1"/>
  <c r="CI120" i="1"/>
  <c r="CP152" i="7"/>
  <c r="DE30" i="3"/>
  <c r="DE187" i="3" s="1"/>
  <c r="DC154" i="3"/>
  <c r="DC147" i="3"/>
  <c r="DE19" i="3"/>
  <c r="CP9" i="9"/>
  <c r="CN14" i="9"/>
  <c r="CE129" i="1"/>
  <c r="CE67" i="1"/>
  <c r="CG120" i="3"/>
  <c r="CG121" i="3"/>
  <c r="CK121" i="3" s="1"/>
  <c r="CJ18" i="7"/>
  <c r="CJ24" i="7"/>
  <c r="CJ33" i="7"/>
  <c r="CE43" i="8"/>
  <c r="CK145" i="7"/>
  <c r="CK167" i="3"/>
  <c r="CK62" i="1"/>
  <c r="CK40" i="8" s="1"/>
  <c r="CK137" i="3"/>
  <c r="CK26" i="3"/>
  <c r="CK85" i="3" s="1"/>
  <c r="CJ153" i="3"/>
  <c r="CJ65" i="1"/>
  <c r="CK17" i="1"/>
  <c r="CK87" i="1" s="1"/>
  <c r="CJ171" i="3"/>
  <c r="CK17" i="4"/>
  <c r="CJ166" i="3"/>
  <c r="CK12" i="3"/>
  <c r="CJ143" i="3"/>
  <c r="CJ143" i="7"/>
  <c r="CJ159" i="7"/>
  <c r="CJ141" i="7"/>
  <c r="AS12" i="36" s="1"/>
  <c r="CJ142" i="7"/>
  <c r="CJ144" i="7"/>
  <c r="CJ64" i="1"/>
  <c r="CJ19" i="1"/>
  <c r="CK16" i="1"/>
  <c r="CK14" i="3"/>
  <c r="CK83" i="3" s="1"/>
  <c r="CK25" i="4"/>
  <c r="CJ145" i="3"/>
  <c r="CK12" i="8"/>
  <c r="CK50" i="8"/>
  <c r="CK25" i="3"/>
  <c r="CK84" i="3" s="1"/>
  <c r="CJ152" i="3"/>
  <c r="CK24" i="4"/>
  <c r="CJ15" i="1"/>
  <c r="CJ168" i="3"/>
  <c r="CJ63" i="1"/>
  <c r="CK100" i="3"/>
  <c r="CK101" i="3" s="1"/>
  <c r="CN41" i="8"/>
  <c r="CN36" i="8"/>
  <c r="CN56" i="7"/>
  <c r="CN68" i="7"/>
  <c r="CM34" i="8"/>
  <c r="CM36" i="7"/>
  <c r="CM34" i="7" s="1"/>
  <c r="CM44" i="7"/>
  <c r="CM42" i="7" s="1"/>
  <c r="CM66" i="7"/>
  <c r="CM35" i="8"/>
  <c r="AZ52" i="4"/>
  <c r="AZ54" i="4" s="1"/>
  <c r="AZ55" i="4" s="1"/>
  <c r="AY55" i="4"/>
  <c r="BY76" i="4"/>
  <c r="BY72" i="4"/>
  <c r="CE68" i="4" s="1"/>
  <c r="BY78" i="4"/>
  <c r="BY77" i="4"/>
  <c r="BQ78" i="4"/>
  <c r="BQ76" i="4"/>
  <c r="BQ77" i="4"/>
  <c r="BQ72" i="4"/>
  <c r="BR68" i="4" s="1"/>
  <c r="BC55" i="4"/>
  <c r="BD52" i="4"/>
  <c r="BD54" i="4" s="1"/>
  <c r="BU78" i="4"/>
  <c r="BU77" i="4"/>
  <c r="BU76" i="4"/>
  <c r="BU72" i="4"/>
  <c r="BV68" i="4" s="1"/>
  <c r="BG55" i="4"/>
  <c r="BI52" i="4"/>
  <c r="BF88" i="3"/>
  <c r="BF94" i="3" s="1"/>
  <c r="BF95" i="3" s="1"/>
  <c r="BE95" i="3"/>
  <c r="BU88" i="3"/>
  <c r="BS95" i="3"/>
  <c r="BY88" i="3"/>
  <c r="BU89" i="3"/>
  <c r="BU40" i="3"/>
  <c r="BU42" i="3" s="1"/>
  <c r="BU192" i="3" s="1"/>
  <c r="BJ95" i="3"/>
  <c r="BK88" i="3"/>
  <c r="BK94" i="3" s="1"/>
  <c r="BO95" i="3"/>
  <c r="BP88" i="3"/>
  <c r="BP94" i="3" s="1"/>
  <c r="BV37" i="3"/>
  <c r="BV93" i="3"/>
  <c r="BW38" i="3"/>
  <c r="AH99" i="3"/>
  <c r="AG114" i="3"/>
  <c r="AG110" i="3"/>
  <c r="CK122" i="3" l="1"/>
  <c r="CK120" i="3"/>
  <c r="CJ80" i="1"/>
  <c r="CJ50" i="1"/>
  <c r="CJ49" i="1"/>
  <c r="AS82" i="36" s="1"/>
  <c r="CJ127" i="1"/>
  <c r="AS105" i="36"/>
  <c r="AS106" i="36" s="1"/>
  <c r="CJ46" i="8"/>
  <c r="CJ13" i="8"/>
  <c r="DI41" i="3"/>
  <c r="DI190" i="3" s="1"/>
  <c r="DH190" i="3"/>
  <c r="BU198" i="3"/>
  <c r="BU199" i="3"/>
  <c r="DI32" i="3"/>
  <c r="DI191" i="3" s="1"/>
  <c r="DH191" i="3"/>
  <c r="CH121" i="1"/>
  <c r="CH125" i="1"/>
  <c r="CI125" i="1"/>
  <c r="CZ149" i="7"/>
  <c r="CZ151" i="7"/>
  <c r="DB148" i="7"/>
  <c r="DB150" i="7"/>
  <c r="CI121" i="1"/>
  <c r="CQ152" i="7"/>
  <c r="DF19" i="3"/>
  <c r="DE147" i="3"/>
  <c r="DE154" i="3"/>
  <c r="DF30" i="3"/>
  <c r="DF187" i="3" s="1"/>
  <c r="CQ9" i="9"/>
  <c r="CO14" i="9"/>
  <c r="AS34" i="36"/>
  <c r="AS23" i="36"/>
  <c r="CE72" i="4"/>
  <c r="CE77" i="4"/>
  <c r="CE78" i="4"/>
  <c r="CE76" i="4"/>
  <c r="CE42" i="8"/>
  <c r="CK152" i="3"/>
  <c r="CK19" i="1"/>
  <c r="CK64" i="1"/>
  <c r="CK51" i="1"/>
  <c r="CJ156" i="7"/>
  <c r="CK171" i="3"/>
  <c r="CK173" i="3"/>
  <c r="CJ20" i="1"/>
  <c r="CJ66" i="1"/>
  <c r="CJ169" i="3"/>
  <c r="CJ155" i="7"/>
  <c r="AS11" i="36" s="1"/>
  <c r="CK65" i="1"/>
  <c r="CK52" i="1"/>
  <c r="CK145" i="3"/>
  <c r="CJ157" i="7"/>
  <c r="CJ33" i="4"/>
  <c r="CK30" i="4"/>
  <c r="CK46" i="1"/>
  <c r="CK63" i="1"/>
  <c r="CK168" i="3"/>
  <c r="CK22" i="8"/>
  <c r="CK21" i="4"/>
  <c r="CK153" i="3"/>
  <c r="CK80" i="1"/>
  <c r="CJ144" i="3"/>
  <c r="CK13" i="3"/>
  <c r="CK22" i="4"/>
  <c r="CJ151" i="3"/>
  <c r="CJ155" i="3" s="1"/>
  <c r="CK24" i="3"/>
  <c r="CK23" i="4"/>
  <c r="CJ27" i="3"/>
  <c r="CJ158" i="7"/>
  <c r="CK143" i="3"/>
  <c r="CK71" i="3"/>
  <c r="CK144" i="7"/>
  <c r="CK142" i="7"/>
  <c r="CK143" i="7"/>
  <c r="CK159" i="7"/>
  <c r="CK141" i="7"/>
  <c r="CN36" i="7"/>
  <c r="CN34" i="7" s="1"/>
  <c r="CN32" i="7" s="1"/>
  <c r="AU40" i="36" s="1"/>
  <c r="CN34" i="8"/>
  <c r="CN44" i="7"/>
  <c r="CN42" i="7" s="1"/>
  <c r="CN40" i="7" s="1"/>
  <c r="AU41" i="36" s="1"/>
  <c r="CN35" i="8"/>
  <c r="CN66" i="7"/>
  <c r="CM96" i="7"/>
  <c r="CM65" i="7"/>
  <c r="AT42" i="36" s="1"/>
  <c r="CO36" i="8"/>
  <c r="CO56" i="7"/>
  <c r="CO68" i="7"/>
  <c r="CO41" i="8"/>
  <c r="BV72" i="4"/>
  <c r="BW68" i="4" s="1"/>
  <c r="BV76" i="4"/>
  <c r="BV78" i="4"/>
  <c r="BV77" i="4"/>
  <c r="BD55" i="4"/>
  <c r="BE52" i="4"/>
  <c r="BE54" i="4" s="1"/>
  <c r="CA68" i="4"/>
  <c r="BM52" i="4"/>
  <c r="BM54" i="4" s="1"/>
  <c r="BI54" i="4"/>
  <c r="BR77" i="4"/>
  <c r="BR78" i="4"/>
  <c r="BR72" i="4"/>
  <c r="BR76" i="4"/>
  <c r="BU94" i="3"/>
  <c r="BU95" i="3" s="1"/>
  <c r="BV40" i="3"/>
  <c r="BV42" i="3" s="1"/>
  <c r="BV89" i="3"/>
  <c r="BK95" i="3"/>
  <c r="BL88" i="3"/>
  <c r="BL94" i="3" s="1"/>
  <c r="BL95" i="3" s="1"/>
  <c r="AH103" i="3"/>
  <c r="AI103" i="3" s="1"/>
  <c r="AI104" i="3" s="1"/>
  <c r="AH108" i="3"/>
  <c r="BQ88" i="3"/>
  <c r="BQ94" i="3" s="1"/>
  <c r="BP95" i="3"/>
  <c r="AG109" i="3"/>
  <c r="AG115" i="3"/>
  <c r="AH106" i="3"/>
  <c r="AH109" i="3" s="1"/>
  <c r="BW37" i="3"/>
  <c r="BW93" i="3"/>
  <c r="BX38" i="3"/>
  <c r="CA38" i="3" s="1"/>
  <c r="CB38" i="3" s="1"/>
  <c r="CC38" i="3" s="1"/>
  <c r="BU44" i="3"/>
  <c r="BU45" i="3" s="1"/>
  <c r="BU62" i="3"/>
  <c r="BU54" i="3"/>
  <c r="CJ54" i="1" l="1"/>
  <c r="CJ53" i="1"/>
  <c r="CJ14" i="8"/>
  <c r="AS76" i="36"/>
  <c r="AU76" i="36"/>
  <c r="AU88" i="36" s="1"/>
  <c r="CJ31" i="8"/>
  <c r="EJ13" i="8"/>
  <c r="CJ43" i="8"/>
  <c r="AS10" i="36"/>
  <c r="AS21" i="36" s="1"/>
  <c r="CJ23" i="8"/>
  <c r="EJ24" i="8" s="1"/>
  <c r="BU202" i="3"/>
  <c r="BU56" i="3" s="1"/>
  <c r="BU201" i="3"/>
  <c r="BV54" i="3"/>
  <c r="BV192" i="3"/>
  <c r="CH128" i="1"/>
  <c r="CH129" i="1" s="1"/>
  <c r="CH126" i="1"/>
  <c r="CI128" i="1"/>
  <c r="CI126" i="1"/>
  <c r="CI55" i="1" s="1"/>
  <c r="DC150" i="7"/>
  <c r="DA149" i="7"/>
  <c r="DC148" i="7"/>
  <c r="DA151" i="7"/>
  <c r="CS152" i="7"/>
  <c r="DF154" i="3"/>
  <c r="DG30" i="3"/>
  <c r="DG187" i="3" s="1"/>
  <c r="DG19" i="3"/>
  <c r="DF147" i="3"/>
  <c r="CQ41" i="9"/>
  <c r="CP14" i="9"/>
  <c r="AS96" i="36"/>
  <c r="AS102" i="36" s="1"/>
  <c r="AS22" i="36"/>
  <c r="CK146" i="7"/>
  <c r="CJ20" i="4"/>
  <c r="CK158" i="7"/>
  <c r="CK27" i="3"/>
  <c r="CK151" i="3"/>
  <c r="CK155" i="3" s="1"/>
  <c r="CK50" i="1"/>
  <c r="CK49" i="1"/>
  <c r="CK20" i="1"/>
  <c r="CQ124" i="1" s="1"/>
  <c r="CK20" i="4"/>
  <c r="CK169" i="3"/>
  <c r="CK66" i="1"/>
  <c r="CK157" i="7"/>
  <c r="CJ68" i="1"/>
  <c r="CJ138" i="3"/>
  <c r="CJ165" i="3"/>
  <c r="CK155" i="7"/>
  <c r="CK156" i="7"/>
  <c r="CK72" i="3"/>
  <c r="CK144" i="3"/>
  <c r="CK73" i="3"/>
  <c r="BV88" i="3"/>
  <c r="BV94" i="3" s="1"/>
  <c r="BW88" i="3" s="1"/>
  <c r="CO35" i="8"/>
  <c r="CO66" i="7"/>
  <c r="CT32" i="7"/>
  <c r="CZ32" i="7" s="1"/>
  <c r="CP36" i="8"/>
  <c r="CP41" i="8"/>
  <c r="CP68" i="7"/>
  <c r="CP56" i="7"/>
  <c r="CO36" i="7"/>
  <c r="CO34" i="7" s="1"/>
  <c r="CO32" i="7" s="1"/>
  <c r="AV40" i="36" s="1"/>
  <c r="CO44" i="7"/>
  <c r="CO42" i="7" s="1"/>
  <c r="CO40" i="7" s="1"/>
  <c r="AV41" i="36" s="1"/>
  <c r="CO34" i="8"/>
  <c r="CN96" i="7"/>
  <c r="CN65" i="7"/>
  <c r="AU42" i="36" s="1"/>
  <c r="CM12" i="7"/>
  <c r="CM13" i="7" s="1"/>
  <c r="CS65" i="7"/>
  <c r="CS50" i="8"/>
  <c r="CT40" i="7"/>
  <c r="CZ40" i="7" s="1"/>
  <c r="AI109" i="3"/>
  <c r="AI110" i="3" s="1"/>
  <c r="AI115" i="3" s="1"/>
  <c r="CA78" i="4"/>
  <c r="CA76" i="4"/>
  <c r="CA77" i="4"/>
  <c r="CA72" i="4"/>
  <c r="CB68" i="4" s="1"/>
  <c r="BI55" i="4"/>
  <c r="BJ52" i="4"/>
  <c r="BJ54" i="4" s="1"/>
  <c r="BE55" i="4"/>
  <c r="BF52" i="4"/>
  <c r="BF54" i="4" s="1"/>
  <c r="BF55" i="4" s="1"/>
  <c r="BO52" i="4"/>
  <c r="BM55" i="4"/>
  <c r="BW77" i="4"/>
  <c r="BW76" i="4"/>
  <c r="BW78" i="4"/>
  <c r="BW72" i="4"/>
  <c r="BX68" i="4" s="1"/>
  <c r="BW40" i="3"/>
  <c r="BW42" i="3" s="1"/>
  <c r="BW89" i="3"/>
  <c r="BX89" i="3"/>
  <c r="AI114" i="3"/>
  <c r="AK99" i="3"/>
  <c r="AO99" i="3"/>
  <c r="BX93" i="3"/>
  <c r="BY93" i="3" s="1"/>
  <c r="BX40" i="3"/>
  <c r="BX42" i="3" s="1"/>
  <c r="BX192" i="3" s="1"/>
  <c r="BY38" i="3"/>
  <c r="BQ95" i="3"/>
  <c r="BR88" i="3"/>
  <c r="BR94" i="3" s="1"/>
  <c r="BR95" i="3" s="1"/>
  <c r="BV62" i="3"/>
  <c r="BV44" i="3"/>
  <c r="BV45" i="3" s="1"/>
  <c r="AW88" i="36" l="1"/>
  <c r="AS88" i="36"/>
  <c r="CJ42" i="8"/>
  <c r="CH55" i="1"/>
  <c r="CI67" i="1"/>
  <c r="BX198" i="3"/>
  <c r="BX201" i="3" s="1"/>
  <c r="BX199" i="3"/>
  <c r="BX202" i="3" s="1"/>
  <c r="BX56" i="3" s="1"/>
  <c r="BW54" i="3"/>
  <c r="BW192" i="3"/>
  <c r="BV198" i="3"/>
  <c r="BV199" i="3"/>
  <c r="CH67" i="1"/>
  <c r="CI129" i="1"/>
  <c r="DE148" i="7"/>
  <c r="DB149" i="7"/>
  <c r="DE150" i="7"/>
  <c r="DB151" i="7"/>
  <c r="CJ120" i="1"/>
  <c r="CJ121" i="1" s="1"/>
  <c r="CT152" i="7"/>
  <c r="DH30" i="3"/>
  <c r="DH187" i="3" s="1"/>
  <c r="DG154" i="3"/>
  <c r="DG147" i="3"/>
  <c r="DH19" i="3"/>
  <c r="CY65" i="7"/>
  <c r="CY50" i="8"/>
  <c r="DF40" i="7"/>
  <c r="DF32" i="7"/>
  <c r="CQ14" i="9"/>
  <c r="CQ123" i="1"/>
  <c r="CQ122" i="1"/>
  <c r="CK74" i="3"/>
  <c r="CK68" i="1"/>
  <c r="CK165" i="3"/>
  <c r="CK138" i="3"/>
  <c r="CK54" i="1"/>
  <c r="CK53" i="1"/>
  <c r="BV95" i="3"/>
  <c r="AO106" i="3"/>
  <c r="AI112" i="3"/>
  <c r="AK106" i="3"/>
  <c r="BW94" i="3"/>
  <c r="BX88" i="3" s="1"/>
  <c r="BX94" i="3" s="1"/>
  <c r="BX95" i="3" s="1"/>
  <c r="CO96" i="7"/>
  <c r="CO65" i="7"/>
  <c r="AV42" i="36" s="1"/>
  <c r="BY89" i="3"/>
  <c r="BY94" i="3" s="1"/>
  <c r="CE88" i="3" s="1"/>
  <c r="CT50" i="8"/>
  <c r="CN12" i="7"/>
  <c r="CN13" i="7" s="1"/>
  <c r="CT65" i="7"/>
  <c r="CU40" i="7"/>
  <c r="DA40" i="7" s="1"/>
  <c r="CS12" i="7"/>
  <c r="CS13" i="7" s="1"/>
  <c r="CU32" i="7"/>
  <c r="DA32" i="7" s="1"/>
  <c r="CP36" i="7"/>
  <c r="CP34" i="7" s="1"/>
  <c r="CP32" i="7" s="1"/>
  <c r="AW40" i="36" s="1"/>
  <c r="CP34" i="8"/>
  <c r="CP44" i="7"/>
  <c r="CP42" i="7" s="1"/>
  <c r="CP40" i="7" s="1"/>
  <c r="AW41" i="36" s="1"/>
  <c r="CP35" i="8"/>
  <c r="CP66" i="7"/>
  <c r="BX77" i="4"/>
  <c r="BX76" i="4"/>
  <c r="BX78" i="4"/>
  <c r="BX72" i="4"/>
  <c r="BJ55" i="4"/>
  <c r="BK52" i="4"/>
  <c r="BK54" i="4" s="1"/>
  <c r="BO54" i="4"/>
  <c r="BS52" i="4"/>
  <c r="BS54" i="4" s="1"/>
  <c r="CB72" i="4"/>
  <c r="CC68" i="4" s="1"/>
  <c r="CB77" i="4"/>
  <c r="CB78" i="4"/>
  <c r="CB76" i="4"/>
  <c r="BW62" i="3"/>
  <c r="BX54" i="3"/>
  <c r="BW44" i="3"/>
  <c r="BW45" i="3" s="1"/>
  <c r="BX62" i="3"/>
  <c r="BX44" i="3"/>
  <c r="BX45" i="3" s="1"/>
  <c r="AO108" i="3"/>
  <c r="BY40" i="3"/>
  <c r="BY42" i="3" s="1"/>
  <c r="BY192" i="3" s="1"/>
  <c r="AK104" i="3"/>
  <c r="AK108" i="3"/>
  <c r="BV202" i="3" l="1"/>
  <c r="BV56" i="3" s="1"/>
  <c r="BV201" i="3"/>
  <c r="BW198" i="3"/>
  <c r="BW201" i="3" s="1"/>
  <c r="BW199" i="3"/>
  <c r="BW202" i="3" s="1"/>
  <c r="BW56" i="3" s="1"/>
  <c r="BY199" i="3"/>
  <c r="BY198" i="3"/>
  <c r="CJ125" i="1"/>
  <c r="DF150" i="7"/>
  <c r="DF148" i="7"/>
  <c r="DC151" i="7"/>
  <c r="DC149" i="7"/>
  <c r="CU152" i="7"/>
  <c r="DI19" i="3"/>
  <c r="DI147" i="3" s="1"/>
  <c r="DH147" i="3"/>
  <c r="DH154" i="3"/>
  <c r="DI30" i="3"/>
  <c r="DG32" i="7"/>
  <c r="DE50" i="8"/>
  <c r="CY12" i="7"/>
  <c r="CY13" i="7" s="1"/>
  <c r="DE65" i="7"/>
  <c r="DG40" i="7"/>
  <c r="CZ50" i="8"/>
  <c r="CZ65" i="7"/>
  <c r="CQ46" i="9"/>
  <c r="CK120" i="1"/>
  <c r="BW95" i="3"/>
  <c r="CC72" i="4"/>
  <c r="CD68" i="4" s="1"/>
  <c r="CC78" i="4"/>
  <c r="CC76" i="4"/>
  <c r="CC77" i="4"/>
  <c r="CP96" i="7"/>
  <c r="CP65" i="7"/>
  <c r="AW42" i="36" s="1"/>
  <c r="CV40" i="7"/>
  <c r="DB40" i="7" s="1"/>
  <c r="CT12" i="7"/>
  <c r="CT13" i="7" s="1"/>
  <c r="CV32" i="7"/>
  <c r="DB32" i="7" s="1"/>
  <c r="CO12" i="7"/>
  <c r="CO13" i="7" s="1"/>
  <c r="CU50" i="8"/>
  <c r="CU65" i="7"/>
  <c r="BU52" i="4"/>
  <c r="BS55" i="4"/>
  <c r="BO55" i="4"/>
  <c r="BP52" i="4"/>
  <c r="BP54" i="4" s="1"/>
  <c r="BL52" i="4"/>
  <c r="BL54" i="4" s="1"/>
  <c r="BL55" i="4" s="1"/>
  <c r="BK55" i="4"/>
  <c r="CA88" i="3"/>
  <c r="BY95" i="3"/>
  <c r="CA93" i="3"/>
  <c r="CA37" i="3"/>
  <c r="AL99" i="3"/>
  <c r="AK110" i="3"/>
  <c r="AK114" i="3"/>
  <c r="BY62" i="3"/>
  <c r="BY44" i="3"/>
  <c r="BY45" i="3" s="1"/>
  <c r="BY54" i="3"/>
  <c r="CC47" i="4"/>
  <c r="CC50" i="4" s="1"/>
  <c r="CC77" i="3" s="1"/>
  <c r="CZ9" i="8" l="1"/>
  <c r="CZ15" i="8" s="1"/>
  <c r="CU53" i="7"/>
  <c r="DA57" i="7" s="1"/>
  <c r="BY201" i="3"/>
  <c r="BY202" i="3"/>
  <c r="BY56" i="3" s="1"/>
  <c r="DI154" i="3"/>
  <c r="DI187" i="3"/>
  <c r="CJ128" i="1"/>
  <c r="CJ67" i="1" s="1"/>
  <c r="CJ126" i="1"/>
  <c r="CJ55" i="1" s="1"/>
  <c r="DE149" i="7"/>
  <c r="DE151" i="7"/>
  <c r="DG148" i="7"/>
  <c r="DG150" i="7"/>
  <c r="CV152" i="7"/>
  <c r="DE12" i="7"/>
  <c r="DE13" i="7" s="1"/>
  <c r="DA50" i="8"/>
  <c r="DA65" i="7"/>
  <c r="DH32" i="7"/>
  <c r="DH40" i="7"/>
  <c r="DF50" i="8"/>
  <c r="CZ12" i="7"/>
  <c r="CZ13" i="7" s="1"/>
  <c r="DF65" i="7"/>
  <c r="CK121" i="1"/>
  <c r="CK125" i="1"/>
  <c r="CD72" i="4"/>
  <c r="CD77" i="4"/>
  <c r="CD76" i="4"/>
  <c r="CD78" i="4"/>
  <c r="CQ65" i="7"/>
  <c r="CV65" i="7"/>
  <c r="CV50" i="8"/>
  <c r="CP12" i="7"/>
  <c r="CP13" i="7" s="1"/>
  <c r="CU12" i="7"/>
  <c r="CU13" i="7" s="1"/>
  <c r="BP55" i="4"/>
  <c r="BQ52" i="4"/>
  <c r="BQ54" i="4" s="1"/>
  <c r="BY52" i="4"/>
  <c r="BY54" i="4" s="1"/>
  <c r="BU54" i="4"/>
  <c r="AK109" i="3"/>
  <c r="AL106" i="3"/>
  <c r="AK115" i="3"/>
  <c r="AL104" i="3"/>
  <c r="AL108" i="3"/>
  <c r="CA89" i="3"/>
  <c r="CA40" i="3"/>
  <c r="CA42" i="3" s="1"/>
  <c r="CA192" i="3" s="1"/>
  <c r="CB37" i="3"/>
  <c r="CB93" i="3"/>
  <c r="DF9" i="8" l="1"/>
  <c r="DF15" i="8" s="1"/>
  <c r="CV53" i="7"/>
  <c r="DB57" i="7" s="1"/>
  <c r="CU72" i="7"/>
  <c r="CU15" i="7" s="1"/>
  <c r="CU9" i="7"/>
  <c r="CA198" i="3"/>
  <c r="CA199" i="3"/>
  <c r="CJ129" i="1"/>
  <c r="CK126" i="1"/>
  <c r="DH150" i="7"/>
  <c r="DH148" i="7"/>
  <c r="DF151" i="7"/>
  <c r="DF149" i="7"/>
  <c r="CW152" i="7"/>
  <c r="DB50" i="8"/>
  <c r="DB65" i="7"/>
  <c r="DF12" i="7"/>
  <c r="DF13" i="7" s="1"/>
  <c r="DG50" i="8"/>
  <c r="DG65" i="7"/>
  <c r="DA12" i="7"/>
  <c r="DA13" i="7" s="1"/>
  <c r="CC37" i="3"/>
  <c r="CC93" i="3"/>
  <c r="CV12" i="7"/>
  <c r="CV13" i="7" s="1"/>
  <c r="CW65" i="7"/>
  <c r="CW67" i="7"/>
  <c r="CQ12" i="7"/>
  <c r="CQ13" i="7" s="1"/>
  <c r="CQ66" i="7"/>
  <c r="BV52" i="4"/>
  <c r="BV54" i="4" s="1"/>
  <c r="BU55" i="4"/>
  <c r="CA52" i="4"/>
  <c r="CE52" i="4" s="1"/>
  <c r="CE54" i="4" s="1"/>
  <c r="CG52" i="4" s="1"/>
  <c r="BY55" i="4"/>
  <c r="BQ55" i="4"/>
  <c r="BR52" i="4"/>
  <c r="BR54" i="4" s="1"/>
  <c r="BR55" i="4" s="1"/>
  <c r="CB40" i="3"/>
  <c r="CB42" i="3" s="1"/>
  <c r="CB192" i="3" s="1"/>
  <c r="CB89" i="3"/>
  <c r="CA94" i="3"/>
  <c r="CA62" i="3"/>
  <c r="CA44" i="3"/>
  <c r="CA45" i="3" s="1"/>
  <c r="CA54" i="3"/>
  <c r="AM99" i="3"/>
  <c r="AL110" i="3"/>
  <c r="AL114" i="3"/>
  <c r="CV72" i="7" l="1"/>
  <c r="CV15" i="7" s="1"/>
  <c r="CV9" i="7"/>
  <c r="CU75" i="7"/>
  <c r="DA79" i="7" s="1"/>
  <c r="CU17" i="7"/>
  <c r="CU24" i="7" s="1"/>
  <c r="DG9" i="8"/>
  <c r="DG15" i="8" s="1"/>
  <c r="DG53" i="7"/>
  <c r="DG72" i="7" s="1"/>
  <c r="DA9" i="8"/>
  <c r="DA53" i="7"/>
  <c r="DG57" i="7" s="1"/>
  <c r="DF19" i="8"/>
  <c r="CA202" i="3"/>
  <c r="CA56" i="3" s="1"/>
  <c r="CA201" i="3"/>
  <c r="CB198" i="3"/>
  <c r="CB201" i="3" s="1"/>
  <c r="CB199" i="3"/>
  <c r="CB202" i="3" s="1"/>
  <c r="CB56" i="3" s="1"/>
  <c r="CK55" i="1"/>
  <c r="DG149" i="7"/>
  <c r="DG151" i="7"/>
  <c r="DI148" i="7"/>
  <c r="DI150" i="7"/>
  <c r="CY152" i="7"/>
  <c r="DG12" i="7"/>
  <c r="DG13" i="7" s="1"/>
  <c r="DC67" i="7"/>
  <c r="DH50" i="8"/>
  <c r="DB12" i="7"/>
  <c r="DB13" i="7" s="1"/>
  <c r="DH65" i="7"/>
  <c r="DC65" i="7"/>
  <c r="CC89" i="3"/>
  <c r="CD89" i="3"/>
  <c r="CB54" i="3"/>
  <c r="CQ96" i="7"/>
  <c r="CW66" i="7"/>
  <c r="CW12" i="7"/>
  <c r="CW13" i="7" s="1"/>
  <c r="CA54" i="4"/>
  <c r="BV55" i="4"/>
  <c r="BW52" i="4"/>
  <c r="BW54" i="4" s="1"/>
  <c r="CC40" i="3"/>
  <c r="CC42" i="3" s="1"/>
  <c r="CC192" i="3" s="1"/>
  <c r="CA95" i="3"/>
  <c r="CB88" i="3"/>
  <c r="CB94" i="3" s="1"/>
  <c r="CC88" i="3" s="1"/>
  <c r="AM104" i="3"/>
  <c r="AM108" i="3"/>
  <c r="CB62" i="3"/>
  <c r="CB44" i="3"/>
  <c r="CB45" i="3" s="1"/>
  <c r="AL115" i="3"/>
  <c r="AM106" i="3"/>
  <c r="AL109" i="3"/>
  <c r="DA27" i="8" l="1"/>
  <c r="DA15" i="8"/>
  <c r="CU90" i="7"/>
  <c r="CU89" i="7"/>
  <c r="CV75" i="7"/>
  <c r="CV89" i="7" s="1"/>
  <c r="CU86" i="7"/>
  <c r="CU91" i="7"/>
  <c r="CU88" i="7"/>
  <c r="CU9" i="1"/>
  <c r="CU81" i="7" s="1"/>
  <c r="CU85" i="7"/>
  <c r="CU87" i="7"/>
  <c r="DG15" i="7"/>
  <c r="DG75" i="7"/>
  <c r="DG88" i="7" s="1"/>
  <c r="CU33" i="7"/>
  <c r="CU41" i="7"/>
  <c r="DG27" i="8"/>
  <c r="DB9" i="8"/>
  <c r="DB53" i="7"/>
  <c r="DH57" i="7" s="1"/>
  <c r="DG19" i="8"/>
  <c r="DG54" i="7"/>
  <c r="DG9" i="7"/>
  <c r="DH9" i="8"/>
  <c r="DH53" i="7"/>
  <c r="DA9" i="7"/>
  <c r="DA72" i="7"/>
  <c r="DA54" i="7"/>
  <c r="CC199" i="3"/>
  <c r="CC202" i="3" s="1"/>
  <c r="CC56" i="3" s="1"/>
  <c r="CC198" i="3"/>
  <c r="CC201" i="3" s="1"/>
  <c r="DH151" i="7"/>
  <c r="DH149" i="7"/>
  <c r="CZ152" i="7"/>
  <c r="DC12" i="7"/>
  <c r="DC13" i="7" s="1"/>
  <c r="DC66" i="7"/>
  <c r="DI67" i="7"/>
  <c r="DH12" i="7"/>
  <c r="DH13" i="7" s="1"/>
  <c r="DI65" i="7"/>
  <c r="CC94" i="3"/>
  <c r="CD88" i="3" s="1"/>
  <c r="CV17" i="7"/>
  <c r="CV24" i="7" s="1"/>
  <c r="CE89" i="3"/>
  <c r="CC62" i="3"/>
  <c r="CC54" i="3"/>
  <c r="CW96" i="7"/>
  <c r="CG68" i="4"/>
  <c r="CK68" i="4"/>
  <c r="BW55" i="4"/>
  <c r="BX52" i="4"/>
  <c r="BX54" i="4" s="1"/>
  <c r="BX55" i="4" s="1"/>
  <c r="CB52" i="4"/>
  <c r="CB54" i="4" s="1"/>
  <c r="CA55" i="4"/>
  <c r="CC44" i="3"/>
  <c r="AN99" i="3"/>
  <c r="AM114" i="3"/>
  <c r="AM110" i="3"/>
  <c r="CB95" i="3"/>
  <c r="CE37" i="3"/>
  <c r="DB27" i="8" l="1"/>
  <c r="DB15" i="8"/>
  <c r="DH27" i="8"/>
  <c r="DH15" i="8"/>
  <c r="DB79" i="7"/>
  <c r="CU17" i="4"/>
  <c r="CU171" i="3" s="1"/>
  <c r="CV88" i="7"/>
  <c r="CV91" i="7"/>
  <c r="CV9" i="1"/>
  <c r="CV81" i="7" s="1"/>
  <c r="CV90" i="7"/>
  <c r="CU26" i="3"/>
  <c r="CU153" i="3" s="1"/>
  <c r="CV85" i="7"/>
  <c r="CV87" i="7"/>
  <c r="CU14" i="3"/>
  <c r="CU145" i="3" s="1"/>
  <c r="CV86" i="7"/>
  <c r="CU16" i="1"/>
  <c r="CU12" i="3"/>
  <c r="CU27" i="1"/>
  <c r="CU166" i="3" s="1"/>
  <c r="CU25" i="3"/>
  <c r="CU152" i="3" s="1"/>
  <c r="CU12" i="1"/>
  <c r="CU168" i="3" s="1"/>
  <c r="CU167" i="3"/>
  <c r="CU17" i="1"/>
  <c r="CU145" i="7"/>
  <c r="CU100" i="3"/>
  <c r="CU30" i="4" s="1"/>
  <c r="CU137" i="3"/>
  <c r="DG89" i="7"/>
  <c r="DG17" i="7"/>
  <c r="DG24" i="7" s="1"/>
  <c r="DG9" i="1"/>
  <c r="DG81" i="7" s="1"/>
  <c r="DG91" i="7"/>
  <c r="DG90" i="7"/>
  <c r="DG85" i="7"/>
  <c r="DG86" i="7"/>
  <c r="DG10" i="7"/>
  <c r="DG87" i="7"/>
  <c r="DH9" i="7"/>
  <c r="DH54" i="7"/>
  <c r="DG93" i="7"/>
  <c r="DG55" i="7"/>
  <c r="DG58" i="7" s="1"/>
  <c r="DB54" i="7"/>
  <c r="DB9" i="7"/>
  <c r="DB72" i="7"/>
  <c r="DB75" i="7" s="1"/>
  <c r="DH79" i="7" s="1"/>
  <c r="DA55" i="7"/>
  <c r="DA58" i="7" s="1"/>
  <c r="DA93" i="7"/>
  <c r="DH19" i="8"/>
  <c r="DA10" i="7"/>
  <c r="DA75" i="7"/>
  <c r="DG79" i="7" s="1"/>
  <c r="DA15" i="7"/>
  <c r="DH72" i="7"/>
  <c r="DI149" i="7"/>
  <c r="DI151" i="7"/>
  <c r="DA152" i="7"/>
  <c r="DI66" i="7"/>
  <c r="DI12" i="7"/>
  <c r="DI13" i="7" s="1"/>
  <c r="DC96" i="7"/>
  <c r="CG78" i="4"/>
  <c r="CG77" i="4"/>
  <c r="CG76" i="4"/>
  <c r="CV41" i="7"/>
  <c r="CV33" i="7"/>
  <c r="CB55" i="4"/>
  <c r="CC52" i="4"/>
  <c r="CC54" i="4" s="1"/>
  <c r="CD52" i="4" s="1"/>
  <c r="CD54" i="4" s="1"/>
  <c r="CC95" i="3"/>
  <c r="AM109" i="3"/>
  <c r="AM115" i="3"/>
  <c r="AN106" i="3"/>
  <c r="AN109" i="3" s="1"/>
  <c r="AN103" i="3"/>
  <c r="AO103" i="3" s="1"/>
  <c r="AO104" i="3" s="1"/>
  <c r="AN108" i="3"/>
  <c r="CU33" i="4" l="1"/>
  <c r="CU13" i="3"/>
  <c r="CU143" i="7"/>
  <c r="CU46" i="1"/>
  <c r="CU24" i="3"/>
  <c r="CU15" i="1"/>
  <c r="CV12" i="3"/>
  <c r="CV17" i="1"/>
  <c r="CV25" i="3"/>
  <c r="CV24" i="4" s="1"/>
  <c r="CV27" i="1"/>
  <c r="CV166" i="3" s="1"/>
  <c r="CV26" i="3"/>
  <c r="CV153" i="3" s="1"/>
  <c r="CV16" i="1"/>
  <c r="CV145" i="7"/>
  <c r="CV12" i="1"/>
  <c r="CV137" i="3"/>
  <c r="CV167" i="3"/>
  <c r="CV17" i="4"/>
  <c r="CV171" i="3" s="1"/>
  <c r="CV14" i="3"/>
  <c r="CV145" i="3" s="1"/>
  <c r="CV100" i="3"/>
  <c r="CV30" i="4" s="1"/>
  <c r="CU143" i="3"/>
  <c r="DG12" i="1"/>
  <c r="DG15" i="1" s="1"/>
  <c r="DG167" i="3"/>
  <c r="DG14" i="3"/>
  <c r="DG145" i="3" s="1"/>
  <c r="DG12" i="3"/>
  <c r="DG143" i="3" s="1"/>
  <c r="DG16" i="1"/>
  <c r="DG100" i="3"/>
  <c r="DG30" i="4" s="1"/>
  <c r="DG25" i="3"/>
  <c r="DG152" i="3" s="1"/>
  <c r="DG27" i="1"/>
  <c r="DG166" i="3" s="1"/>
  <c r="DG17" i="4"/>
  <c r="DG171" i="3" s="1"/>
  <c r="DG137" i="3"/>
  <c r="CU142" i="7"/>
  <c r="CU19" i="1"/>
  <c r="CU141" i="7"/>
  <c r="CU144" i="7"/>
  <c r="DG17" i="1"/>
  <c r="DG26" i="3"/>
  <c r="DG153" i="3" s="1"/>
  <c r="DG145" i="7"/>
  <c r="DG142" i="7" s="1"/>
  <c r="DG33" i="7"/>
  <c r="DG41" i="7"/>
  <c r="DB88" i="7"/>
  <c r="DB9" i="1"/>
  <c r="DB89" i="7"/>
  <c r="DB90" i="7"/>
  <c r="DB87" i="7"/>
  <c r="DB76" i="7"/>
  <c r="DB77" i="7" s="1"/>
  <c r="DB80" i="7" s="1"/>
  <c r="DB85" i="7"/>
  <c r="DB86" i="7"/>
  <c r="DA9" i="1"/>
  <c r="DA81" i="7" s="1"/>
  <c r="DA85" i="7"/>
  <c r="DA88" i="7"/>
  <c r="DA87" i="7"/>
  <c r="DA89" i="7"/>
  <c r="DA76" i="7"/>
  <c r="DA77" i="7" s="1"/>
  <c r="DA80" i="7" s="1"/>
  <c r="DA90" i="7"/>
  <c r="DA86" i="7"/>
  <c r="DG76" i="7"/>
  <c r="DG77" i="7" s="1"/>
  <c r="DG80" i="7" s="1"/>
  <c r="DG13" i="8" s="1"/>
  <c r="DH75" i="7"/>
  <c r="DH15" i="7"/>
  <c r="DB10" i="7"/>
  <c r="DA17" i="7"/>
  <c r="DA24" i="7" s="1"/>
  <c r="DB93" i="7"/>
  <c r="DB55" i="7"/>
  <c r="DB58" i="7" s="1"/>
  <c r="DH93" i="7"/>
  <c r="DH55" i="7"/>
  <c r="DH58" i="7" s="1"/>
  <c r="DA47" i="8"/>
  <c r="DA8" i="8"/>
  <c r="DA91" i="7"/>
  <c r="DB15" i="7"/>
  <c r="DB91" i="7"/>
  <c r="DG47" i="8"/>
  <c r="DG8" i="8"/>
  <c r="DH10" i="7"/>
  <c r="DB152" i="7"/>
  <c r="DI96" i="7"/>
  <c r="CG72" i="4"/>
  <c r="CH68" i="4" s="1"/>
  <c r="AO109" i="3"/>
  <c r="AO110" i="3" s="1"/>
  <c r="AO115" i="3" s="1"/>
  <c r="AQ99" i="3"/>
  <c r="AU99" i="3"/>
  <c r="AO114" i="3"/>
  <c r="DG43" i="8" l="1"/>
  <c r="DG14" i="8"/>
  <c r="DG144" i="7"/>
  <c r="CU144" i="3"/>
  <c r="CV21" i="4"/>
  <c r="CU151" i="3"/>
  <c r="CU155" i="3" s="1"/>
  <c r="DG24" i="3"/>
  <c r="DG46" i="1"/>
  <c r="CV143" i="3"/>
  <c r="CW12" i="3"/>
  <c r="CU169" i="3"/>
  <c r="DG13" i="3"/>
  <c r="DG168" i="3"/>
  <c r="CW26" i="3"/>
  <c r="CW153" i="3" s="1"/>
  <c r="CW14" i="3"/>
  <c r="CW145" i="3" s="1"/>
  <c r="CV168" i="3"/>
  <c r="CV46" i="1"/>
  <c r="CW25" i="3"/>
  <c r="CW152" i="3" s="1"/>
  <c r="CV33" i="4"/>
  <c r="CV13" i="3"/>
  <c r="CV144" i="3" s="1"/>
  <c r="CV15" i="1"/>
  <c r="CV152" i="3"/>
  <c r="CV143" i="7"/>
  <c r="CV144" i="7"/>
  <c r="CV141" i="7"/>
  <c r="CV142" i="7"/>
  <c r="DG19" i="1"/>
  <c r="CV19" i="1"/>
  <c r="CV25" i="4"/>
  <c r="CV24" i="3"/>
  <c r="DG33" i="4"/>
  <c r="DG141" i="7"/>
  <c r="DG143" i="7"/>
  <c r="CU20" i="1"/>
  <c r="CU53" i="1" s="1"/>
  <c r="DG127" i="1"/>
  <c r="DB17" i="7"/>
  <c r="DB24" i="7" s="1"/>
  <c r="DG46" i="8"/>
  <c r="DH47" i="8"/>
  <c r="DH8" i="8"/>
  <c r="DB8" i="8"/>
  <c r="DB26" i="8" s="1"/>
  <c r="DB47" i="8"/>
  <c r="DH17" i="7"/>
  <c r="DH24" i="7" s="1"/>
  <c r="DA13" i="8"/>
  <c r="DA14" i="8" s="1"/>
  <c r="DA46" i="8"/>
  <c r="DA127" i="1"/>
  <c r="DB13" i="8"/>
  <c r="DB14" i="8" s="1"/>
  <c r="DB46" i="8"/>
  <c r="DB127" i="1"/>
  <c r="DB81" i="7"/>
  <c r="DB100" i="3"/>
  <c r="DB30" i="4" s="1"/>
  <c r="DB17" i="4"/>
  <c r="DB12" i="1"/>
  <c r="DB27" i="1"/>
  <c r="DB166" i="3" s="1"/>
  <c r="DB62" i="1"/>
  <c r="DB40" i="8" s="1"/>
  <c r="DB25" i="3"/>
  <c r="DB167" i="3"/>
  <c r="DB12" i="3"/>
  <c r="DB137" i="3"/>
  <c r="DB16" i="1"/>
  <c r="DB145" i="7"/>
  <c r="DB14" i="3"/>
  <c r="DB26" i="3"/>
  <c r="DB17" i="1"/>
  <c r="DA33" i="7"/>
  <c r="DA18" i="7"/>
  <c r="DA41" i="7"/>
  <c r="DG18" i="7"/>
  <c r="DG18" i="8"/>
  <c r="DH86" i="7"/>
  <c r="DH85" i="7"/>
  <c r="DH9" i="1"/>
  <c r="DH89" i="7"/>
  <c r="DH88" i="7"/>
  <c r="DH90" i="7"/>
  <c r="DH76" i="7"/>
  <c r="DH77" i="7" s="1"/>
  <c r="DH80" i="7" s="1"/>
  <c r="DH91" i="7"/>
  <c r="DH87" i="7"/>
  <c r="DA17" i="4"/>
  <c r="DA17" i="1"/>
  <c r="DA26" i="3"/>
  <c r="DA153" i="3" s="1"/>
  <c r="DA27" i="1"/>
  <c r="DA166" i="3" s="1"/>
  <c r="DA14" i="3"/>
  <c r="DA167" i="3"/>
  <c r="DA137" i="3"/>
  <c r="DA25" i="3"/>
  <c r="DA152" i="3" s="1"/>
  <c r="DA16" i="1"/>
  <c r="DA145" i="7"/>
  <c r="DA12" i="3"/>
  <c r="DA100" i="3"/>
  <c r="DA30" i="4" s="1"/>
  <c r="DA12" i="1"/>
  <c r="DA62" i="1"/>
  <c r="DA40" i="8" s="1"/>
  <c r="DG62" i="1"/>
  <c r="DG40" i="8" s="1"/>
  <c r="CH78" i="4"/>
  <c r="CH76" i="4"/>
  <c r="CH77" i="4"/>
  <c r="CH72" i="4"/>
  <c r="CI68" i="4" s="1"/>
  <c r="DC152" i="7"/>
  <c r="AU106" i="3"/>
  <c r="AQ106" i="3"/>
  <c r="AO112" i="3"/>
  <c r="CC55" i="4"/>
  <c r="CC15" i="3"/>
  <c r="AU108" i="3"/>
  <c r="AQ104" i="3"/>
  <c r="AQ108" i="3"/>
  <c r="DG151" i="3" l="1"/>
  <c r="DG155" i="3" s="1"/>
  <c r="CW143" i="3"/>
  <c r="DG144" i="3"/>
  <c r="DG169" i="3"/>
  <c r="CV22" i="4"/>
  <c r="CW13" i="3"/>
  <c r="CV151" i="3"/>
  <c r="CV155" i="3" s="1"/>
  <c r="CV20" i="1"/>
  <c r="CV165" i="3" s="1"/>
  <c r="CV23" i="4"/>
  <c r="CW24" i="3"/>
  <c r="DG20" i="1"/>
  <c r="DG138" i="3" s="1"/>
  <c r="CV169" i="3"/>
  <c r="CU138" i="3"/>
  <c r="CU165" i="3"/>
  <c r="DB33" i="7"/>
  <c r="DB41" i="7"/>
  <c r="DB18" i="7"/>
  <c r="DG42" i="8"/>
  <c r="DH26" i="8"/>
  <c r="DA168" i="3"/>
  <c r="DA13" i="3"/>
  <c r="DA46" i="1"/>
  <c r="DA24" i="3"/>
  <c r="DA63" i="1"/>
  <c r="DG63" i="1"/>
  <c r="DB64" i="1"/>
  <c r="DB19" i="1"/>
  <c r="DH33" i="7"/>
  <c r="DH41" i="7"/>
  <c r="DH18" i="7"/>
  <c r="DA33" i="4"/>
  <c r="DA145" i="3"/>
  <c r="DB25" i="4"/>
  <c r="DA171" i="3"/>
  <c r="DH127" i="1"/>
  <c r="DH46" i="8"/>
  <c r="DH13" i="8"/>
  <c r="DH81" i="7"/>
  <c r="DH62" i="1"/>
  <c r="DH40" i="8" s="1"/>
  <c r="DH27" i="1"/>
  <c r="DH166" i="3" s="1"/>
  <c r="DH26" i="3"/>
  <c r="DH16" i="1"/>
  <c r="DH17" i="1"/>
  <c r="DH12" i="3"/>
  <c r="DH17" i="4"/>
  <c r="DH145" i="7"/>
  <c r="DH25" i="3"/>
  <c r="DH12" i="1"/>
  <c r="DH100" i="3"/>
  <c r="DH30" i="4" s="1"/>
  <c r="DH167" i="3"/>
  <c r="DH14" i="3"/>
  <c r="DH137" i="3"/>
  <c r="DB153" i="3"/>
  <c r="DC26" i="3"/>
  <c r="DC153" i="3" s="1"/>
  <c r="DB171" i="3"/>
  <c r="DA65" i="1"/>
  <c r="DG65" i="1"/>
  <c r="DB152" i="3"/>
  <c r="DC25" i="3"/>
  <c r="DC152" i="3" s="1"/>
  <c r="DB24" i="4"/>
  <c r="DB46" i="1"/>
  <c r="DB168" i="3"/>
  <c r="DB24" i="3"/>
  <c r="DB15" i="1"/>
  <c r="DB13" i="3"/>
  <c r="DB63" i="1"/>
  <c r="DA15" i="1"/>
  <c r="DA143" i="3"/>
  <c r="DB21" i="4"/>
  <c r="DB145" i="3"/>
  <c r="DC14" i="3"/>
  <c r="DC145" i="3" s="1"/>
  <c r="DC12" i="3"/>
  <c r="DB143" i="3"/>
  <c r="DB33" i="4"/>
  <c r="DA43" i="8"/>
  <c r="DB31" i="8"/>
  <c r="DG23" i="8"/>
  <c r="DH18" i="8"/>
  <c r="DA19" i="1"/>
  <c r="DA64" i="1"/>
  <c r="DG64" i="1"/>
  <c r="DB65" i="1"/>
  <c r="DA142" i="7"/>
  <c r="DA141" i="7"/>
  <c r="DA144" i="7"/>
  <c r="DA143" i="7"/>
  <c r="DA159" i="7"/>
  <c r="DG159" i="7"/>
  <c r="DB141" i="7"/>
  <c r="DB143" i="7"/>
  <c r="DB142" i="7"/>
  <c r="DB159" i="7"/>
  <c r="DB144" i="7"/>
  <c r="DB43" i="8"/>
  <c r="CI72" i="4"/>
  <c r="CI77" i="4"/>
  <c r="CI76" i="4"/>
  <c r="CI78" i="4"/>
  <c r="CU120" i="1"/>
  <c r="DE152" i="7"/>
  <c r="CC65" i="3"/>
  <c r="CC68" i="3"/>
  <c r="AR99" i="3"/>
  <c r="AQ110" i="3"/>
  <c r="AQ114" i="3"/>
  <c r="CW151" i="3" l="1"/>
  <c r="CW155" i="3" s="1"/>
  <c r="DH31" i="8"/>
  <c r="DH14" i="8"/>
  <c r="CV53" i="1"/>
  <c r="DG53" i="1"/>
  <c r="DG165" i="3"/>
  <c r="CV20" i="4"/>
  <c r="CW144" i="3"/>
  <c r="CV138" i="3"/>
  <c r="DB156" i="7"/>
  <c r="DH171" i="3"/>
  <c r="DB157" i="7"/>
  <c r="DA157" i="7"/>
  <c r="DG157" i="7"/>
  <c r="DA156" i="7"/>
  <c r="DG156" i="7"/>
  <c r="DA20" i="1"/>
  <c r="DG50" i="1"/>
  <c r="DA50" i="1"/>
  <c r="DI14" i="3"/>
  <c r="DI145" i="3" s="1"/>
  <c r="DH25" i="4"/>
  <c r="DH145" i="3"/>
  <c r="DH168" i="3"/>
  <c r="DH13" i="3"/>
  <c r="DH46" i="1"/>
  <c r="DH24" i="3"/>
  <c r="DH15" i="1"/>
  <c r="DH63" i="1"/>
  <c r="DH153" i="3"/>
  <c r="DI26" i="3"/>
  <c r="DI153" i="3" s="1"/>
  <c r="DH23" i="8"/>
  <c r="DH43" i="8"/>
  <c r="DA144" i="3"/>
  <c r="DB22" i="4"/>
  <c r="DH64" i="1"/>
  <c r="DH19" i="1"/>
  <c r="DB158" i="7"/>
  <c r="DB155" i="7"/>
  <c r="DA158" i="7"/>
  <c r="DG158" i="7"/>
  <c r="DB50" i="1"/>
  <c r="DB20" i="1"/>
  <c r="DH152" i="3"/>
  <c r="DI25" i="3"/>
  <c r="DI152" i="3" s="1"/>
  <c r="DH24" i="4"/>
  <c r="DI12" i="3"/>
  <c r="DH21" i="4"/>
  <c r="DH143" i="3"/>
  <c r="DB66" i="1"/>
  <c r="DB169" i="3"/>
  <c r="DA151" i="3"/>
  <c r="DA155" i="3" s="1"/>
  <c r="DB144" i="3"/>
  <c r="DC13" i="3"/>
  <c r="DA155" i="7"/>
  <c r="DG155" i="7"/>
  <c r="DA42" i="8"/>
  <c r="DA169" i="3"/>
  <c r="DA66" i="1"/>
  <c r="DG66" i="1"/>
  <c r="DB42" i="8"/>
  <c r="DC143" i="3"/>
  <c r="DB151" i="3"/>
  <c r="DB155" i="3" s="1"/>
  <c r="DB23" i="4"/>
  <c r="DC24" i="3"/>
  <c r="DH33" i="4"/>
  <c r="DH141" i="7"/>
  <c r="DH142" i="7"/>
  <c r="DH143" i="7"/>
  <c r="DH159" i="7"/>
  <c r="DH144" i="7"/>
  <c r="DH65" i="1"/>
  <c r="CU125" i="1"/>
  <c r="CV120" i="1"/>
  <c r="DG120" i="1"/>
  <c r="DG125" i="1" s="1"/>
  <c r="DF152" i="7"/>
  <c r="CD28" i="1"/>
  <c r="CE25" i="1"/>
  <c r="AR104" i="3"/>
  <c r="AR108" i="3"/>
  <c r="AQ115" i="3"/>
  <c r="AQ109" i="3"/>
  <c r="AR106" i="3"/>
  <c r="DB20" i="4" l="1"/>
  <c r="DH156" i="7"/>
  <c r="DH20" i="1"/>
  <c r="DH50" i="1"/>
  <c r="DH158" i="7"/>
  <c r="DH155" i="7"/>
  <c r="DH42" i="8"/>
  <c r="DH23" i="4"/>
  <c r="DH151" i="3"/>
  <c r="DH155" i="3" s="1"/>
  <c r="DI24" i="3"/>
  <c r="DC151" i="3"/>
  <c r="DC155" i="3" s="1"/>
  <c r="DC144" i="3"/>
  <c r="DI143" i="3"/>
  <c r="DB165" i="3"/>
  <c r="DB53" i="1"/>
  <c r="DB120" i="1" s="1"/>
  <c r="DB125" i="1" s="1"/>
  <c r="DB68" i="1"/>
  <c r="DB54" i="1"/>
  <c r="DB138" i="3"/>
  <c r="DH66" i="1"/>
  <c r="DH169" i="3"/>
  <c r="DA53" i="1"/>
  <c r="DA120" i="1" s="1"/>
  <c r="DG121" i="1" s="1"/>
  <c r="DA138" i="3"/>
  <c r="DA165" i="3"/>
  <c r="DA54" i="1"/>
  <c r="DA68" i="1"/>
  <c r="DG54" i="1"/>
  <c r="DG68" i="1"/>
  <c r="DH157" i="7"/>
  <c r="DH22" i="4"/>
  <c r="DH144" i="3"/>
  <c r="DI13" i="3"/>
  <c r="CV125" i="1"/>
  <c r="DG152" i="7"/>
  <c r="DG128" i="1"/>
  <c r="CD58" i="1"/>
  <c r="CD172" i="3"/>
  <c r="CJ68" i="4"/>
  <c r="CE28" i="1"/>
  <c r="AS99" i="3"/>
  <c r="AR114" i="3"/>
  <c r="AR110" i="3"/>
  <c r="DB126" i="1" l="1"/>
  <c r="DB55" i="1" s="1"/>
  <c r="DG126" i="1"/>
  <c r="DG55" i="1" s="1"/>
  <c r="DB121" i="1"/>
  <c r="DB128" i="1"/>
  <c r="DH20" i="4"/>
  <c r="DA125" i="1"/>
  <c r="DA121" i="1"/>
  <c r="DI151" i="3"/>
  <c r="DI155" i="3" s="1"/>
  <c r="DH68" i="1"/>
  <c r="DH165" i="3"/>
  <c r="DH54" i="1"/>
  <c r="DH53" i="1"/>
  <c r="DH120" i="1" s="1"/>
  <c r="DH125" i="1" s="1"/>
  <c r="DH138" i="3"/>
  <c r="DI144" i="3"/>
  <c r="DH152" i="7"/>
  <c r="DG129" i="1"/>
  <c r="DG67" i="1"/>
  <c r="CD115" i="1"/>
  <c r="CJ69" i="4"/>
  <c r="CJ70" i="4"/>
  <c r="CJ71" i="4"/>
  <c r="CK71" i="4" s="1"/>
  <c r="CK77" i="4" s="1"/>
  <c r="CD30" i="1"/>
  <c r="CE29" i="1"/>
  <c r="CE172" i="3" s="1"/>
  <c r="AS104" i="3"/>
  <c r="AS108" i="3"/>
  <c r="AS106" i="3"/>
  <c r="AR109" i="3"/>
  <c r="AR115" i="3"/>
  <c r="DB129" i="1" l="1"/>
  <c r="DB67" i="1"/>
  <c r="DH121" i="1"/>
  <c r="DA126" i="1"/>
  <c r="DA128" i="1"/>
  <c r="CD139" i="3"/>
  <c r="CD140" i="3" s="1"/>
  <c r="CD141" i="3" s="1"/>
  <c r="CD142" i="3" s="1"/>
  <c r="CD179" i="3"/>
  <c r="CD180" i="3" s="1"/>
  <c r="CD181" i="3" s="1"/>
  <c r="CD182" i="3" s="1"/>
  <c r="DH128" i="1"/>
  <c r="DH126" i="1"/>
  <c r="DH55" i="1" s="1"/>
  <c r="DI152" i="7"/>
  <c r="CE101" i="1"/>
  <c r="CE58" i="1"/>
  <c r="CJ80" i="4"/>
  <c r="CK70" i="4"/>
  <c r="CK76" i="4" s="1"/>
  <c r="CK69" i="4"/>
  <c r="CJ72" i="4"/>
  <c r="CD117" i="1"/>
  <c r="CD32" i="1"/>
  <c r="CE30" i="1"/>
  <c r="AS110" i="3"/>
  <c r="AT99" i="3"/>
  <c r="AS114" i="3"/>
  <c r="DA55" i="1" l="1"/>
  <c r="DA67" i="1"/>
  <c r="DA129" i="1"/>
  <c r="DH67" i="1"/>
  <c r="DH129" i="1"/>
  <c r="CD163" i="3"/>
  <c r="CD59" i="1"/>
  <c r="CD71" i="1"/>
  <c r="CK78" i="4"/>
  <c r="CK72" i="4"/>
  <c r="CK80" i="4"/>
  <c r="CD108" i="1"/>
  <c r="CE117" i="1"/>
  <c r="CE32" i="1"/>
  <c r="CD37" i="1"/>
  <c r="CD34" i="1"/>
  <c r="CE115" i="1"/>
  <c r="AT103" i="3"/>
  <c r="AU103" i="3" s="1"/>
  <c r="AU104" i="3" s="1"/>
  <c r="AT108" i="3"/>
  <c r="AT106" i="3"/>
  <c r="AT109" i="3" s="1"/>
  <c r="AS115" i="3"/>
  <c r="AS109" i="3"/>
  <c r="CE139" i="3" l="1"/>
  <c r="CE140" i="3" s="1"/>
  <c r="CE141" i="3" s="1"/>
  <c r="CE142" i="3" s="1"/>
  <c r="CE136" i="3" s="1"/>
  <c r="CE179" i="3"/>
  <c r="CE180" i="3" s="1"/>
  <c r="CE181" i="3" s="1"/>
  <c r="CE182" i="3" s="1"/>
  <c r="CD38" i="3"/>
  <c r="CD40" i="3" s="1"/>
  <c r="CD170" i="3"/>
  <c r="CD90" i="3"/>
  <c r="CE90" i="3" s="1"/>
  <c r="CE163" i="3"/>
  <c r="CE108" i="1"/>
  <c r="CE109" i="1" s="1"/>
  <c r="CE71" i="1"/>
  <c r="CE59" i="1"/>
  <c r="CD70" i="1"/>
  <c r="CK41" i="4"/>
  <c r="CM68" i="4"/>
  <c r="CQ68" i="4"/>
  <c r="CD111" i="1"/>
  <c r="CD109" i="1"/>
  <c r="CD103" i="1"/>
  <c r="CE34" i="1"/>
  <c r="CE37" i="1"/>
  <c r="AU109" i="3"/>
  <c r="AU110" i="3" s="1"/>
  <c r="AW106" i="3" s="1"/>
  <c r="CD36" i="1"/>
  <c r="AW99" i="3"/>
  <c r="BA99" i="3"/>
  <c r="AU114" i="3"/>
  <c r="CE70" i="1" l="1"/>
  <c r="CE111" i="1"/>
  <c r="CE38" i="3"/>
  <c r="CE40" i="3" s="1"/>
  <c r="CE42" i="3" s="1"/>
  <c r="CE192" i="3" s="1"/>
  <c r="CD93" i="3"/>
  <c r="CE170" i="3"/>
  <c r="CM69" i="4"/>
  <c r="CM70" i="4"/>
  <c r="CM80" i="4" s="1"/>
  <c r="CM71" i="4"/>
  <c r="CD110" i="1"/>
  <c r="CE103" i="1"/>
  <c r="CE110" i="1" s="1"/>
  <c r="BA106" i="3"/>
  <c r="AU112" i="3"/>
  <c r="CD42" i="3"/>
  <c r="CD192" i="3" s="1"/>
  <c r="AU115" i="3"/>
  <c r="CE36" i="1"/>
  <c r="BA108" i="3"/>
  <c r="AW104" i="3"/>
  <c r="AW108" i="3"/>
  <c r="CD198" i="3" l="1"/>
  <c r="CD199" i="3"/>
  <c r="CE93" i="3"/>
  <c r="CE94" i="3" s="1"/>
  <c r="CD94" i="3"/>
  <c r="CD95" i="3" s="1"/>
  <c r="CE62" i="3"/>
  <c r="CE54" i="3"/>
  <c r="CD62" i="3"/>
  <c r="CD54" i="3"/>
  <c r="CM72" i="4"/>
  <c r="CN68" i="4" s="1"/>
  <c r="CM41" i="4"/>
  <c r="CE44" i="3"/>
  <c r="CD44" i="3"/>
  <c r="AW110" i="3"/>
  <c r="AX99" i="3"/>
  <c r="AW114" i="3"/>
  <c r="CD202" i="3" l="1"/>
  <c r="CD56" i="3" s="1"/>
  <c r="CE202" i="3"/>
  <c r="CE56" i="3" s="1"/>
  <c r="CD201" i="3"/>
  <c r="CE201" i="3"/>
  <c r="CE95" i="3"/>
  <c r="CG88" i="3"/>
  <c r="CK88" i="3"/>
  <c r="CN69" i="4"/>
  <c r="CN70" i="4"/>
  <c r="CN71" i="4"/>
  <c r="AX106" i="3"/>
  <c r="AW115" i="3"/>
  <c r="AW109" i="3"/>
  <c r="AX104" i="3"/>
  <c r="AX108" i="3"/>
  <c r="CN72" i="4" l="1"/>
  <c r="CO68" i="4" s="1"/>
  <c r="CN80" i="4"/>
  <c r="AX114" i="3"/>
  <c r="AX110" i="3"/>
  <c r="AY99" i="3"/>
  <c r="CN41" i="4" l="1"/>
  <c r="CO71" i="4"/>
  <c r="CO70" i="4"/>
  <c r="CO69" i="4"/>
  <c r="AY104" i="3"/>
  <c r="AY108" i="3"/>
  <c r="AX109" i="3"/>
  <c r="AX115" i="3"/>
  <c r="AY106" i="3"/>
  <c r="CO72" i="4" l="1"/>
  <c r="CP68" i="4" s="1"/>
  <c r="CP70" i="4" s="1"/>
  <c r="CO80" i="4"/>
  <c r="AZ99" i="3"/>
  <c r="AY110" i="3"/>
  <c r="AY114" i="3"/>
  <c r="CP80" i="4" l="1"/>
  <c r="CP41" i="4" s="1"/>
  <c r="CQ70" i="4"/>
  <c r="CQ76" i="4" s="1"/>
  <c r="CP69" i="4"/>
  <c r="CP71" i="4"/>
  <c r="CQ71" i="4" s="1"/>
  <c r="CQ77" i="4" s="1"/>
  <c r="CO41" i="4"/>
  <c r="AY109" i="3"/>
  <c r="AY115" i="3"/>
  <c r="AZ106" i="3"/>
  <c r="AZ109" i="3" s="1"/>
  <c r="AZ108" i="3"/>
  <c r="AZ103" i="3"/>
  <c r="BA103" i="3" s="1"/>
  <c r="BA104" i="3" s="1"/>
  <c r="CP72" i="4" l="1"/>
  <c r="CQ80" i="4"/>
  <c r="CQ69" i="4"/>
  <c r="CQ72" i="4" s="1"/>
  <c r="CQ41" i="4"/>
  <c r="BG99" i="3"/>
  <c r="BA114" i="3"/>
  <c r="BC99" i="3"/>
  <c r="BA109" i="3"/>
  <c r="BA110" i="3" s="1"/>
  <c r="CQ78" i="4" l="1"/>
  <c r="CS68" i="4"/>
  <c r="CW68" i="4"/>
  <c r="BG104" i="3"/>
  <c r="BG108" i="3"/>
  <c r="BC104" i="3"/>
  <c r="BC108" i="3"/>
  <c r="BC106" i="3"/>
  <c r="BG106" i="3"/>
  <c r="BA115" i="3"/>
  <c r="BA112" i="3"/>
  <c r="CS71" i="4" l="1"/>
  <c r="CS70" i="4"/>
  <c r="CS80" i="4" s="1"/>
  <c r="CS69" i="4"/>
  <c r="BI99" i="3"/>
  <c r="BG114" i="3"/>
  <c r="BM99" i="3"/>
  <c r="BC114" i="3"/>
  <c r="BD99" i="3"/>
  <c r="BC110" i="3"/>
  <c r="CS72" i="4" l="1"/>
  <c r="CT68" i="4" s="1"/>
  <c r="CT71" i="4" s="1"/>
  <c r="CS41" i="4"/>
  <c r="BD106" i="3"/>
  <c r="BC115" i="3"/>
  <c r="BC109" i="3"/>
  <c r="BD108" i="3"/>
  <c r="BD104" i="3"/>
  <c r="BI108" i="3"/>
  <c r="BI104" i="3"/>
  <c r="BM104" i="3"/>
  <c r="BM108" i="3"/>
  <c r="CT69" i="4" l="1"/>
  <c r="CT70" i="4"/>
  <c r="CT80" i="4" s="1"/>
  <c r="CT41" i="4" s="1"/>
  <c r="BO99" i="3"/>
  <c r="BS99" i="3"/>
  <c r="BM114" i="3"/>
  <c r="BI110" i="3"/>
  <c r="BI114" i="3"/>
  <c r="BJ99" i="3"/>
  <c r="BD114" i="3"/>
  <c r="BD110" i="3"/>
  <c r="BE99" i="3"/>
  <c r="CT72" i="4" l="1"/>
  <c r="CU68" i="4" s="1"/>
  <c r="CU69" i="4" s="1"/>
  <c r="BE104" i="3"/>
  <c r="BE108" i="3"/>
  <c r="BO104" i="3"/>
  <c r="BO108" i="3"/>
  <c r="BD109" i="3"/>
  <c r="BD115" i="3"/>
  <c r="BE106" i="3"/>
  <c r="BJ106" i="3"/>
  <c r="BI115" i="3"/>
  <c r="BJ108" i="3"/>
  <c r="BJ104" i="3"/>
  <c r="BS104" i="3"/>
  <c r="BS108" i="3"/>
  <c r="CU71" i="4" l="1"/>
  <c r="CU70" i="4"/>
  <c r="CU80" i="4" s="1"/>
  <c r="CU41" i="4" s="1"/>
  <c r="BE110" i="3"/>
  <c r="BE114" i="3"/>
  <c r="BF99" i="3"/>
  <c r="BJ114" i="3"/>
  <c r="BK99" i="3"/>
  <c r="BJ110" i="3"/>
  <c r="BU99" i="3"/>
  <c r="BY99" i="3"/>
  <c r="BS114" i="3"/>
  <c r="BO114" i="3"/>
  <c r="BP99" i="3"/>
  <c r="BO110" i="3"/>
  <c r="CU72" i="4" l="1"/>
  <c r="CV68" i="4" s="1"/>
  <c r="CV71" i="4" s="1"/>
  <c r="CW71" i="4" s="1"/>
  <c r="CW77" i="4" s="1"/>
  <c r="BK106" i="3"/>
  <c r="BJ115" i="3"/>
  <c r="BJ109" i="3"/>
  <c r="BP106" i="3"/>
  <c r="BO115" i="3"/>
  <c r="BK108" i="3"/>
  <c r="BK104" i="3"/>
  <c r="BF106" i="3"/>
  <c r="BE115" i="3"/>
  <c r="BE109" i="3"/>
  <c r="BP108" i="3"/>
  <c r="BP104" i="3"/>
  <c r="BY104" i="3"/>
  <c r="CE99" i="3" s="1"/>
  <c r="BY108" i="3"/>
  <c r="BU108" i="3"/>
  <c r="BU104" i="3"/>
  <c r="BF104" i="3"/>
  <c r="BF108" i="3"/>
  <c r="CV70" i="4" l="1"/>
  <c r="CV80" i="4" s="1"/>
  <c r="CV69" i="4"/>
  <c r="CW69" i="4" s="1"/>
  <c r="CW78" i="4" s="1"/>
  <c r="CE104" i="3"/>
  <c r="CG99" i="3" s="1"/>
  <c r="CE108" i="3"/>
  <c r="BU110" i="3"/>
  <c r="BV99" i="3"/>
  <c r="BU114" i="3"/>
  <c r="BP110" i="3"/>
  <c r="BP114" i="3"/>
  <c r="BQ99" i="3"/>
  <c r="BK114" i="3"/>
  <c r="BL99" i="3"/>
  <c r="BK110" i="3"/>
  <c r="BF114" i="3"/>
  <c r="BF110" i="3"/>
  <c r="BY114" i="3"/>
  <c r="CA99" i="3"/>
  <c r="CG108" i="3" l="1"/>
  <c r="CG104" i="3"/>
  <c r="CH99" i="3" s="1"/>
  <c r="CW70" i="4"/>
  <c r="CW76" i="4" s="1"/>
  <c r="CV41" i="4"/>
  <c r="CW80" i="4"/>
  <c r="CV72" i="4"/>
  <c r="CE114" i="3"/>
  <c r="BU115" i="3"/>
  <c r="BV106" i="3"/>
  <c r="BP115" i="3"/>
  <c r="BP109" i="3"/>
  <c r="BQ106" i="3"/>
  <c r="CA104" i="3"/>
  <c r="CA108" i="3"/>
  <c r="CK99" i="3"/>
  <c r="CK104" i="3" s="1"/>
  <c r="BL106" i="3"/>
  <c r="BK109" i="3"/>
  <c r="BK115" i="3"/>
  <c r="BF109" i="3"/>
  <c r="BG109" i="3" s="1"/>
  <c r="BG110" i="3" s="1"/>
  <c r="BF115" i="3"/>
  <c r="BL108" i="3"/>
  <c r="BL104" i="3"/>
  <c r="BQ108" i="3"/>
  <c r="BQ104" i="3"/>
  <c r="BV108" i="3"/>
  <c r="BV104" i="3"/>
  <c r="CH104" i="3" l="1"/>
  <c r="CI99" i="3" s="1"/>
  <c r="CW41" i="4"/>
  <c r="CG114" i="3"/>
  <c r="CG110" i="3"/>
  <c r="CH106" i="3" s="1"/>
  <c r="CW72" i="4"/>
  <c r="BV110" i="3"/>
  <c r="BV114" i="3"/>
  <c r="BW99" i="3"/>
  <c r="BL114" i="3"/>
  <c r="BL110" i="3"/>
  <c r="CA110" i="3"/>
  <c r="CB99" i="3"/>
  <c r="CA114" i="3"/>
  <c r="CQ99" i="3"/>
  <c r="CM99" i="3"/>
  <c r="BQ110" i="3"/>
  <c r="BR99" i="3"/>
  <c r="BQ114" i="3"/>
  <c r="BM106" i="3"/>
  <c r="BI106" i="3"/>
  <c r="BI109" i="3" s="1"/>
  <c r="BG115" i="3"/>
  <c r="BG112" i="3"/>
  <c r="CI104" i="3" l="1"/>
  <c r="CJ99" i="3" s="1"/>
  <c r="CI108" i="3"/>
  <c r="CH110" i="3"/>
  <c r="CI106" i="3" s="1"/>
  <c r="DC68" i="4"/>
  <c r="CY68" i="4"/>
  <c r="CG115" i="3"/>
  <c r="BL115" i="3"/>
  <c r="BL109" i="3"/>
  <c r="BM109" i="3" s="1"/>
  <c r="BM110" i="3" s="1"/>
  <c r="BV109" i="3"/>
  <c r="BV115" i="3"/>
  <c r="BW106" i="3"/>
  <c r="BR108" i="3"/>
  <c r="BR104" i="3"/>
  <c r="CM107" i="3"/>
  <c r="BQ109" i="3"/>
  <c r="BR106" i="3"/>
  <c r="BQ115" i="3"/>
  <c r="CB108" i="3"/>
  <c r="CB104" i="3"/>
  <c r="CC99" i="3" s="1"/>
  <c r="BW104" i="3"/>
  <c r="BW108" i="3"/>
  <c r="CB106" i="3"/>
  <c r="CA115" i="3"/>
  <c r="CJ104" i="3" l="1"/>
  <c r="CI114" i="3"/>
  <c r="CI110" i="3"/>
  <c r="CJ106" i="3" s="1"/>
  <c r="CY71" i="4"/>
  <c r="CY69" i="4"/>
  <c r="CY70" i="4"/>
  <c r="CC104" i="3"/>
  <c r="CD99" i="3" s="1"/>
  <c r="CC108" i="3"/>
  <c r="BS106" i="3"/>
  <c r="BO106" i="3"/>
  <c r="BO109" i="3" s="1"/>
  <c r="BM115" i="3"/>
  <c r="BM112" i="3"/>
  <c r="CB114" i="3"/>
  <c r="CB110" i="3"/>
  <c r="CC106" i="3" s="1"/>
  <c r="CG21" i="1"/>
  <c r="CG95" i="1" s="1"/>
  <c r="CG96" i="1" s="1"/>
  <c r="CM13" i="4"/>
  <c r="BR110" i="3"/>
  <c r="BR114" i="3"/>
  <c r="BW110" i="3"/>
  <c r="BW114" i="3"/>
  <c r="BX99" i="3"/>
  <c r="CJ110" i="3" l="1"/>
  <c r="CI115" i="3"/>
  <c r="CI109" i="3"/>
  <c r="CY72" i="4"/>
  <c r="CZ68" i="4" s="1"/>
  <c r="CZ70" i="4" s="1"/>
  <c r="CZ80" i="4" s="1"/>
  <c r="CZ41" i="4" s="1"/>
  <c r="CY80" i="4"/>
  <c r="CD104" i="3"/>
  <c r="CD108" i="3"/>
  <c r="CC114" i="3"/>
  <c r="CC110" i="3"/>
  <c r="CD106" i="3" s="1"/>
  <c r="BX106" i="3"/>
  <c r="BW109" i="3"/>
  <c r="BW115" i="3"/>
  <c r="CM12" i="4"/>
  <c r="CM21" i="1"/>
  <c r="CG23" i="1"/>
  <c r="CG24" i="1"/>
  <c r="CG59" i="3" s="1"/>
  <c r="CB115" i="3"/>
  <c r="CB109" i="3"/>
  <c r="BX104" i="3"/>
  <c r="BX108" i="3"/>
  <c r="BR109" i="3"/>
  <c r="BS109" i="3" s="1"/>
  <c r="BS110" i="3" s="1"/>
  <c r="BR115" i="3"/>
  <c r="CZ69" i="4" l="1"/>
  <c r="CZ71" i="4"/>
  <c r="CY41" i="4"/>
  <c r="CG56" i="1"/>
  <c r="CG69" i="1"/>
  <c r="CG97" i="1"/>
  <c r="CD110" i="3"/>
  <c r="CD114" i="3"/>
  <c r="CC115" i="3"/>
  <c r="CC109" i="3"/>
  <c r="BU106" i="3"/>
  <c r="BU109" i="3" s="1"/>
  <c r="BY106" i="3"/>
  <c r="BS115" i="3"/>
  <c r="BS112" i="3"/>
  <c r="CG164" i="3"/>
  <c r="CM23" i="1"/>
  <c r="BX114" i="3"/>
  <c r="BX110" i="3"/>
  <c r="CZ72" i="4" l="1"/>
  <c r="DA68" i="4" s="1"/>
  <c r="DA71" i="4" s="1"/>
  <c r="CD115" i="3"/>
  <c r="CD109" i="3"/>
  <c r="BX109" i="3"/>
  <c r="BY109" i="3" s="1"/>
  <c r="BY110" i="3" s="1"/>
  <c r="CE106" i="3" s="1"/>
  <c r="BX115" i="3"/>
  <c r="CD158" i="3"/>
  <c r="CC20" i="3"/>
  <c r="DA69" i="4" l="1"/>
  <c r="DA70" i="4"/>
  <c r="DA80" i="4" s="1"/>
  <c r="DA41" i="4" s="1"/>
  <c r="CC55" i="3"/>
  <c r="CD55" i="3"/>
  <c r="CA106" i="3"/>
  <c r="CA109" i="3" s="1"/>
  <c r="CE109" i="3" s="1"/>
  <c r="CE110" i="3" s="1"/>
  <c r="CG106" i="3" s="1"/>
  <c r="CG109" i="3" s="1"/>
  <c r="BY115" i="3"/>
  <c r="BY112" i="3"/>
  <c r="CD136" i="3"/>
  <c r="CC45" i="3"/>
  <c r="DA72" i="4" l="1"/>
  <c r="DB68" i="4" s="1"/>
  <c r="DB71" i="4" s="1"/>
  <c r="DC71" i="4" s="1"/>
  <c r="DC77" i="4" s="1"/>
  <c r="CE115" i="3"/>
  <c r="CE112" i="3"/>
  <c r="CD21" i="1"/>
  <c r="CD95" i="1" s="1"/>
  <c r="CD96" i="1" s="1"/>
  <c r="DB70" i="4" l="1"/>
  <c r="DC70" i="4" s="1"/>
  <c r="DC76" i="4" s="1"/>
  <c r="DB69" i="4"/>
  <c r="DC69" i="4" s="1"/>
  <c r="DC78" i="4" s="1"/>
  <c r="CE21" i="1"/>
  <c r="CE95" i="1" s="1"/>
  <c r="CE96" i="1" s="1"/>
  <c r="CD23" i="1"/>
  <c r="CD24" i="1"/>
  <c r="DB80" i="4" l="1"/>
  <c r="DB41" i="4" s="1"/>
  <c r="DC72" i="4"/>
  <c r="DI68" i="4" s="1"/>
  <c r="DB72" i="4"/>
  <c r="DC80" i="4"/>
  <c r="DC41" i="4"/>
  <c r="CD164" i="3"/>
  <c r="CD59" i="3"/>
  <c r="CD69" i="1"/>
  <c r="CD56" i="1"/>
  <c r="CD97" i="1"/>
  <c r="CE59" i="4"/>
  <c r="CE64" i="4" s="1"/>
  <c r="CD59" i="4"/>
  <c r="CD64" i="4" s="1"/>
  <c r="CE23" i="1"/>
  <c r="CE24" i="1"/>
  <c r="DE68" i="4" l="1"/>
  <c r="DE69" i="4" s="1"/>
  <c r="DE70" i="4"/>
  <c r="CD79" i="3"/>
  <c r="CD63" i="4"/>
  <c r="CE79" i="3"/>
  <c r="CE63" i="4"/>
  <c r="CE164" i="3"/>
  <c r="CE59" i="3"/>
  <c r="CE97" i="1"/>
  <c r="CE69" i="1"/>
  <c r="CE56" i="1"/>
  <c r="CE60" i="4"/>
  <c r="CD60" i="4"/>
  <c r="DE71" i="4" l="1"/>
  <c r="DE72" i="4"/>
  <c r="DF68" i="4" s="1"/>
  <c r="DF71" i="4" s="1"/>
  <c r="DE80" i="4"/>
  <c r="CD80" i="3"/>
  <c r="CD62" i="4"/>
  <c r="CE80" i="3"/>
  <c r="CE62" i="4"/>
  <c r="CE61" i="4"/>
  <c r="CD61" i="4"/>
  <c r="DF69" i="4" l="1"/>
  <c r="DF70" i="4"/>
  <c r="DF80" i="4" s="1"/>
  <c r="DF41" i="4" s="1"/>
  <c r="DE41" i="4"/>
  <c r="CK124" i="3"/>
  <c r="DF72" i="4" l="1"/>
  <c r="DG68" i="4" s="1"/>
  <c r="DG69" i="4" s="1"/>
  <c r="DG70" i="4" l="1"/>
  <c r="DG80" i="4" s="1"/>
  <c r="DG41" i="4" s="1"/>
  <c r="DG71" i="4"/>
  <c r="DG72" i="4" l="1"/>
  <c r="DH68" i="4" s="1"/>
  <c r="DH71" i="4" s="1"/>
  <c r="DI71" i="4" s="1"/>
  <c r="DI77" i="4" s="1"/>
  <c r="DH69" i="4" l="1"/>
  <c r="DI69" i="4" s="1"/>
  <c r="DI78" i="4" s="1"/>
  <c r="DH70" i="4"/>
  <c r="DH72" i="4" l="1"/>
  <c r="DI70" i="4"/>
  <c r="DH80" i="4"/>
  <c r="DI76" i="4" l="1"/>
  <c r="DI72" i="4"/>
  <c r="DI80" i="4"/>
  <c r="DH41" i="4"/>
  <c r="DI41" i="4" l="1"/>
  <c r="CK106" i="3"/>
  <c r="CD146" i="3" l="1"/>
  <c r="CE16" i="3"/>
  <c r="CE10" i="3"/>
  <c r="BS73" i="9" s="1"/>
  <c r="BS75" i="9" s="1"/>
  <c r="CD55" i="4"/>
  <c r="CK52" i="4"/>
  <c r="BO73" i="9" l="1"/>
  <c r="BO75" i="9" s="1"/>
  <c r="CE195" i="3"/>
  <c r="CE55" i="4"/>
  <c r="CE67" i="3"/>
  <c r="CE66" i="3"/>
  <c r="CE50" i="3"/>
  <c r="CE146" i="3"/>
  <c r="CE15" i="3"/>
  <c r="CG146" i="3"/>
  <c r="CE198" i="3" l="1"/>
  <c r="CE51" i="3"/>
  <c r="CE61" i="3"/>
  <c r="CE68" i="3"/>
  <c r="CE65" i="3"/>
  <c r="CH146" i="3"/>
  <c r="CG28" i="1" l="1"/>
  <c r="CG58" i="1" s="1"/>
  <c r="CG115" i="1" l="1"/>
  <c r="CG139" i="3" l="1"/>
  <c r="CG140" i="3" s="1"/>
  <c r="CG141" i="3" s="1"/>
  <c r="CG142" i="3" s="1"/>
  <c r="CG179" i="3"/>
  <c r="CG180" i="3" s="1"/>
  <c r="CG181" i="3" s="1"/>
  <c r="CG182" i="3" s="1"/>
  <c r="CG33" i="1"/>
  <c r="CG30" i="1"/>
  <c r="CG172" i="3"/>
  <c r="CG117" i="1" l="1"/>
  <c r="CG32" i="1"/>
  <c r="CG71" i="1" l="1"/>
  <c r="CG59" i="1"/>
  <c r="CG34" i="1"/>
  <c r="CG163" i="3"/>
  <c r="CG108" i="1"/>
  <c r="CG103" i="1" s="1"/>
  <c r="CG90" i="3" l="1"/>
  <c r="CG170" i="3"/>
  <c r="CG109" i="1"/>
  <c r="CG26" i="4"/>
  <c r="CG78" i="3" l="1"/>
  <c r="CG59" i="4"/>
  <c r="CG64" i="4" s="1"/>
  <c r="CG79" i="3" l="1"/>
  <c r="CG60" i="4"/>
  <c r="CG63" i="4"/>
  <c r="CG61" i="4" l="1"/>
  <c r="CG80" i="3"/>
  <c r="CG62" i="4"/>
  <c r="CG148" i="3" l="1"/>
  <c r="CG149" i="3" s="1"/>
  <c r="CG157" i="3" s="1"/>
  <c r="CH158" i="3" s="1"/>
  <c r="CE18" i="3" l="1"/>
  <c r="CE17" i="3" l="1"/>
  <c r="CD148" i="3"/>
  <c r="CD149" i="3" s="1"/>
  <c r="CD157" i="3" s="1"/>
  <c r="CE20" i="3" l="1"/>
  <c r="CE55" i="3" s="1"/>
  <c r="CE197" i="3"/>
  <c r="CE199" i="3" s="1"/>
  <c r="CE148" i="3"/>
  <c r="CE149" i="3" s="1"/>
  <c r="CE157" i="3" s="1"/>
  <c r="CD45" i="3"/>
  <c r="CE45" i="3" l="1"/>
  <c r="CG158" i="3"/>
  <c r="CK158" i="3"/>
  <c r="CG136" i="3" l="1"/>
  <c r="CK84" i="4" l="1"/>
  <c r="CJ83" i="4"/>
  <c r="CK42" i="4" l="1"/>
  <c r="CG36" i="1" l="1"/>
  <c r="CG111" i="1"/>
  <c r="CG37" i="1"/>
  <c r="CG162" i="3"/>
  <c r="CG110" i="1"/>
  <c r="CG47" i="4"/>
  <c r="CG50" i="4" s="1"/>
  <c r="CG77" i="3" s="1"/>
  <c r="CG38" i="3"/>
  <c r="CG70" i="1" l="1"/>
  <c r="CG37" i="3"/>
  <c r="CG40" i="3" s="1"/>
  <c r="CG42" i="3" s="1"/>
  <c r="CG192" i="3" s="1"/>
  <c r="CG93" i="3"/>
  <c r="CK36" i="3"/>
  <c r="CG54" i="4"/>
  <c r="CH162" i="3"/>
  <c r="CH47" i="4"/>
  <c r="CG199" i="3" l="1"/>
  <c r="CG202" i="3" s="1"/>
  <c r="CG56" i="3" s="1"/>
  <c r="CG198" i="3"/>
  <c r="CG201" i="3" s="1"/>
  <c r="CG62" i="3"/>
  <c r="CG54" i="3"/>
  <c r="CG89" i="3"/>
  <c r="CG94" i="3" s="1"/>
  <c r="CH88" i="3" s="1"/>
  <c r="CM36" i="3"/>
  <c r="CK38" i="4"/>
  <c r="CH52" i="4"/>
  <c r="CI162" i="3"/>
  <c r="CI47" i="4"/>
  <c r="CG95" i="3" l="1"/>
  <c r="CG15" i="3"/>
  <c r="CN36" i="3"/>
  <c r="CM38" i="1"/>
  <c r="CJ162" i="3"/>
  <c r="CG55" i="4"/>
  <c r="CK43" i="1" l="1"/>
  <c r="CM43" i="1" s="1"/>
  <c r="CN43" i="1" s="1"/>
  <c r="CO43" i="1" s="1"/>
  <c r="CP43" i="1" s="1"/>
  <c r="CK162" i="3"/>
  <c r="CG65" i="3"/>
  <c r="CG68" i="3"/>
  <c r="CG20" i="3"/>
  <c r="CG55" i="3" s="1"/>
  <c r="CM38" i="4"/>
  <c r="CN38" i="1"/>
  <c r="CO36" i="3"/>
  <c r="CM42" i="1" l="1"/>
  <c r="CP36" i="3"/>
  <c r="CN38" i="4"/>
  <c r="CN42" i="1"/>
  <c r="CO38" i="1"/>
  <c r="CM162" i="3" l="1"/>
  <c r="CH28" i="1"/>
  <c r="CH166" i="3"/>
  <c r="CK27" i="1"/>
  <c r="CN162" i="3"/>
  <c r="CP38" i="1"/>
  <c r="CO42" i="1"/>
  <c r="CO38" i="4"/>
  <c r="CQ36" i="3"/>
  <c r="CH58" i="1" l="1"/>
  <c r="CK57" i="1"/>
  <c r="CK166" i="3"/>
  <c r="CH33" i="1"/>
  <c r="CI33" i="1"/>
  <c r="CH30" i="1"/>
  <c r="CH32" i="1" s="1"/>
  <c r="CO162" i="3"/>
  <c r="CH172" i="3"/>
  <c r="CP38" i="4"/>
  <c r="CQ38" i="4" s="1"/>
  <c r="CP42" i="1"/>
  <c r="CQ42" i="1" s="1"/>
  <c r="CQ38" i="1"/>
  <c r="CS36" i="3"/>
  <c r="CH115" i="1" l="1"/>
  <c r="CH59" i="1"/>
  <c r="CH117" i="1"/>
  <c r="CH71" i="1"/>
  <c r="CS38" i="1"/>
  <c r="CH163" i="3"/>
  <c r="CH108" i="1"/>
  <c r="CH37" i="1"/>
  <c r="CH34" i="1"/>
  <c r="CH90" i="3" s="1"/>
  <c r="CQ162" i="3"/>
  <c r="CQ43" i="1"/>
  <c r="CS43" i="1" s="1"/>
  <c r="CT43" i="1" s="1"/>
  <c r="CU43" i="1" s="1"/>
  <c r="CV43" i="1" s="1"/>
  <c r="CT36" i="3"/>
  <c r="CP162" i="3"/>
  <c r="CH139" i="3" l="1"/>
  <c r="CH140" i="3" s="1"/>
  <c r="CH141" i="3" s="1"/>
  <c r="CH142" i="3" s="1"/>
  <c r="CH136" i="3" s="1"/>
  <c r="CH179" i="3"/>
  <c r="CH180" i="3" s="1"/>
  <c r="CH181" i="3" s="1"/>
  <c r="CH182" i="3" s="1"/>
  <c r="CH70" i="1"/>
  <c r="CS42" i="1"/>
  <c r="CS38" i="4"/>
  <c r="CT38" i="1"/>
  <c r="CH170" i="3"/>
  <c r="CH36" i="1"/>
  <c r="CH38" i="3"/>
  <c r="CH37" i="3" s="1"/>
  <c r="CH109" i="1"/>
  <c r="CH111" i="1"/>
  <c r="CH103" i="1"/>
  <c r="CU36" i="3"/>
  <c r="CH89" i="3" l="1"/>
  <c r="CH93" i="3"/>
  <c r="CH40" i="3"/>
  <c r="CH42" i="3" s="1"/>
  <c r="CT38" i="4"/>
  <c r="CT42" i="1"/>
  <c r="CU38" i="1"/>
  <c r="CH110" i="1"/>
  <c r="CV36" i="3"/>
  <c r="CS162" i="3"/>
  <c r="CH192" i="3" l="1"/>
  <c r="CH199" i="3" s="1"/>
  <c r="CH202" i="3" s="1"/>
  <c r="CH56" i="3" s="1"/>
  <c r="CH62" i="3"/>
  <c r="CH54" i="3"/>
  <c r="CH94" i="3"/>
  <c r="CI88" i="3" s="1"/>
  <c r="CT162" i="3"/>
  <c r="CU38" i="4"/>
  <c r="CV38" i="1"/>
  <c r="CU42" i="1"/>
  <c r="CW36" i="3"/>
  <c r="CY36" i="3" s="1"/>
  <c r="CZ36" i="3" s="1"/>
  <c r="DA36" i="3" s="1"/>
  <c r="DB36" i="3" s="1"/>
  <c r="DC36" i="3" s="1"/>
  <c r="DE36" i="3" s="1"/>
  <c r="DF36" i="3" s="1"/>
  <c r="DG36" i="3" s="1"/>
  <c r="DH36" i="3" s="1"/>
  <c r="DI36" i="3" s="1"/>
  <c r="CH198" i="3" l="1"/>
  <c r="CH201" i="3" s="1"/>
  <c r="CH95" i="3"/>
  <c r="CW38" i="1"/>
  <c r="CV42" i="1"/>
  <c r="CW42" i="1" s="1"/>
  <c r="CV38" i="4"/>
  <c r="CU162" i="3"/>
  <c r="CY38" i="1" l="1"/>
  <c r="CV162" i="3"/>
  <c r="CW162" i="3"/>
  <c r="CW43" i="1"/>
  <c r="CY43" i="1" s="1"/>
  <c r="CZ43" i="1" s="1"/>
  <c r="DA43" i="1" s="1"/>
  <c r="DB43" i="1" s="1"/>
  <c r="CW38" i="4"/>
  <c r="CZ38" i="1" l="1"/>
  <c r="CY42" i="1"/>
  <c r="CY38" i="4"/>
  <c r="CY162" i="3" l="1"/>
  <c r="DA38" i="1"/>
  <c r="CZ42" i="1"/>
  <c r="CZ38" i="4"/>
  <c r="CZ162" i="3" l="1"/>
  <c r="DB38" i="1"/>
  <c r="DA38" i="4"/>
  <c r="DA42" i="1"/>
  <c r="BM35" i="9"/>
  <c r="BL36" i="9"/>
  <c r="BL37" i="9" s="1"/>
  <c r="BL67" i="9"/>
  <c r="BL68" i="9" s="1"/>
  <c r="BO67" i="9" l="1"/>
  <c r="BO68" i="9" s="1"/>
  <c r="BS67" i="9"/>
  <c r="DA162" i="3"/>
  <c r="DB42" i="1"/>
  <c r="DB38" i="4"/>
  <c r="DC38" i="1"/>
  <c r="BM36" i="9"/>
  <c r="BM37" i="9" s="1"/>
  <c r="BM67" i="9"/>
  <c r="BM68" i="9" s="1"/>
  <c r="BO36" i="9"/>
  <c r="DE38" i="1" l="1"/>
  <c r="DC38" i="4"/>
  <c r="DB162" i="3"/>
  <c r="DC42" i="1"/>
  <c r="BP36" i="9"/>
  <c r="CC35" i="9"/>
  <c r="BO37" i="9"/>
  <c r="DC43" i="1" l="1"/>
  <c r="DE43" i="1" s="1"/>
  <c r="DF43" i="1" s="1"/>
  <c r="DG43" i="1" s="1"/>
  <c r="DH43" i="1" s="1"/>
  <c r="DC162" i="3"/>
  <c r="DF38" i="1"/>
  <c r="DE38" i="4"/>
  <c r="CD35" i="9"/>
  <c r="CH27" i="3"/>
  <c r="BP37" i="9"/>
  <c r="CG31" i="3"/>
  <c r="CH66" i="3" l="1"/>
  <c r="CH67" i="3"/>
  <c r="DE42" i="1"/>
  <c r="DF42" i="1"/>
  <c r="DF38" i="4"/>
  <c r="DG38" i="1"/>
  <c r="CG44" i="3"/>
  <c r="CG45" i="3" s="1"/>
  <c r="CH31" i="3"/>
  <c r="CE35" i="9"/>
  <c r="DE162" i="3" l="1"/>
  <c r="DG38" i="4"/>
  <c r="DG42" i="1"/>
  <c r="DH38" i="1"/>
  <c r="DF162" i="3"/>
  <c r="CG35" i="9"/>
  <c r="CK67" i="9"/>
  <c r="CH44" i="3"/>
  <c r="CE67" i="9"/>
  <c r="DH42" i="1" l="1"/>
  <c r="DI42" i="1" s="1"/>
  <c r="DH38" i="4"/>
  <c r="DI38" i="1"/>
  <c r="DG162" i="3"/>
  <c r="CH35" i="9"/>
  <c r="DI38" i="4" l="1"/>
  <c r="DI43" i="1"/>
  <c r="DI162" i="3"/>
  <c r="DH162" i="3"/>
  <c r="CG34" i="8" l="1"/>
  <c r="CG44" i="7"/>
  <c r="CG42" i="7" s="1"/>
  <c r="CG40" i="7" s="1"/>
  <c r="CG36" i="7"/>
  <c r="CG34" i="7" s="1"/>
  <c r="CG32" i="7" s="1"/>
  <c r="CG27" i="7"/>
  <c r="CG25" i="7" s="1"/>
  <c r="CG23" i="7" s="1"/>
  <c r="CM57" i="7" l="1"/>
  <c r="CM23" i="7"/>
  <c r="AP41" i="36"/>
  <c r="AT50" i="36"/>
  <c r="AT62" i="36" s="1"/>
  <c r="AP40" i="36"/>
  <c r="AT49" i="36"/>
  <c r="AT60" i="36" s="1"/>
  <c r="AP39" i="36"/>
  <c r="CK23" i="7"/>
  <c r="CM40" i="7"/>
  <c r="AT41" i="36" s="1"/>
  <c r="CK40" i="7"/>
  <c r="CK45" i="7" s="1"/>
  <c r="CK32" i="7"/>
  <c r="CM32" i="7"/>
  <c r="AT40" i="36" s="1"/>
  <c r="CS23" i="7" l="1"/>
  <c r="CK29" i="7"/>
  <c r="CQ23" i="7"/>
  <c r="CQ29" i="7" s="1"/>
  <c r="AU61" i="36"/>
  <c r="AU31" i="36" s="1"/>
  <c r="AT61" i="36"/>
  <c r="AU63" i="36"/>
  <c r="AU32" i="36" s="1"/>
  <c r="AT63" i="36"/>
  <c r="CG123" i="7"/>
  <c r="CG125" i="7" s="1"/>
  <c r="CG124" i="7"/>
  <c r="CS32" i="7"/>
  <c r="CY32" i="7" s="1"/>
  <c r="CQ32" i="7"/>
  <c r="CQ37" i="7" s="1"/>
  <c r="CK34" i="7"/>
  <c r="CK35" i="7" s="1"/>
  <c r="CG75" i="7"/>
  <c r="CG9" i="7"/>
  <c r="CK53" i="7"/>
  <c r="CG54" i="7"/>
  <c r="CK37" i="7"/>
  <c r="CK42" i="7"/>
  <c r="CK43" i="7" s="1"/>
  <c r="CK46" i="7" s="1"/>
  <c r="CK11" i="8" s="1"/>
  <c r="CK25" i="7"/>
  <c r="CK26" i="7" s="1"/>
  <c r="CS40" i="7"/>
  <c r="CY40" i="7" s="1"/>
  <c r="CQ40" i="7"/>
  <c r="CQ45" i="7" s="1"/>
  <c r="CK28" i="7"/>
  <c r="CW23" i="7" l="1"/>
  <c r="CW25" i="7" s="1"/>
  <c r="CW26" i="7" s="1"/>
  <c r="AP43" i="36"/>
  <c r="CM79" i="7"/>
  <c r="CQ28" i="7"/>
  <c r="CQ25" i="7"/>
  <c r="CQ26" i="7" s="1"/>
  <c r="CY23" i="7"/>
  <c r="AT32" i="36"/>
  <c r="DE32" i="7"/>
  <c r="DC32" i="7"/>
  <c r="DC37" i="7" s="1"/>
  <c r="DE40" i="7"/>
  <c r="DC40" i="7"/>
  <c r="DC45" i="7" s="1"/>
  <c r="AT31" i="36"/>
  <c r="CG73" i="7"/>
  <c r="CK30" i="7"/>
  <c r="CK9" i="8" s="1"/>
  <c r="CW40" i="7"/>
  <c r="CG86" i="7"/>
  <c r="CG88" i="7"/>
  <c r="CG87" i="7"/>
  <c r="CG81" i="7"/>
  <c r="CG90" i="7"/>
  <c r="CG89" i="7"/>
  <c r="CG76" i="7"/>
  <c r="CG77" i="7" s="1"/>
  <c r="CG80" i="7" s="1"/>
  <c r="AP52" i="36" s="1"/>
  <c r="AP105" i="36" s="1"/>
  <c r="AP106" i="36" s="1"/>
  <c r="CW32" i="7"/>
  <c r="CW37" i="7" s="1"/>
  <c r="CG85" i="7"/>
  <c r="CK38" i="7"/>
  <c r="CK10" i="8" s="1"/>
  <c r="CG10" i="7"/>
  <c r="CQ42" i="7"/>
  <c r="CK21" i="8"/>
  <c r="CK9" i="7"/>
  <c r="CK54" i="7"/>
  <c r="CK57" i="7"/>
  <c r="CS53" i="7"/>
  <c r="CY57" i="7" s="1"/>
  <c r="CQ34" i="7"/>
  <c r="CK72" i="7"/>
  <c r="CK75" i="7" s="1"/>
  <c r="CG15" i="7"/>
  <c r="CG91" i="7"/>
  <c r="CG55" i="7"/>
  <c r="CK55" i="7" s="1"/>
  <c r="CG93" i="7"/>
  <c r="CW28" i="7" l="1"/>
  <c r="CW30" i="7" s="1"/>
  <c r="CW29" i="7"/>
  <c r="CQ30" i="7"/>
  <c r="CK19" i="8"/>
  <c r="CK15" i="8"/>
  <c r="DE23" i="7"/>
  <c r="DC23" i="7"/>
  <c r="DC29" i="7" s="1"/>
  <c r="CY9" i="8"/>
  <c r="CY15" i="8" s="1"/>
  <c r="DE9" i="8"/>
  <c r="DE15" i="8" s="1"/>
  <c r="DC42" i="7"/>
  <c r="CY53" i="7"/>
  <c r="DE57" i="7" s="1"/>
  <c r="DC34" i="7"/>
  <c r="DI40" i="7"/>
  <c r="DI45" i="7" s="1"/>
  <c r="DI32" i="7"/>
  <c r="DI37" i="7" s="1"/>
  <c r="CK58" i="7"/>
  <c r="AP66" i="36"/>
  <c r="CQ78" i="7"/>
  <c r="CK85" i="7"/>
  <c r="CS72" i="7"/>
  <c r="CS75" i="7" s="1"/>
  <c r="CY79" i="7" s="1"/>
  <c r="CS9" i="7"/>
  <c r="CK20" i="8"/>
  <c r="CK15" i="7"/>
  <c r="CK91" i="7"/>
  <c r="CK73" i="7"/>
  <c r="CK93" i="7"/>
  <c r="CG17" i="7"/>
  <c r="CW34" i="7"/>
  <c r="CW42" i="7"/>
  <c r="CK10" i="7"/>
  <c r="CK88" i="7"/>
  <c r="CK86" i="7"/>
  <c r="CK90" i="7"/>
  <c r="CK89" i="7"/>
  <c r="CK87" i="7"/>
  <c r="CK81" i="7"/>
  <c r="CK76" i="7"/>
  <c r="CK77" i="7" s="1"/>
  <c r="CG46" i="8"/>
  <c r="CG13" i="8"/>
  <c r="CG127" i="1"/>
  <c r="CK79" i="7"/>
  <c r="CW45" i="7"/>
  <c r="AP10" i="36" l="1"/>
  <c r="AP21" i="36" s="1"/>
  <c r="CG14" i="8"/>
  <c r="DI23" i="7"/>
  <c r="DI25" i="7" s="1"/>
  <c r="DI26" i="7" s="1"/>
  <c r="DC28" i="7"/>
  <c r="DC25" i="7"/>
  <c r="DC26" i="7" s="1"/>
  <c r="DE27" i="8"/>
  <c r="DF27" i="8"/>
  <c r="DE19" i="8"/>
  <c r="CZ27" i="8"/>
  <c r="CQ36" i="8"/>
  <c r="CS85" i="7"/>
  <c r="CY9" i="7"/>
  <c r="CY72" i="7"/>
  <c r="CY75" i="7" s="1"/>
  <c r="CY54" i="7"/>
  <c r="DI34" i="7"/>
  <c r="DI42" i="7"/>
  <c r="DE53" i="7"/>
  <c r="AS69" i="36"/>
  <c r="AS70" i="36" s="1"/>
  <c r="AQ69" i="36"/>
  <c r="AQ70" i="36" s="1"/>
  <c r="AP69" i="36"/>
  <c r="AP70" i="36" s="1"/>
  <c r="AR69" i="36"/>
  <c r="AR70" i="36" s="1"/>
  <c r="AQ67" i="36"/>
  <c r="AQ68" i="36" s="1"/>
  <c r="AP67" i="36"/>
  <c r="AP68" i="36" s="1"/>
  <c r="CQ68" i="7"/>
  <c r="CQ35" i="8" s="1"/>
  <c r="CQ41" i="8"/>
  <c r="CK17" i="7"/>
  <c r="CK18" i="7" s="1"/>
  <c r="CQ56" i="7"/>
  <c r="CK80" i="7"/>
  <c r="CK46" i="8" s="1"/>
  <c r="CK47" i="8"/>
  <c r="CK8" i="8"/>
  <c r="CS88" i="7"/>
  <c r="CS90" i="7"/>
  <c r="CS89" i="7"/>
  <c r="CS86" i="7"/>
  <c r="CS87" i="7"/>
  <c r="CS9" i="1"/>
  <c r="CS81" i="7" s="1"/>
  <c r="CG128" i="1"/>
  <c r="CS91" i="7"/>
  <c r="CS15" i="7"/>
  <c r="CG31" i="8"/>
  <c r="CG23" i="8"/>
  <c r="EG24" i="8" s="1"/>
  <c r="EG13" i="8"/>
  <c r="CH31" i="8"/>
  <c r="CG43" i="8"/>
  <c r="CG18" i="7"/>
  <c r="CG33" i="7"/>
  <c r="CG24" i="7"/>
  <c r="CG41" i="7"/>
  <c r="DI29" i="7" l="1"/>
  <c r="DE79" i="7"/>
  <c r="DI28" i="7"/>
  <c r="DI30" i="7" s="1"/>
  <c r="DC30" i="7"/>
  <c r="CG67" i="1"/>
  <c r="CY9" i="1"/>
  <c r="CY81" i="7" s="1"/>
  <c r="CY89" i="7"/>
  <c r="CY87" i="7"/>
  <c r="CY76" i="7"/>
  <c r="CY77" i="7" s="1"/>
  <c r="CY80" i="7" s="1"/>
  <c r="CY86" i="7"/>
  <c r="CY90" i="7"/>
  <c r="CY88" i="7"/>
  <c r="CY10" i="7"/>
  <c r="DE54" i="7"/>
  <c r="DE9" i="7"/>
  <c r="DE72" i="7"/>
  <c r="DE75" i="7" s="1"/>
  <c r="CY85" i="7"/>
  <c r="CY55" i="7"/>
  <c r="CY93" i="7"/>
  <c r="CY91" i="7"/>
  <c r="CY15" i="7"/>
  <c r="AP34" i="36"/>
  <c r="AQ34" i="36"/>
  <c r="CQ70" i="7"/>
  <c r="CQ50" i="8" s="1"/>
  <c r="CQ34" i="8"/>
  <c r="CK13" i="8"/>
  <c r="CK127" i="1"/>
  <c r="CK41" i="7"/>
  <c r="CQ36" i="7"/>
  <c r="CQ35" i="7" s="1"/>
  <c r="CQ38" i="7" s="1"/>
  <c r="CQ10" i="8" s="1"/>
  <c r="CQ20" i="8" s="1"/>
  <c r="CQ44" i="7"/>
  <c r="CQ43" i="7" s="1"/>
  <c r="CQ46" i="7" s="1"/>
  <c r="CK24" i="7"/>
  <c r="CK33" i="7"/>
  <c r="CG42" i="8"/>
  <c r="CS26" i="3"/>
  <c r="CS153" i="3" s="1"/>
  <c r="CS145" i="7"/>
  <c r="CS14" i="3"/>
  <c r="CS100" i="3"/>
  <c r="CS167" i="3"/>
  <c r="CS27" i="1"/>
  <c r="CS17" i="4"/>
  <c r="CS137" i="3"/>
  <c r="CS12" i="3"/>
  <c r="CS25" i="3"/>
  <c r="CS12" i="1"/>
  <c r="CS17" i="1"/>
  <c r="CS16" i="1"/>
  <c r="CG129" i="1"/>
  <c r="CK18" i="8"/>
  <c r="CS17" i="7"/>
  <c r="CS24" i="7" s="1"/>
  <c r="CQ11" i="8" l="1"/>
  <c r="CQ21" i="8" s="1"/>
  <c r="CK43" i="8"/>
  <c r="CK14" i="8"/>
  <c r="CY58" i="7"/>
  <c r="DE85" i="7"/>
  <c r="DE9" i="1"/>
  <c r="DE81" i="7" s="1"/>
  <c r="DE89" i="7"/>
  <c r="DE76" i="7"/>
  <c r="DE77" i="7" s="1"/>
  <c r="DE80" i="7" s="1"/>
  <c r="DE87" i="7"/>
  <c r="DE86" i="7"/>
  <c r="DE90" i="7"/>
  <c r="DE88" i="7"/>
  <c r="DE10" i="7"/>
  <c r="DE15" i="7"/>
  <c r="DE91" i="7"/>
  <c r="DE55" i="7"/>
  <c r="DE93" i="7"/>
  <c r="CY17" i="7"/>
  <c r="CY24" i="7" s="1"/>
  <c r="CY13" i="8"/>
  <c r="CY14" i="8" s="1"/>
  <c r="CY127" i="1"/>
  <c r="CY46" i="8"/>
  <c r="CY62" i="1"/>
  <c r="CY40" i="8" s="1"/>
  <c r="CY12" i="1"/>
  <c r="CY15" i="1" s="1"/>
  <c r="CY16" i="1"/>
  <c r="CY145" i="7"/>
  <c r="CY17" i="1"/>
  <c r="CY17" i="4"/>
  <c r="CY167" i="3"/>
  <c r="CY27" i="1"/>
  <c r="CY137" i="3"/>
  <c r="CY100" i="3"/>
  <c r="CY25" i="3"/>
  <c r="CY14" i="3"/>
  <c r="CY12" i="3"/>
  <c r="CY26" i="3"/>
  <c r="CY153" i="3" s="1"/>
  <c r="CQ12" i="8"/>
  <c r="CK23" i="8"/>
  <c r="CK128" i="1"/>
  <c r="CS168" i="3"/>
  <c r="CS13" i="3"/>
  <c r="CS46" i="1"/>
  <c r="CS24" i="3"/>
  <c r="CS30" i="4"/>
  <c r="CS15" i="1"/>
  <c r="CS171" i="3"/>
  <c r="CS145" i="3"/>
  <c r="CS19" i="1"/>
  <c r="CS152" i="3"/>
  <c r="CS166" i="3"/>
  <c r="CS144" i="7"/>
  <c r="CS142" i="7"/>
  <c r="CS141" i="7"/>
  <c r="CS143" i="7"/>
  <c r="CS41" i="7"/>
  <c r="CS33" i="7"/>
  <c r="CS143" i="3"/>
  <c r="CK42" i="8" l="1"/>
  <c r="CY50" i="1"/>
  <c r="CY143" i="3"/>
  <c r="CY21" i="4"/>
  <c r="CY24" i="4"/>
  <c r="CY152" i="3"/>
  <c r="CY65" i="1"/>
  <c r="CY64" i="1"/>
  <c r="CY19" i="1"/>
  <c r="CY20" i="1" s="1"/>
  <c r="CY18" i="7"/>
  <c r="CY33" i="7"/>
  <c r="CY41" i="7"/>
  <c r="DE17" i="7"/>
  <c r="DE24" i="7" s="1"/>
  <c r="CY8" i="8"/>
  <c r="CY47" i="8"/>
  <c r="CY145" i="3"/>
  <c r="CY25" i="4"/>
  <c r="CY30" i="4"/>
  <c r="CY166" i="3"/>
  <c r="CY171" i="3"/>
  <c r="CY144" i="7"/>
  <c r="CY142" i="7"/>
  <c r="CY159" i="7"/>
  <c r="CY141" i="7"/>
  <c r="CY143" i="7"/>
  <c r="CY46" i="1"/>
  <c r="CY63" i="1"/>
  <c r="CY168" i="3"/>
  <c r="CY24" i="3"/>
  <c r="CY13" i="3"/>
  <c r="CY43" i="8"/>
  <c r="DE58" i="7"/>
  <c r="DE13" i="8"/>
  <c r="DE46" i="8"/>
  <c r="DE127" i="1"/>
  <c r="DE62" i="1"/>
  <c r="DE40" i="8" s="1"/>
  <c r="DE27" i="1"/>
  <c r="DE16" i="1"/>
  <c r="DE145" i="7"/>
  <c r="DE12" i="1"/>
  <c r="DE167" i="3"/>
  <c r="DE137" i="3"/>
  <c r="DE26" i="3"/>
  <c r="DE153" i="3" s="1"/>
  <c r="DE25" i="3"/>
  <c r="DE12" i="3"/>
  <c r="DE17" i="1"/>
  <c r="DE17" i="4"/>
  <c r="DE100" i="3"/>
  <c r="DE14" i="3"/>
  <c r="CQ22" i="8"/>
  <c r="CK129" i="1"/>
  <c r="CK67" i="1"/>
  <c r="CS20" i="1"/>
  <c r="CS144" i="3"/>
  <c r="CS169" i="3"/>
  <c r="CS33" i="4"/>
  <c r="CS151" i="3"/>
  <c r="CS155" i="3" s="1"/>
  <c r="DE23" i="8" l="1"/>
  <c r="DE14" i="8"/>
  <c r="DE30" i="4"/>
  <c r="DE65" i="1"/>
  <c r="DE143" i="3"/>
  <c r="DE21" i="4"/>
  <c r="DE46" i="1"/>
  <c r="DE63" i="1"/>
  <c r="DE13" i="3"/>
  <c r="DE168" i="3"/>
  <c r="DE24" i="3"/>
  <c r="DE64" i="1"/>
  <c r="DE19" i="1"/>
  <c r="DE8" i="8"/>
  <c r="DE18" i="8" s="1"/>
  <c r="DE47" i="8"/>
  <c r="CY151" i="3"/>
  <c r="CY155" i="3" s="1"/>
  <c r="CY23" i="4"/>
  <c r="CY157" i="7"/>
  <c r="CY158" i="7"/>
  <c r="DE18" i="7"/>
  <c r="DE33" i="7"/>
  <c r="DE41" i="7"/>
  <c r="CY68" i="1"/>
  <c r="CY165" i="3"/>
  <c r="CY53" i="1"/>
  <c r="CY54" i="1"/>
  <c r="CY138" i="3"/>
  <c r="DE145" i="3"/>
  <c r="DE25" i="4"/>
  <c r="DE171" i="3"/>
  <c r="DE15" i="1"/>
  <c r="DE152" i="3"/>
  <c r="DE24" i="4"/>
  <c r="DE144" i="7"/>
  <c r="DE141" i="7"/>
  <c r="DE159" i="7"/>
  <c r="DE142" i="7"/>
  <c r="DE143" i="7"/>
  <c r="DE166" i="3"/>
  <c r="DE43" i="8"/>
  <c r="DE31" i="8"/>
  <c r="CY144" i="3"/>
  <c r="CY22" i="4"/>
  <c r="CY155" i="7"/>
  <c r="CY156" i="7"/>
  <c r="CY33" i="4"/>
  <c r="CY42" i="8"/>
  <c r="CY66" i="1"/>
  <c r="CY169" i="3"/>
  <c r="CS165" i="3"/>
  <c r="CS53" i="1"/>
  <c r="CS138" i="3"/>
  <c r="CY120" i="1" l="1"/>
  <c r="CS120" i="1"/>
  <c r="DE156" i="7"/>
  <c r="DE155" i="7"/>
  <c r="CY20" i="4"/>
  <c r="DE26" i="8"/>
  <c r="DE144" i="3"/>
  <c r="DE22" i="4"/>
  <c r="DE33" i="4"/>
  <c r="DE42" i="8"/>
  <c r="DE157" i="7"/>
  <c r="DE158" i="7"/>
  <c r="DE20" i="1"/>
  <c r="DE50" i="1"/>
  <c r="DE169" i="3"/>
  <c r="DE66" i="1"/>
  <c r="DE151" i="3"/>
  <c r="DE155" i="3" s="1"/>
  <c r="DE23" i="4"/>
  <c r="CY125" i="1" l="1"/>
  <c r="CY121" i="1"/>
  <c r="DE20" i="4"/>
  <c r="CS125" i="1"/>
  <c r="DE54" i="1"/>
  <c r="DE165" i="3"/>
  <c r="DE68" i="1"/>
  <c r="DE53" i="1"/>
  <c r="DE138" i="3"/>
  <c r="CY126" i="1" l="1"/>
  <c r="CY128" i="1"/>
  <c r="DE120" i="1"/>
  <c r="DE121" i="1" s="1"/>
  <c r="CY55" i="1" l="1"/>
  <c r="CY67" i="1"/>
  <c r="CY129" i="1"/>
  <c r="DE125" i="1"/>
  <c r="DE126" i="1" l="1"/>
  <c r="DE55" i="1" s="1"/>
  <c r="DE128" i="1"/>
  <c r="DE67" i="1" l="1"/>
  <c r="DE129" i="1"/>
  <c r="CH22" i="1" l="1"/>
  <c r="CH13" i="4"/>
  <c r="CH107" i="3" s="1"/>
  <c r="CH148" i="3"/>
  <c r="CH149" i="3" s="1"/>
  <c r="CH157" i="3" s="1"/>
  <c r="CI158" i="3" s="1"/>
  <c r="CH108" i="3" l="1"/>
  <c r="CH114" i="3"/>
  <c r="CH109" i="3"/>
  <c r="CH115" i="3"/>
  <c r="CH21" i="1"/>
  <c r="CH23" i="1" s="1"/>
  <c r="CI22" i="1"/>
  <c r="CK14" i="4"/>
  <c r="CH26" i="4"/>
  <c r="CH78" i="3" s="1"/>
  <c r="CJ22" i="1"/>
  <c r="CH95" i="1" l="1"/>
  <c r="CH96" i="1" s="1"/>
  <c r="CH24" i="1"/>
  <c r="CH59" i="4"/>
  <c r="CH50" i="4"/>
  <c r="CK22" i="1"/>
  <c r="CH79" i="3" l="1"/>
  <c r="CH64" i="4"/>
  <c r="CH54" i="4"/>
  <c r="CH55" i="4" s="1"/>
  <c r="CH77" i="3"/>
  <c r="CH56" i="1"/>
  <c r="CH59" i="3"/>
  <c r="CH69" i="1"/>
  <c r="CH164" i="3"/>
  <c r="CH97" i="1"/>
  <c r="CH60" i="4"/>
  <c r="CH80" i="3" s="1"/>
  <c r="CH63" i="4"/>
  <c r="CI21" i="1" l="1"/>
  <c r="CI95" i="1" s="1"/>
  <c r="CI96" i="1" s="1"/>
  <c r="CI52" i="4"/>
  <c r="CH62" i="4"/>
  <c r="CH61" i="4"/>
  <c r="CI24" i="1" l="1"/>
  <c r="CI23" i="1"/>
  <c r="CH15" i="3"/>
  <c r="CI59" i="3" l="1"/>
  <c r="CI61" i="3"/>
  <c r="CI56" i="1"/>
  <c r="CI69" i="1"/>
  <c r="CI97" i="1"/>
  <c r="CH68" i="3"/>
  <c r="CH65" i="3"/>
  <c r="CI164" i="3"/>
  <c r="CH20" i="3"/>
  <c r="CH55" i="3" s="1"/>
  <c r="CI28" i="1" l="1"/>
  <c r="CI58" i="1" s="1"/>
  <c r="CH45" i="3"/>
  <c r="CI115" i="1" l="1"/>
  <c r="CI139" i="3" l="1"/>
  <c r="CI140" i="3" s="1"/>
  <c r="CI141" i="3" s="1"/>
  <c r="CI142" i="3" s="1"/>
  <c r="CI136" i="3" s="1"/>
  <c r="CI179" i="3"/>
  <c r="CI180" i="3" s="1"/>
  <c r="CI181" i="3" s="1"/>
  <c r="CI182" i="3" s="1"/>
  <c r="CI172" i="3"/>
  <c r="CI30" i="1"/>
  <c r="CI117" i="1" l="1"/>
  <c r="CI32" i="1"/>
  <c r="CI71" i="1" l="1"/>
  <c r="CI59" i="1"/>
  <c r="CI37" i="1"/>
  <c r="CI163" i="3"/>
  <c r="CI108" i="1"/>
  <c r="CI34" i="1"/>
  <c r="CI70" i="1" l="1"/>
  <c r="CI90" i="3"/>
  <c r="CI111" i="1"/>
  <c r="CI109" i="1"/>
  <c r="CI103" i="1"/>
  <c r="CI170" i="3"/>
  <c r="CI36" i="1"/>
  <c r="CI38" i="3"/>
  <c r="CI37" i="3" l="1"/>
  <c r="CI93" i="3"/>
  <c r="CI26" i="4"/>
  <c r="CI110" i="1"/>
  <c r="CI40" i="3" l="1"/>
  <c r="CI42" i="3" s="1"/>
  <c r="CI54" i="3" s="1"/>
  <c r="CJ89" i="3"/>
  <c r="CI78" i="3"/>
  <c r="CI59" i="4"/>
  <c r="CI64" i="4" s="1"/>
  <c r="CI62" i="3"/>
  <c r="CI89" i="3"/>
  <c r="CI94" i="3" s="1"/>
  <c r="CI44" i="3"/>
  <c r="CI192" i="3" l="1"/>
  <c r="CI95" i="3"/>
  <c r="CJ88" i="3"/>
  <c r="CI79" i="3"/>
  <c r="CI60" i="4"/>
  <c r="CI63" i="4"/>
  <c r="CK37" i="3"/>
  <c r="CK89" i="3"/>
  <c r="CI80" i="3" l="1"/>
  <c r="CI61" i="4"/>
  <c r="CI62" i="4"/>
  <c r="CK31" i="4" l="1"/>
  <c r="CK33" i="4" s="1"/>
  <c r="CI33" i="4" l="1"/>
  <c r="CI50" i="4" s="1"/>
  <c r="CI146" i="3"/>
  <c r="CI77" i="3" l="1"/>
  <c r="CI54" i="4"/>
  <c r="CJ52" i="4" s="1"/>
  <c r="CJ146" i="3"/>
  <c r="CK16" i="3"/>
  <c r="CI195" i="3" l="1"/>
  <c r="CI198" i="3" s="1"/>
  <c r="CI201" i="3" s="1"/>
  <c r="CK146" i="3"/>
  <c r="CI55" i="4" l="1"/>
  <c r="CI15" i="3"/>
  <c r="CI65" i="3" l="1"/>
  <c r="CI68" i="3"/>
  <c r="CK25" i="1"/>
  <c r="CM117" i="3" l="1"/>
  <c r="CQ117" i="3"/>
  <c r="CK18" i="3" l="1"/>
  <c r="CQ120" i="3"/>
  <c r="CQ122" i="3"/>
  <c r="CM120" i="3"/>
  <c r="CM122" i="3"/>
  <c r="CM18" i="3" l="1"/>
  <c r="CN117" i="3"/>
  <c r="CS117" i="3"/>
  <c r="CW117" i="3"/>
  <c r="CN120" i="3" l="1"/>
  <c r="CN122" i="3"/>
  <c r="CW120" i="3"/>
  <c r="CW122" i="3"/>
  <c r="CS120" i="3"/>
  <c r="CS122" i="3"/>
  <c r="CN18" i="3" l="1"/>
  <c r="CO117" i="3"/>
  <c r="CT117" i="3"/>
  <c r="CS18" i="3"/>
  <c r="DC117" i="3"/>
  <c r="CY117" i="3"/>
  <c r="DC120" i="3" l="1"/>
  <c r="DC122" i="3"/>
  <c r="CT120" i="3"/>
  <c r="CT122" i="3"/>
  <c r="CO120" i="3"/>
  <c r="CO122" i="3"/>
  <c r="CY122" i="3"/>
  <c r="CY120" i="3"/>
  <c r="CY18" i="3" l="1"/>
  <c r="CZ117" i="3"/>
  <c r="CU117" i="3"/>
  <c r="CT18" i="3"/>
  <c r="CO18" i="3"/>
  <c r="CP117" i="3"/>
  <c r="DI117" i="3"/>
  <c r="DE117" i="3"/>
  <c r="CP120" i="3" l="1"/>
  <c r="CP122" i="3"/>
  <c r="CP18" i="3" s="1"/>
  <c r="CU120" i="3"/>
  <c r="CU122" i="3"/>
  <c r="DE120" i="3"/>
  <c r="DE122" i="3"/>
  <c r="CZ120" i="3"/>
  <c r="CZ122" i="3"/>
  <c r="DI122" i="3"/>
  <c r="DI120" i="3"/>
  <c r="DE18" i="3" l="1"/>
  <c r="DF117" i="3"/>
  <c r="CZ18" i="3"/>
  <c r="DA117" i="3"/>
  <c r="CU18" i="3"/>
  <c r="CV117" i="3"/>
  <c r="CQ18" i="3"/>
  <c r="CV120" i="3" l="1"/>
  <c r="CV122" i="3"/>
  <c r="CV18" i="3" s="1"/>
  <c r="DF120" i="3"/>
  <c r="DF122" i="3"/>
  <c r="DA120" i="3"/>
  <c r="DA122" i="3"/>
  <c r="DB117" i="3" l="1"/>
  <c r="DA18" i="3"/>
  <c r="CW18" i="3"/>
  <c r="DG117" i="3"/>
  <c r="DF18" i="3"/>
  <c r="DG120" i="3" l="1"/>
  <c r="DG122" i="3"/>
  <c r="DB122" i="3"/>
  <c r="DB18" i="3" s="1"/>
  <c r="DB120" i="3"/>
  <c r="DH117" i="3" l="1"/>
  <c r="DG18" i="3"/>
  <c r="DC18" i="3"/>
  <c r="DH120" i="3" l="1"/>
  <c r="DH122" i="3"/>
  <c r="DH18" i="3" s="1"/>
  <c r="DI18" i="3" l="1"/>
  <c r="CK126" i="3"/>
  <c r="CK127" i="3" s="1"/>
  <c r="CK17" i="3" l="1"/>
  <c r="CK197" i="3" s="1"/>
  <c r="CJ197" i="3"/>
  <c r="CI148" i="3"/>
  <c r="CI149" i="3" s="1"/>
  <c r="CI157" i="3" s="1"/>
  <c r="CJ158" i="3" s="1"/>
  <c r="CI197" i="3"/>
  <c r="CI199" i="3" s="1"/>
  <c r="CM124" i="3"/>
  <c r="CM127" i="3" s="1"/>
  <c r="CQ124" i="3"/>
  <c r="CQ127" i="3" s="1"/>
  <c r="CI20" i="3"/>
  <c r="CI55" i="3" s="1"/>
  <c r="CJ148" i="3"/>
  <c r="CJ149" i="3" s="1"/>
  <c r="CJ157" i="3" s="1"/>
  <c r="CK148" i="3" l="1"/>
  <c r="CK149" i="3" s="1"/>
  <c r="CK157" i="3" s="1"/>
  <c r="CI202" i="3"/>
  <c r="CI45" i="3"/>
  <c r="CW124" i="3"/>
  <c r="CW127" i="3" s="1"/>
  <c r="CS124" i="3"/>
  <c r="CS127" i="3" s="1"/>
  <c r="CM17" i="3"/>
  <c r="CM197" i="3" s="1"/>
  <c r="CN124" i="3"/>
  <c r="CN127" i="3" s="1"/>
  <c r="CI56" i="3" l="1"/>
  <c r="DC124" i="3"/>
  <c r="DC127" i="3" s="1"/>
  <c r="CY124" i="3"/>
  <c r="CY127" i="3" s="1"/>
  <c r="CN17" i="3"/>
  <c r="CN197" i="3" s="1"/>
  <c r="CO124" i="3"/>
  <c r="CO127" i="3" s="1"/>
  <c r="CM148" i="3"/>
  <c r="CS17" i="3"/>
  <c r="CS197" i="3" s="1"/>
  <c r="CT124" i="3"/>
  <c r="CT127" i="3" s="1"/>
  <c r="CP124" i="3" l="1"/>
  <c r="CP127" i="3" s="1"/>
  <c r="CP17" i="3" s="1"/>
  <c r="CP197" i="3" s="1"/>
  <c r="CO17" i="3"/>
  <c r="CO197" i="3" s="1"/>
  <c r="CN148" i="3"/>
  <c r="CY17" i="3"/>
  <c r="CY197" i="3" s="1"/>
  <c r="CZ124" i="3"/>
  <c r="CZ127" i="3" s="1"/>
  <c r="CS148" i="3"/>
  <c r="CT17" i="3"/>
  <c r="CT197" i="3" s="1"/>
  <c r="CU124" i="3"/>
  <c r="CU127" i="3" s="1"/>
  <c r="DI124" i="3"/>
  <c r="DI127" i="3" s="1"/>
  <c r="DE124" i="3"/>
  <c r="DE127" i="3" s="1"/>
  <c r="CU17" i="3" l="1"/>
  <c r="CU197" i="3" s="1"/>
  <c r="CV124" i="3"/>
  <c r="CV127" i="3" s="1"/>
  <c r="CV17" i="3" s="1"/>
  <c r="CV197" i="3" s="1"/>
  <c r="DE17" i="3"/>
  <c r="DE197" i="3" s="1"/>
  <c r="DF124" i="3"/>
  <c r="DF127" i="3" s="1"/>
  <c r="CT148" i="3"/>
  <c r="CZ17" i="3"/>
  <c r="CZ197" i="3" s="1"/>
  <c r="DA124" i="3"/>
  <c r="DA127" i="3" s="1"/>
  <c r="CO148" i="3"/>
  <c r="CY148" i="3"/>
  <c r="CQ17" i="3"/>
  <c r="CQ197" i="3" s="1"/>
  <c r="CP148" i="3"/>
  <c r="CZ148" i="3" l="1"/>
  <c r="DF17" i="3"/>
  <c r="DF197" i="3" s="1"/>
  <c r="DG124" i="3"/>
  <c r="DG127" i="3" s="1"/>
  <c r="DE148" i="3"/>
  <c r="CQ148" i="3"/>
  <c r="CV148" i="3"/>
  <c r="CW17" i="3"/>
  <c r="CW197" i="3" s="1"/>
  <c r="DB124" i="3"/>
  <c r="DB127" i="3" s="1"/>
  <c r="DB17" i="3" s="1"/>
  <c r="DB197" i="3" s="1"/>
  <c r="DA17" i="3"/>
  <c r="DA197" i="3" s="1"/>
  <c r="CU148" i="3"/>
  <c r="DA148" i="3" l="1"/>
  <c r="DB148" i="3"/>
  <c r="DC17" i="3"/>
  <c r="DC197" i="3" s="1"/>
  <c r="DG17" i="3"/>
  <c r="DG197" i="3" s="1"/>
  <c r="DH124" i="3"/>
  <c r="DH127" i="3" s="1"/>
  <c r="DH17" i="3" s="1"/>
  <c r="DH197" i="3" s="1"/>
  <c r="CW148" i="3"/>
  <c r="DF148" i="3"/>
  <c r="DG148" i="3" l="1"/>
  <c r="DH148" i="3"/>
  <c r="DI17" i="3"/>
  <c r="DI197" i="3" s="1"/>
  <c r="DC148" i="3"/>
  <c r="DI148" i="3" l="1"/>
  <c r="CK83" i="4" l="1"/>
  <c r="CK85" i="4" s="1"/>
  <c r="CO86" i="4"/>
  <c r="CK86" i="4" l="1"/>
  <c r="CQ86" i="4"/>
  <c r="BS31" i="9" l="1"/>
  <c r="BS63" i="9" s="1"/>
  <c r="BS64" i="9" s="1"/>
  <c r="BS68" i="9" s="1"/>
  <c r="BQ32" i="9"/>
  <c r="BQ34" i="9" s="1"/>
  <c r="BQ66" i="9" s="1"/>
  <c r="BQ63" i="9"/>
  <c r="BQ64" i="9" s="1"/>
  <c r="BQ68" i="9" s="1"/>
  <c r="BQ70" i="9"/>
  <c r="BS70" i="9" s="1"/>
  <c r="BQ36" i="9" l="1"/>
  <c r="BQ37" i="9" s="1"/>
  <c r="BR32" i="9"/>
  <c r="BR36" i="9" s="1"/>
  <c r="CJ28" i="1"/>
  <c r="CJ58" i="1" s="1"/>
  <c r="BQ38" i="9"/>
  <c r="BS32" i="9"/>
  <c r="BU31" i="9"/>
  <c r="CJ60" i="3"/>
  <c r="CK26" i="1"/>
  <c r="BS71" i="9" s="1"/>
  <c r="CK60" i="3" l="1"/>
  <c r="CK28" i="1"/>
  <c r="CK39" i="4"/>
  <c r="BV31" i="9"/>
  <c r="BU32" i="9"/>
  <c r="BU70" i="9"/>
  <c r="BS36" i="9"/>
  <c r="CK107" i="1" l="1"/>
  <c r="CJ115" i="1"/>
  <c r="CK29" i="1"/>
  <c r="CJ172" i="3"/>
  <c r="CJ30" i="1"/>
  <c r="CJ32" i="1" s="1"/>
  <c r="CJ59" i="1" s="1"/>
  <c r="CJ49" i="3"/>
  <c r="CK29" i="3"/>
  <c r="BR37" i="9"/>
  <c r="CJ31" i="3"/>
  <c r="BU36" i="9"/>
  <c r="CM26" i="1"/>
  <c r="BW31" i="9"/>
  <c r="BV32" i="9"/>
  <c r="BV70" i="9"/>
  <c r="CZ26" i="1" s="1"/>
  <c r="CJ47" i="4"/>
  <c r="CK37" i="4"/>
  <c r="CK101" i="1" l="1"/>
  <c r="CJ33" i="1"/>
  <c r="CJ117" i="1" s="1"/>
  <c r="CK33" i="1"/>
  <c r="CJ139" i="3"/>
  <c r="CJ140" i="3" s="1"/>
  <c r="CJ141" i="3" s="1"/>
  <c r="CJ142" i="3" s="1"/>
  <c r="CJ136" i="3" s="1"/>
  <c r="CJ179" i="3"/>
  <c r="CJ180" i="3" s="1"/>
  <c r="CJ181" i="3" s="1"/>
  <c r="CJ182" i="3" s="1"/>
  <c r="CK30" i="1"/>
  <c r="CK58" i="1"/>
  <c r="CK172" i="3"/>
  <c r="CJ185" i="3"/>
  <c r="CK31" i="3"/>
  <c r="CK49" i="3"/>
  <c r="BS37" i="9"/>
  <c r="BV36" i="9"/>
  <c r="CK47" i="4"/>
  <c r="BW32" i="9"/>
  <c r="BW70" i="9"/>
  <c r="CO26" i="1" s="1"/>
  <c r="BX31" i="9"/>
  <c r="CH71" i="9"/>
  <c r="BU71" i="9"/>
  <c r="CK117" i="1" l="1"/>
  <c r="CK115" i="1"/>
  <c r="CK179" i="3" s="1"/>
  <c r="CK180" i="3" s="1"/>
  <c r="CK181" i="3" s="1"/>
  <c r="CK182" i="3" s="1"/>
  <c r="CK32" i="1"/>
  <c r="CJ37" i="1"/>
  <c r="CJ163" i="3"/>
  <c r="CJ34" i="1"/>
  <c r="CJ90" i="3" s="1"/>
  <c r="CJ71" i="1"/>
  <c r="CJ108" i="1"/>
  <c r="CK185" i="3"/>
  <c r="BW36" i="9"/>
  <c r="BW71" i="9"/>
  <c r="BX32" i="9"/>
  <c r="BX70" i="9"/>
  <c r="CP26" i="1" s="1"/>
  <c r="CQ26" i="1" s="1"/>
  <c r="BY31" i="9"/>
  <c r="CJ93" i="3" l="1"/>
  <c r="CK93" i="3" s="1"/>
  <c r="CK108" i="1"/>
  <c r="CK139" i="3"/>
  <c r="CK140" i="3" s="1"/>
  <c r="CK141" i="3" s="1"/>
  <c r="CK142" i="3" s="1"/>
  <c r="CK136" i="3" s="1"/>
  <c r="CK163" i="3"/>
  <c r="CM107" i="1"/>
  <c r="CM33" i="1" s="1"/>
  <c r="CM115" i="1"/>
  <c r="CN58" i="1"/>
  <c r="CK37" i="1"/>
  <c r="CK71" i="1"/>
  <c r="CK59" i="1"/>
  <c r="CK34" i="1"/>
  <c r="CJ170" i="3"/>
  <c r="CJ36" i="1"/>
  <c r="CJ103" i="1"/>
  <c r="CK103" i="1" s="1"/>
  <c r="CK110" i="1" s="1"/>
  <c r="CJ109" i="1"/>
  <c r="CJ111" i="1"/>
  <c r="CJ70" i="1"/>
  <c r="BY70" i="9"/>
  <c r="CA31" i="9"/>
  <c r="BY63" i="9"/>
  <c r="BY64" i="9" s="1"/>
  <c r="BY68" i="9" s="1"/>
  <c r="BY32" i="9"/>
  <c r="BX36" i="9"/>
  <c r="BX71" i="9"/>
  <c r="BY71" i="9"/>
  <c r="CJ94" i="3" l="1"/>
  <c r="CO58" i="1"/>
  <c r="CP58" i="1" s="1"/>
  <c r="CK170" i="3"/>
  <c r="CK111" i="1"/>
  <c r="CK109" i="1"/>
  <c r="CK70" i="1"/>
  <c r="CN107" i="1"/>
  <c r="CN33" i="1" s="1"/>
  <c r="CN115" i="1"/>
  <c r="CM179" i="3"/>
  <c r="CM139" i="3"/>
  <c r="CK36" i="1"/>
  <c r="CJ110" i="1"/>
  <c r="CK90" i="3"/>
  <c r="CK94" i="3" s="1"/>
  <c r="CJ40" i="3"/>
  <c r="CJ42" i="3" s="1"/>
  <c r="CK38" i="3"/>
  <c r="CK40" i="3" s="1"/>
  <c r="CK42" i="3" s="1"/>
  <c r="CK10" i="4"/>
  <c r="CB31" i="9"/>
  <c r="CA32" i="9"/>
  <c r="CA70" i="9"/>
  <c r="BY36" i="9"/>
  <c r="CP107" i="1" l="1"/>
  <c r="CP33" i="1" s="1"/>
  <c r="CP115" i="1"/>
  <c r="CO115" i="1"/>
  <c r="CO107" i="1"/>
  <c r="CO33" i="1" s="1"/>
  <c r="CN139" i="3"/>
  <c r="CN179" i="3"/>
  <c r="CJ95" i="3"/>
  <c r="CM88" i="3"/>
  <c r="CQ88" i="3"/>
  <c r="CK95" i="3"/>
  <c r="CK54" i="3"/>
  <c r="CK62" i="3"/>
  <c r="CK44" i="3"/>
  <c r="CK192" i="3"/>
  <c r="CJ62" i="3"/>
  <c r="CJ192" i="3"/>
  <c r="CJ44" i="3"/>
  <c r="CJ54" i="3"/>
  <c r="CQ107" i="1"/>
  <c r="CQ33" i="1" s="1"/>
  <c r="CP139" i="3"/>
  <c r="CP179" i="3"/>
  <c r="CS26" i="1"/>
  <c r="CA36" i="9"/>
  <c r="CB32" i="9"/>
  <c r="CB70" i="9"/>
  <c r="DF26" i="1" s="1"/>
  <c r="CC31" i="9"/>
  <c r="CO139" i="3" l="1"/>
  <c r="CO179" i="3"/>
  <c r="CC32" i="9"/>
  <c r="CC70" i="9"/>
  <c r="CU26" i="1" s="1"/>
  <c r="CD31" i="9"/>
  <c r="CS60" i="3"/>
  <c r="CA71" i="9"/>
  <c r="CN71" i="9"/>
  <c r="CB36" i="9"/>
  <c r="CK10" i="3" l="1"/>
  <c r="CJ66" i="3"/>
  <c r="CJ50" i="3"/>
  <c r="CJ195" i="3"/>
  <c r="CJ15" i="3"/>
  <c r="CJ67" i="3"/>
  <c r="CE31" i="9"/>
  <c r="CD32" i="9"/>
  <c r="CD70" i="9"/>
  <c r="CU60" i="3"/>
  <c r="CC71" i="9"/>
  <c r="CC36" i="9"/>
  <c r="CJ68" i="3" l="1"/>
  <c r="CJ65" i="3"/>
  <c r="CJ20" i="3"/>
  <c r="CJ45" i="3" s="1"/>
  <c r="CJ198" i="3"/>
  <c r="CJ199" i="3"/>
  <c r="CJ61" i="3"/>
  <c r="CJ51" i="3"/>
  <c r="CK15" i="3"/>
  <c r="BY73" i="9"/>
  <c r="CK50" i="3"/>
  <c r="CK66" i="3"/>
  <c r="CK67" i="3"/>
  <c r="BU73" i="9"/>
  <c r="BU74" i="9" s="1"/>
  <c r="CM25" i="1" s="1"/>
  <c r="CK195" i="3"/>
  <c r="CD36" i="9"/>
  <c r="CG31" i="9"/>
  <c r="CE63" i="9"/>
  <c r="CE64" i="9" s="1"/>
  <c r="CE68" i="9" s="1"/>
  <c r="CE32" i="9"/>
  <c r="CV26" i="1"/>
  <c r="CE70" i="9"/>
  <c r="CK68" i="3" l="1"/>
  <c r="CK20" i="3"/>
  <c r="CK65" i="3"/>
  <c r="CJ55" i="3"/>
  <c r="CK61" i="3"/>
  <c r="CK51" i="3"/>
  <c r="CJ202" i="3"/>
  <c r="CJ56" i="3" s="1"/>
  <c r="CK202" i="3"/>
  <c r="CK56" i="3" s="1"/>
  <c r="CK198" i="3"/>
  <c r="CK199" i="3"/>
  <c r="CJ201" i="3"/>
  <c r="CK201" i="3"/>
  <c r="CG32" i="9"/>
  <c r="CG70" i="9"/>
  <c r="CH31" i="9"/>
  <c r="CE36" i="9"/>
  <c r="CV60" i="3"/>
  <c r="CD71" i="9"/>
  <c r="CW26" i="1"/>
  <c r="CK45" i="3" l="1"/>
  <c r="CK55" i="3"/>
  <c r="CY26" i="1"/>
  <c r="CE71" i="9"/>
  <c r="CG36" i="9"/>
  <c r="CH32" i="9"/>
  <c r="CH70" i="9"/>
  <c r="CI31" i="9"/>
  <c r="CH36" i="9" l="1"/>
  <c r="CY60" i="3"/>
  <c r="CG71" i="9"/>
  <c r="CJ31" i="9"/>
  <c r="CI32" i="9"/>
  <c r="CI70" i="9"/>
  <c r="DA26" i="1" l="1"/>
  <c r="CK31" i="9"/>
  <c r="CJ32" i="9"/>
  <c r="CJ70" i="9"/>
  <c r="DB26" i="1" s="1"/>
  <c r="CI36" i="9"/>
  <c r="DB60" i="3" l="1"/>
  <c r="CJ71" i="9"/>
  <c r="CJ36" i="9"/>
  <c r="CK70" i="9"/>
  <c r="CK32" i="9"/>
  <c r="CM31" i="9"/>
  <c r="CK63" i="9"/>
  <c r="CK64" i="9" s="1"/>
  <c r="CK68" i="9" s="1"/>
  <c r="DA60" i="3"/>
  <c r="CI71" i="9"/>
  <c r="DC26" i="1"/>
  <c r="CK36" i="9" l="1"/>
  <c r="CK71" i="9"/>
  <c r="CM32" i="9"/>
  <c r="CM70" i="9"/>
  <c r="CN31" i="9"/>
  <c r="CM36" i="9" l="1"/>
  <c r="CO31" i="9"/>
  <c r="CN32" i="9"/>
  <c r="CN70" i="9"/>
  <c r="DE26" i="1"/>
  <c r="DE60" i="3" l="1"/>
  <c r="CM71" i="9"/>
  <c r="CP31" i="9"/>
  <c r="CO32" i="9"/>
  <c r="CO70" i="9"/>
  <c r="DG26" i="1" s="1"/>
  <c r="CN36" i="9"/>
  <c r="DG60" i="3" l="1"/>
  <c r="CO71" i="9"/>
  <c r="CP32" i="9"/>
  <c r="CP70" i="9"/>
  <c r="DH26" i="1" s="1"/>
  <c r="DI26" i="1" s="1"/>
  <c r="CQ31" i="9"/>
  <c r="CO36" i="9"/>
  <c r="CQ71" i="9" l="1"/>
  <c r="CQ32" i="9"/>
  <c r="CQ63" i="9"/>
  <c r="CQ64" i="9" s="1"/>
  <c r="CQ68" i="9" s="1"/>
  <c r="CQ70" i="9"/>
  <c r="DH60" i="3"/>
  <c r="CP71" i="9"/>
  <c r="CP36" i="9"/>
  <c r="CQ36" i="9" l="1"/>
  <c r="CS107" i="1" l="1"/>
  <c r="CS115" i="1"/>
  <c r="CT115" i="1" l="1"/>
  <c r="CT107" i="1"/>
  <c r="CT33" i="1" s="1"/>
  <c r="CS33" i="1"/>
  <c r="CS179" i="3"/>
  <c r="CS180" i="3" s="1"/>
  <c r="CS181" i="3" s="1"/>
  <c r="CS139" i="3"/>
  <c r="CS140" i="3" s="1"/>
  <c r="CS141" i="3" s="1"/>
  <c r="CS142" i="3" s="1"/>
  <c r="CU107" i="1" l="1"/>
  <c r="CU115" i="1"/>
  <c r="CS182" i="3"/>
  <c r="CT139" i="3"/>
  <c r="CT179" i="3"/>
  <c r="CU139" i="3" l="1"/>
  <c r="CU140" i="3" s="1"/>
  <c r="CU141" i="3" s="1"/>
  <c r="CU142" i="3" s="1"/>
  <c r="CU179" i="3"/>
  <c r="CU180" i="3" s="1"/>
  <c r="CU181" i="3" s="1"/>
  <c r="CV107" i="1"/>
  <c r="CV33" i="1" s="1"/>
  <c r="CV115" i="1"/>
  <c r="CU33" i="1"/>
  <c r="CW107" i="1" l="1"/>
  <c r="CW33" i="1" s="1"/>
  <c r="CV179" i="3"/>
  <c r="CV180" i="3" s="1"/>
  <c r="CV181" i="3" s="1"/>
  <c r="CV139" i="3"/>
  <c r="CV140" i="3" s="1"/>
  <c r="CV141" i="3" s="1"/>
  <c r="CV142" i="3" s="1"/>
  <c r="CU182" i="3"/>
  <c r="CV182" i="3" l="1"/>
  <c r="CY115" i="1" l="1"/>
  <c r="CY107" i="1"/>
  <c r="CZ107" i="1" l="1"/>
  <c r="CZ33" i="1" s="1"/>
  <c r="CZ115" i="1"/>
  <c r="CY33" i="1"/>
  <c r="CY139" i="3"/>
  <c r="CY140" i="3" s="1"/>
  <c r="CY141" i="3" s="1"/>
  <c r="CY142" i="3" s="1"/>
  <c r="CY179" i="3"/>
  <c r="CY180" i="3" s="1"/>
  <c r="CY181" i="3" s="1"/>
  <c r="DA115" i="1" l="1"/>
  <c r="DA107" i="1"/>
  <c r="DA33" i="1" s="1"/>
  <c r="CY182" i="3"/>
  <c r="CZ139" i="3"/>
  <c r="CZ179" i="3"/>
  <c r="DA179" i="3" l="1"/>
  <c r="DA180" i="3" s="1"/>
  <c r="DA181" i="3" s="1"/>
  <c r="DA139" i="3"/>
  <c r="DA140" i="3" s="1"/>
  <c r="DA141" i="3" s="1"/>
  <c r="DA142" i="3" s="1"/>
  <c r="DB107" i="1"/>
  <c r="DB115" i="1"/>
  <c r="DA182" i="3" l="1"/>
  <c r="DB179" i="3"/>
  <c r="DB180" i="3" s="1"/>
  <c r="DB181" i="3" s="1"/>
  <c r="DB139" i="3"/>
  <c r="DB140" i="3" s="1"/>
  <c r="DB141" i="3" s="1"/>
  <c r="DB142" i="3" s="1"/>
  <c r="DB33" i="1"/>
  <c r="DC107" i="1"/>
  <c r="DC33" i="1" s="1"/>
  <c r="DB182" i="3" l="1"/>
  <c r="DE107" i="1" l="1"/>
  <c r="DE115" i="1"/>
  <c r="DE139" i="3" l="1"/>
  <c r="DE140" i="3" s="1"/>
  <c r="DE141" i="3" s="1"/>
  <c r="DE142" i="3" s="1"/>
  <c r="DE179" i="3"/>
  <c r="DE180" i="3" s="1"/>
  <c r="DE181" i="3" s="1"/>
  <c r="DF115" i="1"/>
  <c r="DF107" i="1"/>
  <c r="DF33" i="1" s="1"/>
  <c r="DE33" i="1"/>
  <c r="DF179" i="3" l="1"/>
  <c r="DF139" i="3"/>
  <c r="DG107" i="1"/>
  <c r="DG115" i="1"/>
  <c r="DE182" i="3"/>
  <c r="DH115" i="1" l="1"/>
  <c r="DH107" i="1"/>
  <c r="DH33" i="1" s="1"/>
  <c r="DG33" i="1"/>
  <c r="DG179" i="3"/>
  <c r="DG180" i="3" s="1"/>
  <c r="DG181" i="3" s="1"/>
  <c r="DG139" i="3"/>
  <c r="DG140" i="3" s="1"/>
  <c r="DG141" i="3" s="1"/>
  <c r="DG142" i="3" s="1"/>
  <c r="DG182" i="3" l="1"/>
  <c r="DI107" i="1"/>
  <c r="DI33" i="1" s="1"/>
  <c r="DH139" i="3"/>
  <c r="DH140" i="3" s="1"/>
  <c r="DH141" i="3" s="1"/>
  <c r="DH142" i="3" s="1"/>
  <c r="DH179" i="3"/>
  <c r="DH180" i="3" s="1"/>
  <c r="DH181" i="3" s="1"/>
  <c r="DH182" i="3" l="1"/>
  <c r="CT53" i="7" l="1"/>
  <c r="CZ57" i="7" s="1"/>
  <c r="CT9" i="7" l="1"/>
  <c r="CW53" i="7"/>
  <c r="CT72" i="7"/>
  <c r="CT75" i="7" s="1"/>
  <c r="CZ79" i="7" s="1"/>
  <c r="CZ53" i="7"/>
  <c r="DF57" i="7" s="1"/>
  <c r="CT9" i="1" l="1"/>
  <c r="CT81" i="7" s="1"/>
  <c r="CT86" i="7"/>
  <c r="CT87" i="7"/>
  <c r="CT88" i="7"/>
  <c r="CT89" i="7"/>
  <c r="CT90" i="7"/>
  <c r="CT85" i="7"/>
  <c r="CZ72" i="7"/>
  <c r="CZ75" i="7" s="1"/>
  <c r="DF79" i="7" s="1"/>
  <c r="CZ9" i="7"/>
  <c r="CZ54" i="7"/>
  <c r="DC53" i="7"/>
  <c r="DC57" i="7" s="1"/>
  <c r="CW9" i="7"/>
  <c r="DF53" i="7"/>
  <c r="CT15" i="7"/>
  <c r="CT91" i="7"/>
  <c r="CW72" i="7"/>
  <c r="CW75" i="7" s="1"/>
  <c r="CZ9" i="1" l="1"/>
  <c r="CZ81" i="7" s="1"/>
  <c r="CZ76" i="7"/>
  <c r="CZ77" i="7" s="1"/>
  <c r="CZ80" i="7" s="1"/>
  <c r="CZ86" i="7"/>
  <c r="CZ87" i="7"/>
  <c r="CZ88" i="7"/>
  <c r="CZ89" i="7"/>
  <c r="CZ90" i="7"/>
  <c r="CZ85" i="7"/>
  <c r="CW86" i="7"/>
  <c r="CW87" i="7"/>
  <c r="CW88" i="7"/>
  <c r="CW89" i="7"/>
  <c r="CW90" i="7"/>
  <c r="CW85" i="7"/>
  <c r="DC78" i="7"/>
  <c r="CZ10" i="7"/>
  <c r="DF9" i="7"/>
  <c r="DF54" i="7"/>
  <c r="DI53" i="7"/>
  <c r="DI57" i="7" s="1"/>
  <c r="DF72" i="7"/>
  <c r="DF75" i="7" s="1"/>
  <c r="DC9" i="7"/>
  <c r="DC54" i="7"/>
  <c r="DC93" i="7" s="1"/>
  <c r="CW15" i="7"/>
  <c r="CW73" i="7"/>
  <c r="CW91" i="7"/>
  <c r="CT17" i="7"/>
  <c r="CT24" i="7" s="1"/>
  <c r="CZ55" i="7"/>
  <c r="CZ93" i="7"/>
  <c r="DC72" i="7"/>
  <c r="DC75" i="7" s="1"/>
  <c r="DC79" i="7" s="1"/>
  <c r="CZ15" i="7"/>
  <c r="CZ91" i="7"/>
  <c r="CT12" i="3"/>
  <c r="CT14" i="3"/>
  <c r="CT25" i="3"/>
  <c r="CT26" i="3"/>
  <c r="CT153" i="3" s="1"/>
  <c r="CT137" i="3"/>
  <c r="CT100" i="3"/>
  <c r="CT167" i="3"/>
  <c r="CT17" i="4"/>
  <c r="CT12" i="1"/>
  <c r="CT16" i="1"/>
  <c r="CT17" i="1"/>
  <c r="CW9" i="1"/>
  <c r="CW71" i="3" s="1"/>
  <c r="CT27" i="1"/>
  <c r="CT145" i="7"/>
  <c r="CW81" i="7" l="1"/>
  <c r="DF9" i="1"/>
  <c r="DF81" i="7" s="1"/>
  <c r="DF86" i="7"/>
  <c r="DF87" i="7"/>
  <c r="DF88" i="7"/>
  <c r="DF89" i="7"/>
  <c r="DF90" i="7"/>
  <c r="DF76" i="7"/>
  <c r="DF77" i="7" s="1"/>
  <c r="DF80" i="7" s="1"/>
  <c r="DF85" i="7"/>
  <c r="DC86" i="7"/>
  <c r="DC87" i="7"/>
  <c r="DC88" i="7"/>
  <c r="DC89" i="7"/>
  <c r="DC90" i="7"/>
  <c r="DC76" i="7"/>
  <c r="DC77" i="7" s="1"/>
  <c r="DC85" i="7"/>
  <c r="DI78" i="7"/>
  <c r="CT13" i="3"/>
  <c r="CT24" i="3"/>
  <c r="CT168" i="3"/>
  <c r="CW12" i="1"/>
  <c r="CT46" i="1"/>
  <c r="CT143" i="3"/>
  <c r="CU21" i="4"/>
  <c r="CT21" i="4"/>
  <c r="DC10" i="7"/>
  <c r="DI9" i="7"/>
  <c r="DI54" i="7"/>
  <c r="DI93" i="7" s="1"/>
  <c r="CZ13" i="8"/>
  <c r="CZ14" i="8" s="1"/>
  <c r="DC14" i="8" s="1"/>
  <c r="CZ127" i="1"/>
  <c r="CZ46" i="8"/>
  <c r="CW83" i="3"/>
  <c r="CW84" i="3"/>
  <c r="CW85" i="3"/>
  <c r="CW137" i="3"/>
  <c r="CW167" i="3"/>
  <c r="CW145" i="7"/>
  <c r="CW17" i="1"/>
  <c r="CT171" i="3"/>
  <c r="CW17" i="4"/>
  <c r="CZ58" i="7"/>
  <c r="DC55" i="7"/>
  <c r="DC58" i="7" s="1"/>
  <c r="DF55" i="7"/>
  <c r="DF93" i="7"/>
  <c r="CT152" i="3"/>
  <c r="CU24" i="4"/>
  <c r="CT24" i="4"/>
  <c r="DF15" i="7"/>
  <c r="DF91" i="7"/>
  <c r="DI72" i="7"/>
  <c r="DF10" i="7"/>
  <c r="DF17" i="7"/>
  <c r="DF24" i="7" s="1"/>
  <c r="DC41" i="8"/>
  <c r="DC36" i="8"/>
  <c r="DC56" i="7"/>
  <c r="DC68" i="7"/>
  <c r="CT19" i="1"/>
  <c r="CW16" i="1"/>
  <c r="CT33" i="7"/>
  <c r="CT41" i="7"/>
  <c r="CT141" i="7"/>
  <c r="CT142" i="7"/>
  <c r="CT143" i="7"/>
  <c r="CT144" i="7"/>
  <c r="CT166" i="3"/>
  <c r="CW27" i="1"/>
  <c r="CT15" i="1"/>
  <c r="CW100" i="3"/>
  <c r="CW101" i="3" s="1"/>
  <c r="CT30" i="4"/>
  <c r="CT145" i="3"/>
  <c r="CU25" i="4"/>
  <c r="CT25" i="4"/>
  <c r="DC91" i="7"/>
  <c r="DC73" i="7"/>
  <c r="DC15" i="7"/>
  <c r="CW17" i="7"/>
  <c r="CW24" i="7" s="1"/>
  <c r="CZ17" i="7"/>
  <c r="CZ24" i="7" s="1"/>
  <c r="CZ12" i="3"/>
  <c r="CZ14" i="3"/>
  <c r="CZ25" i="3"/>
  <c r="CZ26" i="3"/>
  <c r="CZ153" i="3" s="1"/>
  <c r="CZ100" i="3"/>
  <c r="CZ137" i="3"/>
  <c r="CZ167" i="3"/>
  <c r="CZ17" i="4"/>
  <c r="DC9" i="1"/>
  <c r="DC71" i="3" s="1"/>
  <c r="CZ27" i="1"/>
  <c r="CZ12" i="1"/>
  <c r="CZ15" i="1" s="1"/>
  <c r="CZ16" i="1"/>
  <c r="CZ17" i="1"/>
  <c r="CZ62" i="1"/>
  <c r="CZ40" i="8" s="1"/>
  <c r="CZ145" i="7"/>
  <c r="CW73" i="3" l="1"/>
  <c r="CW72" i="3"/>
  <c r="CW15" i="1"/>
  <c r="DC80" i="7"/>
  <c r="DC127" i="1" s="1"/>
  <c r="CZ145" i="3"/>
  <c r="CZ25" i="4"/>
  <c r="DA25" i="4"/>
  <c r="CT20" i="1"/>
  <c r="CW51" i="1"/>
  <c r="CW19" i="1"/>
  <c r="DI15" i="7"/>
  <c r="CZ8" i="8"/>
  <c r="CZ47" i="8"/>
  <c r="CW141" i="7"/>
  <c r="CW142" i="7"/>
  <c r="CW143" i="7"/>
  <c r="CW144" i="7"/>
  <c r="DI75" i="7"/>
  <c r="CT144" i="3"/>
  <c r="CU22" i="4"/>
  <c r="CT22" i="4"/>
  <c r="CZ141" i="7"/>
  <c r="CZ142" i="7"/>
  <c r="CZ143" i="7"/>
  <c r="CZ144" i="7"/>
  <c r="CZ159" i="7"/>
  <c r="DC16" i="1"/>
  <c r="CZ19" i="1"/>
  <c r="CZ20" i="1" s="1"/>
  <c r="CZ64" i="1"/>
  <c r="DC100" i="3"/>
  <c r="DC101" i="3" s="1"/>
  <c r="CZ30" i="4"/>
  <c r="CZ143" i="3"/>
  <c r="CZ21" i="4"/>
  <c r="DA21" i="4"/>
  <c r="CW166" i="3"/>
  <c r="CW57" i="1"/>
  <c r="CT169" i="3"/>
  <c r="CW168" i="3"/>
  <c r="CW46" i="1"/>
  <c r="DI56" i="7"/>
  <c r="DI68" i="7"/>
  <c r="DI41" i="8"/>
  <c r="DI36" i="8"/>
  <c r="DF12" i="3"/>
  <c r="DF14" i="3"/>
  <c r="DF25" i="3"/>
  <c r="DF26" i="3"/>
  <c r="DF153" i="3" s="1"/>
  <c r="DF137" i="3"/>
  <c r="DF100" i="3"/>
  <c r="DF167" i="3"/>
  <c r="DF17" i="4"/>
  <c r="DF12" i="1"/>
  <c r="DF15" i="1" s="1"/>
  <c r="DF16" i="1"/>
  <c r="DF17" i="1"/>
  <c r="DI9" i="1"/>
  <c r="DI71" i="3" s="1"/>
  <c r="DF27" i="1"/>
  <c r="DF62" i="1"/>
  <c r="DF40" i="8" s="1"/>
  <c r="DF145" i="7"/>
  <c r="CZ166" i="3"/>
  <c r="DC27" i="1"/>
  <c r="CT33" i="4"/>
  <c r="CW30" i="4"/>
  <c r="DC35" i="8"/>
  <c r="DC70" i="7"/>
  <c r="DF18" i="7"/>
  <c r="DF33" i="7"/>
  <c r="DF41" i="7"/>
  <c r="DF58" i="7"/>
  <c r="DI55" i="7"/>
  <c r="DI58" i="7" s="1"/>
  <c r="CW171" i="3"/>
  <c r="CW173" i="3"/>
  <c r="DF13" i="8"/>
  <c r="DF127" i="1"/>
  <c r="DF46" i="8"/>
  <c r="DC17" i="1"/>
  <c r="CZ65" i="1"/>
  <c r="DC83" i="3"/>
  <c r="DC84" i="3"/>
  <c r="DC85" i="3"/>
  <c r="DC137" i="3"/>
  <c r="DC167" i="3"/>
  <c r="DC62" i="1"/>
  <c r="DC40" i="8" s="1"/>
  <c r="DC145" i="7"/>
  <c r="CZ50" i="1"/>
  <c r="CZ171" i="3"/>
  <c r="DC17" i="4"/>
  <c r="CZ13" i="3"/>
  <c r="CZ24" i="3"/>
  <c r="CZ168" i="3"/>
  <c r="DC12" i="1"/>
  <c r="CZ46" i="1"/>
  <c r="CZ63" i="1"/>
  <c r="CZ152" i="3"/>
  <c r="CZ24" i="4"/>
  <c r="DA24" i="4"/>
  <c r="CZ33" i="7"/>
  <c r="CZ41" i="7"/>
  <c r="CZ18" i="7"/>
  <c r="CW41" i="7"/>
  <c r="CW33" i="7"/>
  <c r="DC36" i="7"/>
  <c r="DC35" i="7" s="1"/>
  <c r="DC38" i="7" s="1"/>
  <c r="DC10" i="8" s="1"/>
  <c r="DC44" i="7"/>
  <c r="DC43" i="7" s="1"/>
  <c r="DC46" i="7" s="1"/>
  <c r="DC9" i="8"/>
  <c r="DC15" i="8" s="1"/>
  <c r="DC34" i="8"/>
  <c r="DC8" i="8"/>
  <c r="DC47" i="8"/>
  <c r="CW52" i="1"/>
  <c r="CZ31" i="8"/>
  <c r="CZ43" i="8"/>
  <c r="DA31" i="8"/>
  <c r="DI10" i="7"/>
  <c r="DC17" i="7"/>
  <c r="DC24" i="7" s="1"/>
  <c r="CT151" i="3"/>
  <c r="CT155" i="3" s="1"/>
  <c r="CU23" i="4"/>
  <c r="CT23" i="4"/>
  <c r="DC81" i="7"/>
  <c r="DC11" i="8" l="1"/>
  <c r="DC72" i="3"/>
  <c r="DC73" i="3"/>
  <c r="CW74" i="3"/>
  <c r="DF23" i="8"/>
  <c r="DF14" i="8"/>
  <c r="DI14" i="8" s="1"/>
  <c r="DI91" i="7"/>
  <c r="DI79" i="7"/>
  <c r="CW49" i="1"/>
  <c r="CW20" i="1"/>
  <c r="DC124" i="1" s="1"/>
  <c r="DC24" i="4"/>
  <c r="DI17" i="7"/>
  <c r="DI24" i="7" s="1"/>
  <c r="DC46" i="8"/>
  <c r="DC13" i="8"/>
  <c r="CU20" i="4"/>
  <c r="CT20" i="4"/>
  <c r="DC25" i="4"/>
  <c r="DF50" i="1"/>
  <c r="CZ151" i="3"/>
  <c r="CZ155" i="3" s="1"/>
  <c r="CZ23" i="4"/>
  <c r="DA23" i="4"/>
  <c r="CZ60" i="3"/>
  <c r="CZ138" i="3"/>
  <c r="CZ165" i="3"/>
  <c r="CZ53" i="1"/>
  <c r="CZ120" i="1" s="1"/>
  <c r="CZ54" i="1"/>
  <c r="CZ68" i="1"/>
  <c r="DF19" i="1"/>
  <c r="DI16" i="1"/>
  <c r="DF64" i="1"/>
  <c r="DF152" i="3"/>
  <c r="DF24" i="4"/>
  <c r="DG24" i="4"/>
  <c r="CZ169" i="3"/>
  <c r="CZ66" i="1"/>
  <c r="CZ157" i="7"/>
  <c r="DI73" i="7"/>
  <c r="CZ144" i="3"/>
  <c r="CZ22" i="4"/>
  <c r="DA22" i="4"/>
  <c r="DC171" i="3"/>
  <c r="DC173" i="3"/>
  <c r="DI8" i="8"/>
  <c r="DI47" i="8"/>
  <c r="DF141" i="7"/>
  <c r="DF142" i="7"/>
  <c r="DF143" i="7"/>
  <c r="DF144" i="7"/>
  <c r="DF159" i="7"/>
  <c r="DF166" i="3"/>
  <c r="DI27" i="1"/>
  <c r="DI100" i="3"/>
  <c r="DI101" i="3" s="1"/>
  <c r="DF30" i="4"/>
  <c r="DF145" i="3"/>
  <c r="DF25" i="4"/>
  <c r="DG25" i="4"/>
  <c r="DI35" i="8"/>
  <c r="DI70" i="7"/>
  <c r="DC21" i="4"/>
  <c r="DC19" i="1"/>
  <c r="DC51" i="1"/>
  <c r="DC64" i="1"/>
  <c r="CZ156" i="7"/>
  <c r="CT60" i="3"/>
  <c r="CT138" i="3"/>
  <c r="CT165" i="3"/>
  <c r="CT53" i="1"/>
  <c r="CT120" i="1" s="1"/>
  <c r="DC168" i="3"/>
  <c r="DC46" i="1"/>
  <c r="DC63" i="1"/>
  <c r="CZ42" i="8"/>
  <c r="DC141" i="7"/>
  <c r="DC142" i="7"/>
  <c r="DC143" i="7"/>
  <c r="DC144" i="7"/>
  <c r="DC159" i="7"/>
  <c r="DC15" i="1"/>
  <c r="DF31" i="8"/>
  <c r="DF43" i="8"/>
  <c r="DF42" i="8" s="1"/>
  <c r="DG31" i="8"/>
  <c r="DF8" i="8"/>
  <c r="DF18" i="8" s="1"/>
  <c r="DF47" i="8"/>
  <c r="DC12" i="8"/>
  <c r="DC50" i="8"/>
  <c r="DI83" i="3"/>
  <c r="DI84" i="3"/>
  <c r="DI85" i="3"/>
  <c r="DI137" i="3"/>
  <c r="DI167" i="3"/>
  <c r="DI62" i="1"/>
  <c r="DI40" i="8" s="1"/>
  <c r="DI145" i="7"/>
  <c r="DF13" i="3"/>
  <c r="DF24" i="3"/>
  <c r="DF168" i="3"/>
  <c r="DI12" i="1"/>
  <c r="DF46" i="1"/>
  <c r="DF63" i="1"/>
  <c r="DF143" i="3"/>
  <c r="DF21" i="4"/>
  <c r="DG21" i="4"/>
  <c r="DI34" i="8"/>
  <c r="DI36" i="7"/>
  <c r="DI35" i="7" s="1"/>
  <c r="DI38" i="7" s="1"/>
  <c r="DI10" i="8" s="1"/>
  <c r="DI20" i="8" s="1"/>
  <c r="DI44" i="7"/>
  <c r="DI43" i="7" s="1"/>
  <c r="DI46" i="7" s="1"/>
  <c r="DI9" i="8"/>
  <c r="CZ155" i="7"/>
  <c r="CZ26" i="8"/>
  <c r="DA26" i="8"/>
  <c r="CW169" i="3"/>
  <c r="DC33" i="7"/>
  <c r="DC41" i="7"/>
  <c r="DC18" i="7"/>
  <c r="DC52" i="1"/>
  <c r="DC65" i="1"/>
  <c r="CW33" i="4"/>
  <c r="DC166" i="3"/>
  <c r="DC57" i="1"/>
  <c r="DI17" i="1"/>
  <c r="DF65" i="1"/>
  <c r="DF171" i="3"/>
  <c r="DI17" i="4"/>
  <c r="DC30" i="4"/>
  <c r="CZ33" i="4"/>
  <c r="CZ158" i="7"/>
  <c r="DI81" i="7"/>
  <c r="DI86" i="7"/>
  <c r="DI87" i="7"/>
  <c r="DI88" i="7"/>
  <c r="DI89" i="7"/>
  <c r="DI90" i="7"/>
  <c r="DI76" i="7"/>
  <c r="DI77" i="7" s="1"/>
  <c r="DI85" i="7"/>
  <c r="CW146" i="7"/>
  <c r="DC74" i="3" l="1"/>
  <c r="DI11" i="8"/>
  <c r="DI21" i="8" s="1"/>
  <c r="DI72" i="3"/>
  <c r="DI73" i="3"/>
  <c r="DI19" i="8"/>
  <c r="DI15" i="8"/>
  <c r="CW53" i="1"/>
  <c r="CW120" i="1" s="1"/>
  <c r="CW60" i="3"/>
  <c r="DC122" i="1"/>
  <c r="CW165" i="3"/>
  <c r="DC123" i="1"/>
  <c r="CW138" i="3"/>
  <c r="DI41" i="7"/>
  <c r="CZ20" i="4"/>
  <c r="DI18" i="8"/>
  <c r="DI33" i="7"/>
  <c r="DI18" i="7"/>
  <c r="DA20" i="4"/>
  <c r="DC43" i="8"/>
  <c r="DC42" i="8" s="1"/>
  <c r="DI24" i="4"/>
  <c r="DI25" i="4"/>
  <c r="DC23" i="4"/>
  <c r="DF151" i="3"/>
  <c r="DF155" i="3" s="1"/>
  <c r="DF23" i="4"/>
  <c r="DG23" i="4"/>
  <c r="DC155" i="7"/>
  <c r="DC169" i="3"/>
  <c r="DC66" i="1"/>
  <c r="DF33" i="4"/>
  <c r="DI30" i="4"/>
  <c r="DF155" i="7"/>
  <c r="DI19" i="1"/>
  <c r="DI51" i="1"/>
  <c r="DI64" i="1"/>
  <c r="DI173" i="3"/>
  <c r="DI171" i="3"/>
  <c r="DF144" i="3"/>
  <c r="DF22" i="4"/>
  <c r="DG22" i="4"/>
  <c r="DF26" i="8"/>
  <c r="DG26" i="8"/>
  <c r="DC158" i="7"/>
  <c r="CT125" i="1"/>
  <c r="CT140" i="3"/>
  <c r="CT141" i="3" s="1"/>
  <c r="CT142" i="3" s="1"/>
  <c r="DF158" i="7"/>
  <c r="DC22" i="4"/>
  <c r="DF169" i="3"/>
  <c r="DF66" i="1"/>
  <c r="CZ121" i="1"/>
  <c r="CZ125" i="1"/>
  <c r="DC33" i="4"/>
  <c r="DI21" i="4"/>
  <c r="DI168" i="3"/>
  <c r="DI46" i="1"/>
  <c r="DI63" i="1"/>
  <c r="DI141" i="7"/>
  <c r="DI142" i="7"/>
  <c r="DI143" i="7"/>
  <c r="DI144" i="7"/>
  <c r="DI159" i="7"/>
  <c r="DI15" i="1"/>
  <c r="DC20" i="1"/>
  <c r="DC50" i="1"/>
  <c r="DC49" i="1"/>
  <c r="DC157" i="7"/>
  <c r="DI166" i="3"/>
  <c r="DI57" i="1"/>
  <c r="DF157" i="7"/>
  <c r="CZ180" i="3"/>
  <c r="CZ181" i="3" s="1"/>
  <c r="DI80" i="7"/>
  <c r="DI52" i="1"/>
  <c r="DI65" i="1"/>
  <c r="DC146" i="7"/>
  <c r="DC156" i="7"/>
  <c r="CT180" i="3"/>
  <c r="CT181" i="3" s="1"/>
  <c r="DI12" i="8"/>
  <c r="DI50" i="8"/>
  <c r="DF156" i="7"/>
  <c r="CZ140" i="3"/>
  <c r="CZ141" i="3" s="1"/>
  <c r="CZ142" i="3" s="1"/>
  <c r="DF20" i="1"/>
  <c r="DI74" i="3" l="1"/>
  <c r="DF20" i="4"/>
  <c r="DG20" i="4"/>
  <c r="DC20" i="4"/>
  <c r="DI20" i="1"/>
  <c r="DI49" i="1"/>
  <c r="DI50" i="1"/>
  <c r="DI157" i="7"/>
  <c r="DI33" i="4"/>
  <c r="DI156" i="7"/>
  <c r="DI13" i="8"/>
  <c r="DI46" i="8"/>
  <c r="DI127" i="1"/>
  <c r="CZ182" i="3"/>
  <c r="DI146" i="7"/>
  <c r="DI155" i="7"/>
  <c r="DI169" i="3"/>
  <c r="DI66" i="1"/>
  <c r="DI22" i="8"/>
  <c r="DI23" i="4"/>
  <c r="CT182" i="3"/>
  <c r="DF60" i="3"/>
  <c r="DF138" i="3"/>
  <c r="DF165" i="3"/>
  <c r="DF53" i="1"/>
  <c r="DF120" i="1" s="1"/>
  <c r="DF54" i="1"/>
  <c r="DF68" i="1"/>
  <c r="DC60" i="3"/>
  <c r="DC138" i="3"/>
  <c r="DC165" i="3"/>
  <c r="DC53" i="1"/>
  <c r="DC120" i="1" s="1"/>
  <c r="DC54" i="1"/>
  <c r="DC68" i="1"/>
  <c r="DI123" i="1"/>
  <c r="DI124" i="1"/>
  <c r="DI122" i="1"/>
  <c r="DI158" i="7"/>
  <c r="CZ126" i="1"/>
  <c r="CZ128" i="1"/>
  <c r="DI22" i="4"/>
  <c r="DI20" i="4" l="1"/>
  <c r="CZ129" i="1"/>
  <c r="CZ67" i="1"/>
  <c r="DI43" i="8"/>
  <c r="DI23" i="8"/>
  <c r="DI60" i="3"/>
  <c r="DI138" i="3"/>
  <c r="DI165" i="3"/>
  <c r="DI53" i="1"/>
  <c r="DI120" i="1" s="1"/>
  <c r="DI54" i="1"/>
  <c r="DI68" i="1"/>
  <c r="DC121" i="1"/>
  <c r="DC125" i="1"/>
  <c r="DF140" i="3"/>
  <c r="DF141" i="3" s="1"/>
  <c r="DF142" i="3" s="1"/>
  <c r="CZ55" i="1"/>
  <c r="DF180" i="3"/>
  <c r="DF181" i="3" s="1"/>
  <c r="DF121" i="1"/>
  <c r="DF125" i="1"/>
  <c r="DF182" i="3" l="1"/>
  <c r="DF126" i="1"/>
  <c r="DF128" i="1"/>
  <c r="DI42" i="8"/>
  <c r="DC126" i="1"/>
  <c r="DC128" i="1"/>
  <c r="DI125" i="1"/>
  <c r="DI121" i="1"/>
  <c r="DF129" i="1" l="1"/>
  <c r="DF67" i="1"/>
  <c r="DI126" i="1"/>
  <c r="DI128" i="1"/>
  <c r="DC55" i="1"/>
  <c r="DF55" i="1"/>
  <c r="DC129" i="1"/>
  <c r="DC67" i="1"/>
  <c r="DI55" i="1" l="1"/>
  <c r="DI129" i="1"/>
  <c r="DI67" i="1"/>
  <c r="AT39" i="36" l="1"/>
  <c r="AU39" i="36"/>
  <c r="AV39" i="36"/>
  <c r="AW39" i="36"/>
  <c r="CM9" i="8"/>
  <c r="CS9" i="8"/>
  <c r="CT9" i="8"/>
  <c r="CT15" i="8" s="1"/>
  <c r="CV9" i="8"/>
  <c r="CU9" i="8"/>
  <c r="CU15" i="8" s="1"/>
  <c r="CQ9" i="8"/>
  <c r="CQ15" i="8" s="1"/>
  <c r="AT48" i="36"/>
  <c r="AT58" i="36" s="1"/>
  <c r="AU48" i="36"/>
  <c r="AU58" i="36" s="1"/>
  <c r="AW48" i="36"/>
  <c r="AW58" i="36" s="1"/>
  <c r="CM53" i="7"/>
  <c r="CS57" i="7" s="1"/>
  <c r="CN53" i="7"/>
  <c r="CT57" i="7" s="1"/>
  <c r="CO53" i="7"/>
  <c r="CU57" i="7" s="1"/>
  <c r="CP53" i="7"/>
  <c r="CV57" i="7" s="1"/>
  <c r="DB19" i="8" l="1"/>
  <c r="CV15" i="8"/>
  <c r="CY19" i="8"/>
  <c r="CS15" i="8"/>
  <c r="CM27" i="8"/>
  <c r="CM15" i="8"/>
  <c r="AV38" i="36"/>
  <c r="AU38" i="36"/>
  <c r="AW38" i="36"/>
  <c r="CP54" i="7"/>
  <c r="CP55" i="7" s="1"/>
  <c r="CP58" i="7" s="1"/>
  <c r="CP72" i="7"/>
  <c r="CP15" i="7" s="1"/>
  <c r="CV54" i="7"/>
  <c r="CU54" i="7"/>
  <c r="CU55" i="7" s="1"/>
  <c r="CU58" i="7" s="1"/>
  <c r="CU8" i="8" s="1"/>
  <c r="CO72" i="7"/>
  <c r="CO15" i="7" s="1"/>
  <c r="CO54" i="7"/>
  <c r="CT54" i="7"/>
  <c r="CQ53" i="7"/>
  <c r="CQ9" i="7" s="1"/>
  <c r="CN54" i="7"/>
  <c r="CN72" i="7"/>
  <c r="CN15" i="7" s="1"/>
  <c r="CP9" i="7"/>
  <c r="CQ19" i="8"/>
  <c r="CZ19" i="8"/>
  <c r="CU27" i="8"/>
  <c r="CU93" i="7"/>
  <c r="CT27" i="8"/>
  <c r="AT38" i="36"/>
  <c r="CM9" i="7"/>
  <c r="CM54" i="7"/>
  <c r="CS54" i="7"/>
  <c r="CM72" i="7"/>
  <c r="CM75" i="7" s="1"/>
  <c r="CY27" i="8"/>
  <c r="AT6" i="36"/>
  <c r="AT17" i="36" s="1"/>
  <c r="EK9" i="8"/>
  <c r="CM19" i="8"/>
  <c r="EK20" i="8" s="1"/>
  <c r="CS19" i="8"/>
  <c r="DA19" i="8"/>
  <c r="CV27" i="8"/>
  <c r="AV48" i="36"/>
  <c r="AV58" i="36" s="1"/>
  <c r="AW59" i="36" s="1"/>
  <c r="AW30" i="36" s="1"/>
  <c r="CO9" i="8"/>
  <c r="CO15" i="8" s="1"/>
  <c r="CO9" i="7"/>
  <c r="CP9" i="8"/>
  <c r="CP15" i="8" s="1"/>
  <c r="AT59" i="36"/>
  <c r="AU59" i="36"/>
  <c r="AU30" i="36" s="1"/>
  <c r="CN9" i="7"/>
  <c r="CN9" i="8"/>
  <c r="CN15" i="8" s="1"/>
  <c r="CS79" i="7" l="1"/>
  <c r="CW57" i="7"/>
  <c r="CP17" i="7"/>
  <c r="CP24" i="7" s="1"/>
  <c r="CP75" i="7"/>
  <c r="CP85" i="7" s="1"/>
  <c r="CP93" i="7"/>
  <c r="CV55" i="7"/>
  <c r="CV58" i="7" s="1"/>
  <c r="CV93" i="7"/>
  <c r="CW54" i="7"/>
  <c r="CW93" i="7" s="1"/>
  <c r="CU47" i="8"/>
  <c r="CO75" i="7"/>
  <c r="AV43" i="36" s="1"/>
  <c r="CN75" i="7"/>
  <c r="CN91" i="7" s="1"/>
  <c r="CQ54" i="7"/>
  <c r="CQ93" i="7" s="1"/>
  <c r="CQ57" i="7"/>
  <c r="CO93" i="7"/>
  <c r="CO55" i="7"/>
  <c r="CO58" i="7" s="1"/>
  <c r="CV10" i="7"/>
  <c r="CN93" i="7"/>
  <c r="CN55" i="7"/>
  <c r="CN58" i="7" s="1"/>
  <c r="CP10" i="7"/>
  <c r="CT55" i="7"/>
  <c r="CT58" i="7" s="1"/>
  <c r="CT93" i="7"/>
  <c r="CU10" i="7"/>
  <c r="CO17" i="7"/>
  <c r="CO24" i="7" s="1"/>
  <c r="CO10" i="7"/>
  <c r="AT43" i="36"/>
  <c r="CM9" i="1"/>
  <c r="CM81" i="7" s="1"/>
  <c r="CM87" i="7"/>
  <c r="CM76" i="7"/>
  <c r="CM77" i="7" s="1"/>
  <c r="CM80" i="7" s="1"/>
  <c r="CM88" i="7"/>
  <c r="CS76" i="7"/>
  <c r="CS77" i="7" s="1"/>
  <c r="CM89" i="7"/>
  <c r="CM90" i="7"/>
  <c r="CM86" i="7"/>
  <c r="CM93" i="7"/>
  <c r="CM55" i="7"/>
  <c r="DA18" i="8"/>
  <c r="AW47" i="36"/>
  <c r="AW56" i="36" s="1"/>
  <c r="CP8" i="8"/>
  <c r="CP47" i="8"/>
  <c r="AT30" i="36"/>
  <c r="CM85" i="7"/>
  <c r="CM10" i="7"/>
  <c r="CS10" i="7"/>
  <c r="CQ10" i="7"/>
  <c r="CW10" i="7"/>
  <c r="CN17" i="7"/>
  <c r="CN24" i="7" s="1"/>
  <c r="CN10" i="7"/>
  <c r="CT10" i="7"/>
  <c r="AV6" i="36"/>
  <c r="AV17" i="36" s="1"/>
  <c r="CU19" i="8"/>
  <c r="CP27" i="8"/>
  <c r="EM9" i="8"/>
  <c r="CO19" i="8"/>
  <c r="EM20" i="8" s="1"/>
  <c r="AV59" i="36"/>
  <c r="AV30" i="36" s="1"/>
  <c r="AU6" i="36"/>
  <c r="AU17" i="36" s="1"/>
  <c r="CO27" i="8"/>
  <c r="EL9" i="8"/>
  <c r="CN19" i="8"/>
  <c r="EL20" i="8" s="1"/>
  <c r="CT19" i="8"/>
  <c r="AW6" i="36"/>
  <c r="AW17" i="36" s="1"/>
  <c r="EN9" i="8"/>
  <c r="CP19" i="8"/>
  <c r="EN20" i="8" s="1"/>
  <c r="CV19" i="8"/>
  <c r="CS27" i="8"/>
  <c r="CN27" i="8"/>
  <c r="CM91" i="7"/>
  <c r="CQ72" i="7"/>
  <c r="CM15" i="7"/>
  <c r="CS93" i="7"/>
  <c r="CS55" i="7"/>
  <c r="CN88" i="7" l="1"/>
  <c r="CN86" i="7"/>
  <c r="CS80" i="7"/>
  <c r="CS13" i="8" s="1"/>
  <c r="CS14" i="8" s="1"/>
  <c r="CP86" i="7"/>
  <c r="CP76" i="7"/>
  <c r="CP77" i="7" s="1"/>
  <c r="CP80" i="7" s="1"/>
  <c r="CP46" i="8" s="1"/>
  <c r="CP91" i="7"/>
  <c r="CP33" i="7"/>
  <c r="CN85" i="7"/>
  <c r="CN76" i="7"/>
  <c r="CN77" i="7" s="1"/>
  <c r="CN80" i="7" s="1"/>
  <c r="CN127" i="1" s="1"/>
  <c r="CN9" i="1"/>
  <c r="CN81" i="7" s="1"/>
  <c r="CT76" i="7"/>
  <c r="CT77" i="7" s="1"/>
  <c r="CN87" i="7"/>
  <c r="AU43" i="36"/>
  <c r="CN89" i="7"/>
  <c r="CN90" i="7"/>
  <c r="CP18" i="7"/>
  <c r="CV18" i="7"/>
  <c r="CP87" i="7"/>
  <c r="CV79" i="7"/>
  <c r="CP41" i="7"/>
  <c r="CT79" i="7"/>
  <c r="CO9" i="1"/>
  <c r="CO81" i="7" s="1"/>
  <c r="CU79" i="7"/>
  <c r="CP89" i="7"/>
  <c r="AW43" i="36"/>
  <c r="CV76" i="7"/>
  <c r="CV77" i="7" s="1"/>
  <c r="CP9" i="1"/>
  <c r="CP17" i="1" s="1"/>
  <c r="CP88" i="7"/>
  <c r="CP90" i="7"/>
  <c r="CO89" i="7"/>
  <c r="CO91" i="7"/>
  <c r="CV8" i="8"/>
  <c r="CV18" i="8" s="1"/>
  <c r="CV47" i="8"/>
  <c r="CO87" i="7"/>
  <c r="CO85" i="7"/>
  <c r="CO88" i="7"/>
  <c r="CO90" i="7"/>
  <c r="CU76" i="7"/>
  <c r="CU77" i="7" s="1"/>
  <c r="CO76" i="7"/>
  <c r="CO77" i="7" s="1"/>
  <c r="CO80" i="7" s="1"/>
  <c r="AV52" i="36" s="1"/>
  <c r="CO86" i="7"/>
  <c r="CS46" i="8"/>
  <c r="AV47" i="36"/>
  <c r="AV56" i="36" s="1"/>
  <c r="AW57" i="36" s="1"/>
  <c r="AW29" i="36" s="1"/>
  <c r="CO47" i="8"/>
  <c r="CO8" i="8"/>
  <c r="CP26" i="8" s="1"/>
  <c r="CT8" i="8"/>
  <c r="CT47" i="8"/>
  <c r="CN47" i="8"/>
  <c r="AU47" i="36"/>
  <c r="AU56" i="36" s="1"/>
  <c r="CN8" i="8"/>
  <c r="CN26" i="3"/>
  <c r="CN153" i="3" s="1"/>
  <c r="CN33" i="7"/>
  <c r="CN41" i="7"/>
  <c r="CN18" i="7"/>
  <c r="CT18" i="7"/>
  <c r="CM17" i="7"/>
  <c r="CM24" i="7" s="1"/>
  <c r="AW5" i="36"/>
  <c r="AW16" i="36" s="1"/>
  <c r="CP18" i="8"/>
  <c r="EN19" i="8" s="1"/>
  <c r="EN8" i="8"/>
  <c r="CQ15" i="7"/>
  <c r="CQ75" i="7"/>
  <c r="CQ55" i="7"/>
  <c r="CQ58" i="7" s="1"/>
  <c r="CM58" i="7"/>
  <c r="CS127" i="1"/>
  <c r="CU18" i="7"/>
  <c r="CO33" i="7"/>
  <c r="CO41" i="7"/>
  <c r="CO18" i="7"/>
  <c r="CS58" i="7"/>
  <c r="CW55" i="7"/>
  <c r="CW58" i="7" s="1"/>
  <c r="CY23" i="8"/>
  <c r="CS43" i="8"/>
  <c r="AT52" i="36"/>
  <c r="CM127" i="1"/>
  <c r="CM13" i="8"/>
  <c r="CM14" i="8" s="1"/>
  <c r="CM46" i="8"/>
  <c r="CM12" i="3"/>
  <c r="CM25" i="3"/>
  <c r="CM26" i="3"/>
  <c r="CM153" i="3" s="1"/>
  <c r="CM100" i="3"/>
  <c r="CM137" i="3"/>
  <c r="CM14" i="3"/>
  <c r="CM17" i="4"/>
  <c r="CM17" i="1"/>
  <c r="CM27" i="1"/>
  <c r="CM62" i="1"/>
  <c r="CM40" i="8" s="1"/>
  <c r="CM12" i="1"/>
  <c r="CS62" i="1"/>
  <c r="CS40" i="8" s="1"/>
  <c r="CM167" i="3"/>
  <c r="CM16" i="1"/>
  <c r="CM145" i="7"/>
  <c r="CT62" i="1" l="1"/>
  <c r="CT40" i="8" s="1"/>
  <c r="CN27" i="1"/>
  <c r="CN166" i="3" s="1"/>
  <c r="CN17" i="4"/>
  <c r="CN171" i="3" s="1"/>
  <c r="CN46" i="8"/>
  <c r="AU52" i="36"/>
  <c r="AU66" i="36" s="1"/>
  <c r="CN13" i="8"/>
  <c r="CV80" i="7"/>
  <c r="CV127" i="1" s="1"/>
  <c r="CP13" i="8"/>
  <c r="AW52" i="36"/>
  <c r="AW66" i="36" s="1"/>
  <c r="CQ91" i="7"/>
  <c r="CP127" i="1"/>
  <c r="CN145" i="7"/>
  <c r="CT159" i="7" s="1"/>
  <c r="CN62" i="1"/>
  <c r="CN40" i="8" s="1"/>
  <c r="CN100" i="3"/>
  <c r="CN30" i="4" s="1"/>
  <c r="CN14" i="3"/>
  <c r="CN145" i="3" s="1"/>
  <c r="CP100" i="3"/>
  <c r="CP30" i="4" s="1"/>
  <c r="CN12" i="1"/>
  <c r="CN15" i="1" s="1"/>
  <c r="CT50" i="1" s="1"/>
  <c r="CN17" i="1"/>
  <c r="AU94" i="36" s="1"/>
  <c r="AU100" i="36" s="1"/>
  <c r="CN137" i="3"/>
  <c r="CN25" i="3"/>
  <c r="CN152" i="3" s="1"/>
  <c r="CN16" i="1"/>
  <c r="CN167" i="3"/>
  <c r="CN12" i="3"/>
  <c r="CO16" i="1"/>
  <c r="CO64" i="1" s="1"/>
  <c r="CU80" i="7"/>
  <c r="CU13" i="8" s="1"/>
  <c r="CW79" i="7"/>
  <c r="CO167" i="3"/>
  <c r="CO14" i="3"/>
  <c r="CO145" i="3" s="1"/>
  <c r="CU62" i="1"/>
  <c r="CU40" i="8" s="1"/>
  <c r="CO62" i="1"/>
  <c r="CO40" i="8" s="1"/>
  <c r="CO100" i="3"/>
  <c r="CO30" i="4" s="1"/>
  <c r="CO26" i="3"/>
  <c r="CO153" i="3" s="1"/>
  <c r="CO145" i="7"/>
  <c r="CO27" i="1"/>
  <c r="CO166" i="3" s="1"/>
  <c r="CO17" i="4"/>
  <c r="CO25" i="3"/>
  <c r="CO152" i="3" s="1"/>
  <c r="CP137" i="3"/>
  <c r="CO12" i="1"/>
  <c r="CO15" i="1" s="1"/>
  <c r="CO50" i="1" s="1"/>
  <c r="CO17" i="1"/>
  <c r="CO137" i="3"/>
  <c r="CO12" i="3"/>
  <c r="CO143" i="3" s="1"/>
  <c r="CP17" i="4"/>
  <c r="CP171" i="3" s="1"/>
  <c r="AW94" i="36"/>
  <c r="AW100" i="36" s="1"/>
  <c r="CP65" i="1"/>
  <c r="CV65" i="1"/>
  <c r="CP14" i="3"/>
  <c r="CQ14" i="3" s="1"/>
  <c r="CQ145" i="3" s="1"/>
  <c r="CP12" i="3"/>
  <c r="CQ12" i="3" s="1"/>
  <c r="CP27" i="1"/>
  <c r="CP166" i="3" s="1"/>
  <c r="CQ9" i="1"/>
  <c r="CO13" i="8"/>
  <c r="CV62" i="1"/>
  <c r="CV40" i="8" s="1"/>
  <c r="CP16" i="1"/>
  <c r="CP167" i="3"/>
  <c r="CP25" i="3"/>
  <c r="CQ25" i="3" s="1"/>
  <c r="CS24" i="4" s="1"/>
  <c r="CW24" i="4" s="1"/>
  <c r="CO46" i="8"/>
  <c r="CP62" i="1"/>
  <c r="CP40" i="8" s="1"/>
  <c r="CP145" i="7"/>
  <c r="CT80" i="7"/>
  <c r="CP26" i="3"/>
  <c r="CP12" i="1"/>
  <c r="CP81" i="7"/>
  <c r="CO127" i="1"/>
  <c r="AV57" i="36"/>
  <c r="AV29" i="36" s="1"/>
  <c r="CY26" i="8"/>
  <c r="DB18" i="8"/>
  <c r="CV26" i="8"/>
  <c r="EM8" i="8"/>
  <c r="AV5" i="36"/>
  <c r="AV16" i="36" s="1"/>
  <c r="CU18" i="8"/>
  <c r="CO18" i="8"/>
  <c r="EM19" i="8" s="1"/>
  <c r="EL8" i="8"/>
  <c r="CT18" i="8"/>
  <c r="AU5" i="36"/>
  <c r="AU16" i="36" s="1"/>
  <c r="CO26" i="8"/>
  <c r="CN18" i="8"/>
  <c r="EL19" i="8" s="1"/>
  <c r="CU26" i="8"/>
  <c r="CZ18" i="8"/>
  <c r="CQ8" i="8"/>
  <c r="CQ47" i="8"/>
  <c r="CM24" i="3"/>
  <c r="CM13" i="3"/>
  <c r="CM168" i="3"/>
  <c r="CM46" i="1"/>
  <c r="CM63" i="1"/>
  <c r="CS63" i="1"/>
  <c r="CM145" i="3"/>
  <c r="CM25" i="4"/>
  <c r="CM152" i="3"/>
  <c r="CM24" i="4"/>
  <c r="CS128" i="1"/>
  <c r="CQ87" i="7"/>
  <c r="CQ76" i="7"/>
  <c r="CQ77" i="7" s="1"/>
  <c r="CQ88" i="7"/>
  <c r="CW76" i="7"/>
  <c r="CQ89" i="7"/>
  <c r="CQ86" i="7"/>
  <c r="CQ90" i="7"/>
  <c r="CQ85" i="7"/>
  <c r="CW78" i="7"/>
  <c r="CQ79" i="7"/>
  <c r="CS42" i="8"/>
  <c r="CM166" i="3"/>
  <c r="AT10" i="36"/>
  <c r="AT21" i="36" s="1"/>
  <c r="CM31" i="8"/>
  <c r="CM43" i="8"/>
  <c r="CM42" i="8" s="1"/>
  <c r="EK13" i="8"/>
  <c r="CM23" i="8"/>
  <c r="EK24" i="8" s="1"/>
  <c r="CS23" i="8"/>
  <c r="AV66" i="36"/>
  <c r="CM158" i="3"/>
  <c r="AT66" i="36"/>
  <c r="AT105" i="36"/>
  <c r="AT106" i="36" s="1"/>
  <c r="CW8" i="8"/>
  <c r="CW47" i="8"/>
  <c r="CQ17" i="7"/>
  <c r="CQ24" i="7" s="1"/>
  <c r="CM37" i="3"/>
  <c r="CM171" i="3"/>
  <c r="AT95" i="36"/>
  <c r="AT101" i="36" s="1"/>
  <c r="CM64" i="1"/>
  <c r="CM19" i="1"/>
  <c r="CS64" i="1"/>
  <c r="AT94" i="36"/>
  <c r="AT100" i="36" s="1"/>
  <c r="CM65" i="1"/>
  <c r="CS65" i="1"/>
  <c r="CM143" i="3"/>
  <c r="CM21" i="4"/>
  <c r="CM142" i="7"/>
  <c r="CM143" i="7"/>
  <c r="CM159" i="7"/>
  <c r="CM144" i="7"/>
  <c r="CS159" i="7"/>
  <c r="CM141" i="7"/>
  <c r="AT12" i="36" s="1"/>
  <c r="AT23" i="36" s="1"/>
  <c r="CM15" i="1"/>
  <c r="CM104" i="3"/>
  <c r="CM30" i="4"/>
  <c r="CS8" i="8"/>
  <c r="CS47" i="8"/>
  <c r="AT47" i="36"/>
  <c r="AT56" i="36" s="1"/>
  <c r="CM8" i="8"/>
  <c r="CM47" i="8"/>
  <c r="CQ73" i="7"/>
  <c r="CM18" i="7"/>
  <c r="CS18" i="7"/>
  <c r="CM41" i="7"/>
  <c r="CM33" i="7"/>
  <c r="CO65" i="1" l="1"/>
  <c r="CO171" i="3"/>
  <c r="CN143" i="7"/>
  <c r="CT157" i="7" s="1"/>
  <c r="CN65" i="1"/>
  <c r="CN33" i="4"/>
  <c r="CU64" i="1"/>
  <c r="CO43" i="8"/>
  <c r="CO14" i="8"/>
  <c r="CN23" i="8"/>
  <c r="EL24" i="8" s="1"/>
  <c r="CN14" i="8"/>
  <c r="CU14" i="8"/>
  <c r="CS31" i="8"/>
  <c r="CP14" i="8"/>
  <c r="CN43" i="8"/>
  <c r="CN42" i="8" s="1"/>
  <c r="AV10" i="36"/>
  <c r="AV21" i="36" s="1"/>
  <c r="CO159" i="7"/>
  <c r="CN13" i="3"/>
  <c r="CN144" i="3" s="1"/>
  <c r="CO23" i="8"/>
  <c r="EM24" i="8" s="1"/>
  <c r="CN50" i="1"/>
  <c r="EM13" i="8"/>
  <c r="CU159" i="7"/>
  <c r="EL13" i="8"/>
  <c r="AU10" i="36"/>
  <c r="AU21" i="36" s="1"/>
  <c r="CN31" i="8"/>
  <c r="CO31" i="8"/>
  <c r="CU65" i="1"/>
  <c r="AV94" i="36"/>
  <c r="AV100" i="36" s="1"/>
  <c r="CU23" i="8"/>
  <c r="DA23" i="8"/>
  <c r="AU95" i="36"/>
  <c r="AU101" i="36" s="1"/>
  <c r="CN25" i="4"/>
  <c r="CU50" i="1"/>
  <c r="CN24" i="4"/>
  <c r="CP43" i="8"/>
  <c r="CP42" i="8" s="1"/>
  <c r="CP31" i="8"/>
  <c r="CV46" i="8"/>
  <c r="CV13" i="8"/>
  <c r="AW67" i="36"/>
  <c r="AW68" i="36" s="1"/>
  <c r="CP23" i="8"/>
  <c r="EN24" i="8" s="1"/>
  <c r="CQ100" i="3"/>
  <c r="CQ101" i="3" s="1"/>
  <c r="CS21" i="4"/>
  <c r="CW21" i="4" s="1"/>
  <c r="CQ27" i="1"/>
  <c r="CQ166" i="3" s="1"/>
  <c r="CP33" i="4"/>
  <c r="CN142" i="7"/>
  <c r="CN156" i="7" s="1"/>
  <c r="CN64" i="1"/>
  <c r="CN144" i="7"/>
  <c r="CN141" i="7"/>
  <c r="AU12" i="36" s="1"/>
  <c r="AU23" i="36" s="1"/>
  <c r="CO168" i="3"/>
  <c r="CO25" i="4"/>
  <c r="CU43" i="8"/>
  <c r="CU127" i="1"/>
  <c r="CT64" i="1"/>
  <c r="CN159" i="7"/>
  <c r="CU46" i="8"/>
  <c r="CQ152" i="3"/>
  <c r="CP21" i="4"/>
  <c r="EN13" i="8"/>
  <c r="AW10" i="36"/>
  <c r="AW21" i="36" s="1"/>
  <c r="CN19" i="1"/>
  <c r="CN66" i="1" s="1"/>
  <c r="AV95" i="36"/>
  <c r="AV101" i="36" s="1"/>
  <c r="CO142" i="7"/>
  <c r="CO144" i="7"/>
  <c r="CO158" i="7" s="1"/>
  <c r="CQ143" i="3"/>
  <c r="CQ71" i="3"/>
  <c r="CQ17" i="1"/>
  <c r="CQ16" i="1"/>
  <c r="CQ64" i="1" s="1"/>
  <c r="CO19" i="1"/>
  <c r="CO20" i="1" s="1"/>
  <c r="CO165" i="3" s="1"/>
  <c r="CT65" i="1"/>
  <c r="CO141" i="7"/>
  <c r="AV12" i="36" s="1"/>
  <c r="AV23" i="36" s="1"/>
  <c r="CO21" i="4"/>
  <c r="CO143" i="7"/>
  <c r="CO157" i="7" s="1"/>
  <c r="CN143" i="3"/>
  <c r="CN21" i="4"/>
  <c r="CN168" i="3"/>
  <c r="CQ145" i="7"/>
  <c r="CQ144" i="7" s="1"/>
  <c r="CN46" i="1"/>
  <c r="CN24" i="3"/>
  <c r="CN23" i="4" s="1"/>
  <c r="CN63" i="1"/>
  <c r="CT63" i="1"/>
  <c r="AU105" i="36"/>
  <c r="AU106" i="36" s="1"/>
  <c r="CO24" i="4"/>
  <c r="CQ62" i="1"/>
  <c r="CQ40" i="8" s="1"/>
  <c r="CP143" i="3"/>
  <c r="CQ167" i="3"/>
  <c r="CQ83" i="3"/>
  <c r="CQ84" i="3"/>
  <c r="CO46" i="1"/>
  <c r="CO24" i="3"/>
  <c r="CO151" i="3" s="1"/>
  <c r="CO155" i="3" s="1"/>
  <c r="CQ17" i="4"/>
  <c r="CQ171" i="3" s="1"/>
  <c r="CO33" i="4"/>
  <c r="CU63" i="1"/>
  <c r="CO13" i="3"/>
  <c r="CP152" i="3"/>
  <c r="CO63" i="1"/>
  <c r="AV105" i="36"/>
  <c r="AV106" i="36" s="1"/>
  <c r="CQ12" i="1"/>
  <c r="CQ15" i="1" s="1"/>
  <c r="CQ49" i="1" s="1"/>
  <c r="CP24" i="4"/>
  <c r="CV159" i="7"/>
  <c r="CP159" i="7"/>
  <c r="CP143" i="7"/>
  <c r="CP141" i="7"/>
  <c r="CP144" i="7"/>
  <c r="CP142" i="7"/>
  <c r="CQ137" i="3"/>
  <c r="CQ158" i="3" s="1"/>
  <c r="CQ81" i="7"/>
  <c r="CP145" i="3"/>
  <c r="AW95" i="36"/>
  <c r="AW101" i="36" s="1"/>
  <c r="CP64" i="1"/>
  <c r="CV64" i="1"/>
  <c r="CP19" i="1"/>
  <c r="CW62" i="1"/>
  <c r="CW40" i="8" s="1"/>
  <c r="CP25" i="4"/>
  <c r="CT13" i="8"/>
  <c r="CT14" i="8" s="1"/>
  <c r="CT127" i="1"/>
  <c r="CT46" i="8"/>
  <c r="CV128" i="1"/>
  <c r="CP13" i="3"/>
  <c r="CP63" i="1"/>
  <c r="CP15" i="1"/>
  <c r="AW105" i="36"/>
  <c r="AW106" i="36" s="1"/>
  <c r="CP24" i="3"/>
  <c r="CV63" i="1"/>
  <c r="CP46" i="1"/>
  <c r="CP168" i="3"/>
  <c r="CP153" i="3"/>
  <c r="CQ26" i="3"/>
  <c r="CW77" i="7"/>
  <c r="CW80" i="7" s="1"/>
  <c r="CS158" i="7"/>
  <c r="CM158" i="7"/>
  <c r="AT5" i="36"/>
  <c r="AT16" i="36" s="1"/>
  <c r="CM18" i="8"/>
  <c r="EK19" i="8" s="1"/>
  <c r="CM26" i="8"/>
  <c r="EK8" i="8"/>
  <c r="CN26" i="8"/>
  <c r="CS18" i="8"/>
  <c r="CM114" i="3"/>
  <c r="CN99" i="3"/>
  <c r="CM155" i="7"/>
  <c r="AT11" i="36" s="1"/>
  <c r="AT22" i="36" s="1"/>
  <c r="CS155" i="7"/>
  <c r="CW56" i="7"/>
  <c r="CW68" i="7"/>
  <c r="CW41" i="8"/>
  <c r="CW36" i="8"/>
  <c r="CQ80" i="7"/>
  <c r="CM151" i="3"/>
  <c r="CM155" i="3" s="1"/>
  <c r="CM23" i="4"/>
  <c r="CQ18" i="8"/>
  <c r="CW18" i="8"/>
  <c r="AT57" i="36"/>
  <c r="AT29" i="36" s="1"/>
  <c r="AU57" i="36"/>
  <c r="AU29" i="36" s="1"/>
  <c r="CM157" i="7"/>
  <c r="CS157" i="7"/>
  <c r="CM169" i="3"/>
  <c r="CM66" i="1"/>
  <c r="CS66" i="1"/>
  <c r="CN37" i="3"/>
  <c r="CM89" i="3"/>
  <c r="CS67" i="1"/>
  <c r="CY18" i="8"/>
  <c r="CS26" i="8"/>
  <c r="CT26" i="8"/>
  <c r="CM20" i="1"/>
  <c r="CM50" i="1"/>
  <c r="CS50" i="1"/>
  <c r="AU67" i="36"/>
  <c r="AU69" i="36"/>
  <c r="AU70" i="36" s="1"/>
  <c r="AV69" i="36"/>
  <c r="AV70" i="36" s="1"/>
  <c r="AW69" i="36"/>
  <c r="AW70" i="36" s="1"/>
  <c r="AT67" i="36"/>
  <c r="AT69" i="36"/>
  <c r="AT70" i="36" s="1"/>
  <c r="CM22" i="4"/>
  <c r="CM144" i="3"/>
  <c r="CQ30" i="4"/>
  <c r="CM33" i="4"/>
  <c r="CS156" i="7"/>
  <c r="CM156" i="7"/>
  <c r="CQ18" i="7"/>
  <c r="CW18" i="7"/>
  <c r="CQ41" i="7"/>
  <c r="CQ33" i="7"/>
  <c r="DC18" i="8"/>
  <c r="AV67" i="36"/>
  <c r="CN157" i="7" l="1"/>
  <c r="CO180" i="3"/>
  <c r="CO181" i="3" s="1"/>
  <c r="CT155" i="7"/>
  <c r="CO155" i="7"/>
  <c r="AV11" i="36" s="1"/>
  <c r="AV22" i="36" s="1"/>
  <c r="CU128" i="1"/>
  <c r="CU129" i="1" s="1"/>
  <c r="CO42" i="8"/>
  <c r="CN158" i="7"/>
  <c r="CQ14" i="8"/>
  <c r="CV31" i="8"/>
  <c r="CV14" i="8"/>
  <c r="CW14" i="8" s="1"/>
  <c r="CO66" i="1"/>
  <c r="CN151" i="3"/>
  <c r="CN155" i="3" s="1"/>
  <c r="CT158" i="7"/>
  <c r="CN22" i="4"/>
  <c r="CN20" i="4" s="1"/>
  <c r="CU157" i="7"/>
  <c r="CU155" i="7"/>
  <c r="CN155" i="7"/>
  <c r="AU11" i="36" s="1"/>
  <c r="AU22" i="36" s="1"/>
  <c r="CT156" i="7"/>
  <c r="CO23" i="4"/>
  <c r="CU66" i="1"/>
  <c r="CO169" i="3"/>
  <c r="CO54" i="1"/>
  <c r="AV96" i="36"/>
  <c r="AV102" i="36" s="1"/>
  <c r="CU68" i="1"/>
  <c r="CO53" i="1"/>
  <c r="CO120" i="1" s="1"/>
  <c r="CU121" i="1" s="1"/>
  <c r="CO60" i="3"/>
  <c r="CU42" i="8"/>
  <c r="CO68" i="1"/>
  <c r="CO138" i="3"/>
  <c r="CO140" i="3" s="1"/>
  <c r="CO141" i="3" s="1"/>
  <c r="CO142" i="3" s="1"/>
  <c r="CU54" i="1"/>
  <c r="CN169" i="3"/>
  <c r="CV43" i="8"/>
  <c r="DB23" i="8"/>
  <c r="CV23" i="8"/>
  <c r="CY31" i="8"/>
  <c r="AW34" i="36"/>
  <c r="CQ104" i="3"/>
  <c r="CS99" i="3" s="1"/>
  <c r="CQ143" i="7"/>
  <c r="CQ157" i="7" s="1"/>
  <c r="CQ57" i="1"/>
  <c r="CW64" i="1"/>
  <c r="CQ51" i="1"/>
  <c r="CQ21" i="4"/>
  <c r="CQ141" i="7"/>
  <c r="CQ155" i="7" s="1"/>
  <c r="CQ159" i="7"/>
  <c r="CO156" i="7"/>
  <c r="CW46" i="8"/>
  <c r="CW127" i="1"/>
  <c r="CQ25" i="4"/>
  <c r="CQ65" i="1"/>
  <c r="CN20" i="1"/>
  <c r="CN60" i="3" s="1"/>
  <c r="CW159" i="7"/>
  <c r="CQ142" i="7"/>
  <c r="CW156" i="7" s="1"/>
  <c r="CT66" i="1"/>
  <c r="CU158" i="7"/>
  <c r="CU156" i="7"/>
  <c r="CQ52" i="1"/>
  <c r="CQ24" i="4"/>
  <c r="CQ19" i="1"/>
  <c r="CQ169" i="3" s="1"/>
  <c r="CW65" i="1"/>
  <c r="CQ63" i="1"/>
  <c r="CW50" i="1"/>
  <c r="CQ46" i="1"/>
  <c r="CQ50" i="1"/>
  <c r="CW63" i="1"/>
  <c r="CQ168" i="3"/>
  <c r="CO22" i="4"/>
  <c r="CO144" i="3"/>
  <c r="CQ173" i="3"/>
  <c r="CV156" i="7"/>
  <c r="CP156" i="7"/>
  <c r="CZ23" i="8"/>
  <c r="CT43" i="8"/>
  <c r="CT31" i="8"/>
  <c r="CU31" i="8"/>
  <c r="CT23" i="8"/>
  <c r="CP169" i="3"/>
  <c r="CP66" i="1"/>
  <c r="CV66" i="1"/>
  <c r="CP158" i="7"/>
  <c r="CV158" i="7"/>
  <c r="CP157" i="7"/>
  <c r="CV157" i="7"/>
  <c r="CT128" i="1"/>
  <c r="CP155" i="7"/>
  <c r="AW11" i="36" s="1"/>
  <c r="AW22" i="36" s="1"/>
  <c r="CV155" i="7"/>
  <c r="AW12" i="36"/>
  <c r="AW23" i="36" s="1"/>
  <c r="CS25" i="4"/>
  <c r="CW25" i="4" s="1"/>
  <c r="CQ85" i="3"/>
  <c r="CQ153" i="3"/>
  <c r="CQ13" i="3"/>
  <c r="CP144" i="3"/>
  <c r="CV67" i="1"/>
  <c r="CP151" i="3"/>
  <c r="CP155" i="3" s="1"/>
  <c r="CQ24" i="3"/>
  <c r="CP23" i="4"/>
  <c r="CV50" i="1"/>
  <c r="CP20" i="1"/>
  <c r="CP50" i="1"/>
  <c r="CP22" i="4"/>
  <c r="CW13" i="8"/>
  <c r="CM20" i="4"/>
  <c r="CM60" i="3"/>
  <c r="CM138" i="3"/>
  <c r="CM165" i="3"/>
  <c r="AT96" i="36"/>
  <c r="AT102" i="36" s="1"/>
  <c r="CS54" i="1"/>
  <c r="CM68" i="1"/>
  <c r="CM24" i="1"/>
  <c r="CM28" i="1"/>
  <c r="CS68" i="1"/>
  <c r="CM53" i="1"/>
  <c r="CM120" i="1" s="1"/>
  <c r="CM54" i="1"/>
  <c r="CQ127" i="1"/>
  <c r="CQ13" i="8"/>
  <c r="CQ46" i="8"/>
  <c r="CW34" i="8"/>
  <c r="CW36" i="7"/>
  <c r="CW35" i="7" s="1"/>
  <c r="CW38" i="7" s="1"/>
  <c r="CW10" i="8" s="1"/>
  <c r="CW44" i="7"/>
  <c r="CW43" i="7" s="1"/>
  <c r="CW46" i="7" s="1"/>
  <c r="CW9" i="8"/>
  <c r="CW15" i="8" s="1"/>
  <c r="AU68" i="36"/>
  <c r="AU34" i="36"/>
  <c r="CW70" i="7"/>
  <c r="CW35" i="8"/>
  <c r="CO37" i="3"/>
  <c r="CN89" i="3"/>
  <c r="CN104" i="3"/>
  <c r="CN107" i="3"/>
  <c r="AT34" i="36"/>
  <c r="AT68" i="36"/>
  <c r="CQ33" i="4"/>
  <c r="AV34" i="36"/>
  <c r="AV68" i="36"/>
  <c r="CW158" i="7"/>
  <c r="CQ158" i="7"/>
  <c r="CS129" i="1"/>
  <c r="CU67" i="1" l="1"/>
  <c r="CW11" i="8"/>
  <c r="CW21" i="8" s="1"/>
  <c r="CQ23" i="4"/>
  <c r="CT68" i="1"/>
  <c r="CO125" i="1"/>
  <c r="CO20" i="4"/>
  <c r="CN165" i="3"/>
  <c r="CU126" i="1"/>
  <c r="CU55" i="1" s="1"/>
  <c r="CO121" i="1"/>
  <c r="CQ22" i="4"/>
  <c r="CW99" i="3"/>
  <c r="CW104" i="3" s="1"/>
  <c r="DC99" i="3" s="1"/>
  <c r="DC104" i="3" s="1"/>
  <c r="CV42" i="8"/>
  <c r="CW157" i="7"/>
  <c r="CW66" i="1"/>
  <c r="CW155" i="7"/>
  <c r="CQ20" i="1"/>
  <c r="CQ60" i="3" s="1"/>
  <c r="CQ66" i="1"/>
  <c r="CQ146" i="7"/>
  <c r="CQ156" i="7"/>
  <c r="CN53" i="1"/>
  <c r="CN120" i="1" s="1"/>
  <c r="CN121" i="1" s="1"/>
  <c r="CN68" i="1"/>
  <c r="CN138" i="3"/>
  <c r="CN140" i="3" s="1"/>
  <c r="CN141" i="3" s="1"/>
  <c r="CN142" i="3" s="1"/>
  <c r="AU96" i="36"/>
  <c r="AU102" i="36" s="1"/>
  <c r="CT54" i="1"/>
  <c r="CN180" i="3"/>
  <c r="CN181" i="3" s="1"/>
  <c r="CN54" i="1"/>
  <c r="CT67" i="1"/>
  <c r="CT129" i="1"/>
  <c r="CT42" i="8"/>
  <c r="CP138" i="3"/>
  <c r="CP140" i="3" s="1"/>
  <c r="CP141" i="3" s="1"/>
  <c r="CP142" i="3" s="1"/>
  <c r="CP180" i="3"/>
  <c r="CP181" i="3" s="1"/>
  <c r="CP182" i="3" s="1"/>
  <c r="CV54" i="1"/>
  <c r="CV129" i="1"/>
  <c r="CP60" i="3"/>
  <c r="CP165" i="3"/>
  <c r="CP53" i="1"/>
  <c r="CP120" i="1" s="1"/>
  <c r="CV68" i="1"/>
  <c r="AW96" i="36"/>
  <c r="AW102" i="36" s="1"/>
  <c r="CP54" i="1"/>
  <c r="CP68" i="1"/>
  <c r="CQ73" i="3"/>
  <c r="CQ151" i="3"/>
  <c r="CQ155" i="3" s="1"/>
  <c r="CS23" i="4"/>
  <c r="CW23" i="4" s="1"/>
  <c r="CP20" i="4"/>
  <c r="CS22" i="4"/>
  <c r="CQ72" i="3"/>
  <c r="CQ144" i="3"/>
  <c r="CW43" i="8"/>
  <c r="DC23" i="8"/>
  <c r="CO182" i="3"/>
  <c r="CN114" i="3"/>
  <c r="CO99" i="3"/>
  <c r="CS104" i="3"/>
  <c r="CS107" i="3"/>
  <c r="CS121" i="1"/>
  <c r="CM125" i="1"/>
  <c r="CM121" i="1"/>
  <c r="CS126" i="1"/>
  <c r="CP37" i="3"/>
  <c r="CO89" i="3"/>
  <c r="DC19" i="8"/>
  <c r="CW19" i="8"/>
  <c r="CM180" i="3"/>
  <c r="CM181" i="3" s="1"/>
  <c r="CM59" i="3"/>
  <c r="CM164" i="3"/>
  <c r="CM69" i="1"/>
  <c r="CM56" i="1"/>
  <c r="CM29" i="1"/>
  <c r="CM30" i="1" s="1"/>
  <c r="CQ43" i="8"/>
  <c r="CQ23" i="8"/>
  <c r="CW23" i="8"/>
  <c r="CM140" i="3"/>
  <c r="CM141" i="3" s="1"/>
  <c r="CM142" i="3" s="1"/>
  <c r="CM136" i="3" s="1"/>
  <c r="CN13" i="4"/>
  <c r="CW12" i="8"/>
  <c r="CW50" i="8"/>
  <c r="CW20" i="8"/>
  <c r="DC20" i="8"/>
  <c r="DC21" i="8" l="1"/>
  <c r="CQ20" i="4"/>
  <c r="CO126" i="1"/>
  <c r="CO55" i="1" s="1"/>
  <c r="CO128" i="1"/>
  <c r="CY99" i="3"/>
  <c r="CY104" i="3" s="1"/>
  <c r="CN125" i="1"/>
  <c r="CQ68" i="1"/>
  <c r="CW54" i="1"/>
  <c r="CW122" i="1"/>
  <c r="CQ138" i="3"/>
  <c r="CQ165" i="3"/>
  <c r="CQ54" i="1"/>
  <c r="CW123" i="1"/>
  <c r="CQ53" i="1"/>
  <c r="CW68" i="1"/>
  <c r="CW124" i="1"/>
  <c r="CT121" i="1"/>
  <c r="CT126" i="1"/>
  <c r="CT55" i="1" s="1"/>
  <c r="CQ74" i="3"/>
  <c r="CW22" i="4"/>
  <c r="CW20" i="4" s="1"/>
  <c r="CS20" i="4"/>
  <c r="CP121" i="1"/>
  <c r="CV121" i="1"/>
  <c r="CV126" i="1"/>
  <c r="CP125" i="1"/>
  <c r="CW42" i="8"/>
  <c r="CN182" i="3"/>
  <c r="CS55" i="1"/>
  <c r="DE99" i="3"/>
  <c r="DI99" i="3"/>
  <c r="DI104" i="3" s="1"/>
  <c r="CQ42" i="8"/>
  <c r="CM32" i="1"/>
  <c r="CM117" i="1"/>
  <c r="CO104" i="3"/>
  <c r="CO107" i="3"/>
  <c r="CW22" i="8"/>
  <c r="DC22" i="8"/>
  <c r="CM172" i="3"/>
  <c r="CQ37" i="3"/>
  <c r="CP89" i="3"/>
  <c r="CQ89" i="3" s="1"/>
  <c r="CS13" i="4"/>
  <c r="CM182" i="3"/>
  <c r="CN12" i="4"/>
  <c r="CN21" i="1"/>
  <c r="CM126" i="1"/>
  <c r="CM128" i="1"/>
  <c r="CT99" i="3"/>
  <c r="CS114" i="3"/>
  <c r="CO67" i="1" l="1"/>
  <c r="CO129" i="1"/>
  <c r="CN126" i="1"/>
  <c r="CN55" i="1" s="1"/>
  <c r="CN128" i="1"/>
  <c r="CY107" i="3"/>
  <c r="CY114" i="3" s="1"/>
  <c r="CQ120" i="1"/>
  <c r="CQ125" i="1" s="1"/>
  <c r="CW125" i="1"/>
  <c r="CP128" i="1"/>
  <c r="CP126" i="1"/>
  <c r="CV55" i="1"/>
  <c r="CM129" i="1"/>
  <c r="CM67" i="1"/>
  <c r="CS37" i="3"/>
  <c r="CZ99" i="3"/>
  <c r="CO13" i="4"/>
  <c r="DE104" i="3"/>
  <c r="DE107" i="3"/>
  <c r="CM55" i="1"/>
  <c r="CN23" i="1"/>
  <c r="CN24" i="1"/>
  <c r="CS12" i="4"/>
  <c r="CS21" i="1"/>
  <c r="CO114" i="3"/>
  <c r="CP99" i="3"/>
  <c r="CM163" i="3"/>
  <c r="CM59" i="1"/>
  <c r="CM34" i="1"/>
  <c r="CM37" i="1"/>
  <c r="CM71" i="1"/>
  <c r="CM108" i="1"/>
  <c r="CT107" i="3"/>
  <c r="CT104" i="3"/>
  <c r="CN67" i="1" l="1"/>
  <c r="CN129" i="1"/>
  <c r="CY13" i="4"/>
  <c r="CY12" i="4" s="1"/>
  <c r="CQ128" i="1"/>
  <c r="CQ67" i="1" s="1"/>
  <c r="CQ126" i="1"/>
  <c r="CW121" i="1"/>
  <c r="CW128" i="1"/>
  <c r="CW67" i="1" s="1"/>
  <c r="CQ121" i="1"/>
  <c r="CW126" i="1"/>
  <c r="CP55" i="1"/>
  <c r="CP129" i="1"/>
  <c r="CP67" i="1"/>
  <c r="DE13" i="4"/>
  <c r="CS23" i="1"/>
  <c r="CS24" i="1"/>
  <c r="DE114" i="3"/>
  <c r="DF99" i="3"/>
  <c r="CU99" i="3"/>
  <c r="CT114" i="3"/>
  <c r="CM70" i="1"/>
  <c r="CP104" i="3"/>
  <c r="CP107" i="3"/>
  <c r="CZ104" i="3"/>
  <c r="CZ107" i="3"/>
  <c r="CN59" i="3"/>
  <c r="CN164" i="3"/>
  <c r="CN56" i="1"/>
  <c r="CN69" i="1"/>
  <c r="CT13" i="4"/>
  <c r="CM103" i="1"/>
  <c r="CM109" i="1"/>
  <c r="CM111" i="1"/>
  <c r="CM38" i="3"/>
  <c r="CM90" i="3"/>
  <c r="CM170" i="3"/>
  <c r="CM10" i="4"/>
  <c r="CM36" i="1"/>
  <c r="CO12" i="4"/>
  <c r="CO21" i="1"/>
  <c r="CT37" i="3"/>
  <c r="CS89" i="3"/>
  <c r="CY21" i="1" l="1"/>
  <c r="CY24" i="1" s="1"/>
  <c r="CQ129" i="1"/>
  <c r="CQ55" i="1"/>
  <c r="CW129" i="1"/>
  <c r="CW55" i="1"/>
  <c r="CM94" i="3"/>
  <c r="CM40" i="3"/>
  <c r="CM42" i="3" s="1"/>
  <c r="CP13" i="4"/>
  <c r="CQ107" i="3"/>
  <c r="CU37" i="3"/>
  <c r="CT89" i="3"/>
  <c r="CM110" i="1"/>
  <c r="CS59" i="3"/>
  <c r="CS164" i="3"/>
  <c r="CS56" i="1"/>
  <c r="CS69" i="1"/>
  <c r="CM26" i="4"/>
  <c r="CT12" i="4"/>
  <c r="CT21" i="1"/>
  <c r="CZ13" i="4"/>
  <c r="CP114" i="3"/>
  <c r="DE12" i="4"/>
  <c r="DE21" i="1"/>
  <c r="CO23" i="1"/>
  <c r="CO24" i="1"/>
  <c r="CZ114" i="3"/>
  <c r="DA99" i="3"/>
  <c r="CU104" i="3"/>
  <c r="CU107" i="3"/>
  <c r="DF104" i="3"/>
  <c r="DF107" i="3"/>
  <c r="CY23" i="1" l="1"/>
  <c r="CV99" i="3"/>
  <c r="CU114" i="3"/>
  <c r="DE23" i="1"/>
  <c r="DE24" i="1"/>
  <c r="CM192" i="3"/>
  <c r="CM54" i="3"/>
  <c r="DF13" i="4"/>
  <c r="CM78" i="3"/>
  <c r="CM59" i="4"/>
  <c r="CM64" i="4" s="1"/>
  <c r="CV37" i="3"/>
  <c r="CU89" i="3"/>
  <c r="CP21" i="1"/>
  <c r="CP12" i="4"/>
  <c r="CQ12" i="4" s="1"/>
  <c r="CQ13" i="4"/>
  <c r="CM95" i="3"/>
  <c r="CN88" i="3"/>
  <c r="CQ108" i="3"/>
  <c r="CQ114" i="3"/>
  <c r="CY59" i="3"/>
  <c r="CY164" i="3"/>
  <c r="CY69" i="1"/>
  <c r="CY56" i="1"/>
  <c r="CZ12" i="4"/>
  <c r="CZ21" i="1"/>
  <c r="DG99" i="3"/>
  <c r="DF114" i="3"/>
  <c r="CU13" i="4"/>
  <c r="DA104" i="3"/>
  <c r="DA107" i="3"/>
  <c r="CO59" i="3"/>
  <c r="CO164" i="3"/>
  <c r="CO69" i="1"/>
  <c r="CO56" i="1"/>
  <c r="CT23" i="1"/>
  <c r="CT24" i="1"/>
  <c r="DG104" i="3" l="1"/>
  <c r="DG107" i="3"/>
  <c r="DF12" i="4"/>
  <c r="DF21" i="1"/>
  <c r="DB99" i="3"/>
  <c r="DA114" i="3"/>
  <c r="CW37" i="3"/>
  <c r="CV89" i="3"/>
  <c r="CW89" i="3" s="1"/>
  <c r="CT59" i="3"/>
  <c r="CT164" i="3"/>
  <c r="CT69" i="1"/>
  <c r="CT56" i="1"/>
  <c r="CU12" i="4"/>
  <c r="CU21" i="1"/>
  <c r="CM79" i="3"/>
  <c r="CM60" i="4"/>
  <c r="CM63" i="4"/>
  <c r="DA13" i="4"/>
  <c r="CZ23" i="1"/>
  <c r="CZ24" i="1"/>
  <c r="CP23" i="1"/>
  <c r="CP24" i="1"/>
  <c r="CQ21" i="1"/>
  <c r="DE59" i="3"/>
  <c r="DE164" i="3"/>
  <c r="DE69" i="1"/>
  <c r="DE56" i="1"/>
  <c r="CV104" i="3"/>
  <c r="CV107" i="3"/>
  <c r="CV114" i="3" l="1"/>
  <c r="CZ59" i="3"/>
  <c r="CZ164" i="3"/>
  <c r="CZ69" i="1"/>
  <c r="CZ56" i="1"/>
  <c r="CQ23" i="1"/>
  <c r="CQ24" i="1"/>
  <c r="CP59" i="3"/>
  <c r="CP164" i="3"/>
  <c r="CP56" i="1"/>
  <c r="CY37" i="3"/>
  <c r="DB104" i="3"/>
  <c r="DB107" i="3"/>
  <c r="DG13" i="4"/>
  <c r="CU23" i="1"/>
  <c r="CU24" i="1"/>
  <c r="DF23" i="1"/>
  <c r="DF24" i="1"/>
  <c r="CV13" i="4"/>
  <c r="CW107" i="3"/>
  <c r="DA12" i="4"/>
  <c r="DA21" i="1"/>
  <c r="CM80" i="3"/>
  <c r="CM61" i="4"/>
  <c r="CM62" i="4"/>
  <c r="DH99" i="3"/>
  <c r="DG114" i="3"/>
  <c r="DA23" i="1" l="1"/>
  <c r="DA24" i="1"/>
  <c r="DG12" i="4"/>
  <c r="DG21" i="1"/>
  <c r="CQ59" i="3"/>
  <c r="CQ164" i="3"/>
  <c r="CQ56" i="1"/>
  <c r="CZ37" i="3"/>
  <c r="CY89" i="3"/>
  <c r="CU59" i="3"/>
  <c r="CU164" i="3"/>
  <c r="CU69" i="1"/>
  <c r="CU56" i="1"/>
  <c r="DB13" i="4"/>
  <c r="DC107" i="3"/>
  <c r="CV12" i="4"/>
  <c r="CW12" i="4" s="1"/>
  <c r="CV21" i="1"/>
  <c r="CW13" i="4"/>
  <c r="DH104" i="3"/>
  <c r="DH107" i="3"/>
  <c r="CW108" i="3"/>
  <c r="CW114" i="3"/>
  <c r="DF59" i="3"/>
  <c r="DF164" i="3"/>
  <c r="DF69" i="1"/>
  <c r="DF56" i="1"/>
  <c r="DB114" i="3"/>
  <c r="DC108" i="3" l="1"/>
  <c r="DC114" i="3"/>
  <c r="DA37" i="3"/>
  <c r="CZ89" i="3"/>
  <c r="DG23" i="1"/>
  <c r="DG24" i="1"/>
  <c r="CV23" i="1"/>
  <c r="CV24" i="1"/>
  <c r="CW21" i="1"/>
  <c r="DH13" i="4"/>
  <c r="DI107" i="3"/>
  <c r="DB12" i="4"/>
  <c r="DC12" i="4" s="1"/>
  <c r="DB21" i="1"/>
  <c r="DC13" i="4"/>
  <c r="DA59" i="3"/>
  <c r="DA164" i="3"/>
  <c r="DA69" i="1"/>
  <c r="DA56" i="1"/>
  <c r="DH114" i="3"/>
  <c r="CW23" i="1" l="1"/>
  <c r="CW24" i="1"/>
  <c r="DI108" i="3"/>
  <c r="DI114" i="3"/>
  <c r="DH12" i="4"/>
  <c r="DI12" i="4" s="1"/>
  <c r="DH21" i="1"/>
  <c r="DI13" i="4"/>
  <c r="CV59" i="3"/>
  <c r="CV164" i="3"/>
  <c r="CV69" i="1"/>
  <c r="CV56" i="1"/>
  <c r="DG59" i="3"/>
  <c r="DG164" i="3"/>
  <c r="DG56" i="1"/>
  <c r="DG69" i="1"/>
  <c r="DB37" i="3"/>
  <c r="DA89" i="3"/>
  <c r="DB23" i="1"/>
  <c r="DB24" i="1"/>
  <c r="DC21" i="1"/>
  <c r="DC23" i="1" l="1"/>
  <c r="DC24" i="1"/>
  <c r="DC37" i="3"/>
  <c r="DB89" i="3"/>
  <c r="DC89" i="3" s="1"/>
  <c r="CW164" i="3"/>
  <c r="CW59" i="3"/>
  <c r="CW56" i="1"/>
  <c r="CW69" i="1"/>
  <c r="DB59" i="3"/>
  <c r="DB164" i="3"/>
  <c r="DB56" i="1"/>
  <c r="DB69" i="1"/>
  <c r="DH23" i="1"/>
  <c r="DH24" i="1"/>
  <c r="DI21" i="1"/>
  <c r="DE37" i="3" l="1"/>
  <c r="DC59" i="3"/>
  <c r="DC164" i="3"/>
  <c r="DC69" i="1"/>
  <c r="DC56" i="1"/>
  <c r="DI23" i="1"/>
  <c r="DI24" i="1"/>
  <c r="DH59" i="3"/>
  <c r="DH164" i="3"/>
  <c r="DH69" i="1"/>
  <c r="DH56" i="1"/>
  <c r="DI59" i="3" l="1"/>
  <c r="DI164" i="3"/>
  <c r="DI69" i="1"/>
  <c r="DI56" i="1"/>
  <c r="DF37" i="3"/>
  <c r="DE89" i="3"/>
  <c r="DG37" i="3" l="1"/>
  <c r="DF89" i="3"/>
  <c r="DH37" i="3" l="1"/>
  <c r="DG89" i="3"/>
  <c r="DI37" i="3" l="1"/>
  <c r="DH89" i="3"/>
  <c r="DI89" i="3" s="1"/>
  <c r="CK12" i="4" l="1"/>
  <c r="CK26" i="4" s="1"/>
  <c r="CJ13" i="4"/>
  <c r="CJ107" i="3" s="1"/>
  <c r="CJ26" i="4"/>
  <c r="CJ108" i="3" l="1"/>
  <c r="CJ114" i="3"/>
  <c r="CJ109" i="3"/>
  <c r="CK109" i="3" s="1"/>
  <c r="CJ115" i="3"/>
  <c r="CK13" i="4"/>
  <c r="CJ59" i="4"/>
  <c r="CJ64" i="4" s="1"/>
  <c r="CK78" i="3"/>
  <c r="CK59" i="4"/>
  <c r="CK64" i="4" s="1"/>
  <c r="CJ21" i="1"/>
  <c r="CK50" i="4"/>
  <c r="CJ78" i="3"/>
  <c r="CJ50" i="4"/>
  <c r="CK107" i="3" l="1"/>
  <c r="CK60" i="4"/>
  <c r="CK63" i="4"/>
  <c r="CK79" i="3"/>
  <c r="CJ60" i="4"/>
  <c r="CJ63" i="4"/>
  <c r="CJ79" i="3"/>
  <c r="CJ23" i="1"/>
  <c r="CJ24" i="1"/>
  <c r="CJ56" i="1" s="1"/>
  <c r="CJ95" i="1"/>
  <c r="CJ96" i="1" s="1"/>
  <c r="CK21" i="1"/>
  <c r="CK77" i="3"/>
  <c r="CK54" i="4"/>
  <c r="CJ77" i="3"/>
  <c r="CJ54" i="4"/>
  <c r="CJ55" i="4" s="1"/>
  <c r="CJ97" i="1" l="1"/>
  <c r="CK114" i="3"/>
  <c r="CK108" i="3"/>
  <c r="CK110" i="3"/>
  <c r="CK61" i="4"/>
  <c r="CK62" i="4"/>
  <c r="CK80" i="3"/>
  <c r="CJ61" i="4"/>
  <c r="CJ62" i="4"/>
  <c r="CJ80" i="3"/>
  <c r="CK24" i="1"/>
  <c r="CK95" i="1"/>
  <c r="CK96" i="1" s="1"/>
  <c r="CK23" i="1"/>
  <c r="CP69" i="1"/>
  <c r="CJ69" i="1"/>
  <c r="CJ164" i="3"/>
  <c r="CJ59" i="3"/>
  <c r="CM52" i="4"/>
  <c r="CK55" i="4"/>
  <c r="CK112" i="3" l="1"/>
  <c r="CM106" i="3"/>
  <c r="CM110" i="3" s="1"/>
  <c r="CQ106" i="3"/>
  <c r="CQ110" i="3" s="1"/>
  <c r="CK115" i="3"/>
  <c r="CK97" i="1"/>
  <c r="CK69" i="1"/>
  <c r="CK56" i="1"/>
  <c r="CQ69" i="1"/>
  <c r="CK164" i="3"/>
  <c r="CK59" i="3"/>
  <c r="CQ52" i="4"/>
  <c r="CQ115" i="3" l="1"/>
  <c r="CQ112" i="3"/>
  <c r="CS106" i="3"/>
  <c r="CS110" i="3" s="1"/>
  <c r="CW106" i="3"/>
  <c r="CW110" i="3" s="1"/>
  <c r="CN106" i="3"/>
  <c r="CN110" i="3" s="1"/>
  <c r="CM115" i="3"/>
  <c r="CM112" i="3"/>
  <c r="CM16" i="3" s="1"/>
  <c r="CW112" i="3" l="1"/>
  <c r="DC106" i="3"/>
  <c r="DC110" i="3" s="1"/>
  <c r="CY106" i="3"/>
  <c r="CY110" i="3" s="1"/>
  <c r="CW115" i="3"/>
  <c r="CM146" i="3"/>
  <c r="CM149" i="3" s="1"/>
  <c r="CM157" i="3" s="1"/>
  <c r="CN158" i="3" s="1"/>
  <c r="CS112" i="3"/>
  <c r="CS16" i="3" s="1"/>
  <c r="CT106" i="3"/>
  <c r="CT110" i="3" s="1"/>
  <c r="CS115" i="3"/>
  <c r="CO106" i="3"/>
  <c r="CO110" i="3" s="1"/>
  <c r="CN112" i="3"/>
  <c r="CN16" i="3" s="1"/>
  <c r="CN115" i="3"/>
  <c r="CS146" i="3" l="1"/>
  <c r="CS149" i="3" s="1"/>
  <c r="CS157" i="3" s="1"/>
  <c r="CT158" i="3" s="1"/>
  <c r="CT115" i="3"/>
  <c r="CU106" i="3"/>
  <c r="CU110" i="3" s="1"/>
  <c r="CT112" i="3"/>
  <c r="CT16" i="3" s="1"/>
  <c r="CN136" i="3"/>
  <c r="DE106" i="3"/>
  <c r="DE110" i="3" s="1"/>
  <c r="DC115" i="3"/>
  <c r="DI106" i="3"/>
  <c r="DI110" i="3" s="1"/>
  <c r="DC112" i="3"/>
  <c r="CN146" i="3"/>
  <c r="CN149" i="3" s="1"/>
  <c r="CN157" i="3" s="1"/>
  <c r="CO158" i="3" s="1"/>
  <c r="CZ106" i="3"/>
  <c r="CZ110" i="3" s="1"/>
  <c r="CY112" i="3"/>
  <c r="CY16" i="3" s="1"/>
  <c r="CY115" i="3"/>
  <c r="CO112" i="3"/>
  <c r="CO16" i="3" s="1"/>
  <c r="CP106" i="3"/>
  <c r="CP110" i="3" s="1"/>
  <c r="CO115" i="3"/>
  <c r="CP115" i="3" l="1"/>
  <c r="CP112" i="3"/>
  <c r="CP16" i="3" s="1"/>
  <c r="DI115" i="3"/>
  <c r="DI112" i="3"/>
  <c r="DF106" i="3"/>
  <c r="DF110" i="3" s="1"/>
  <c r="DE115" i="3"/>
  <c r="DE112" i="3"/>
  <c r="DE16" i="3" s="1"/>
  <c r="CU112" i="3"/>
  <c r="CU16" i="3" s="1"/>
  <c r="CV106" i="3"/>
  <c r="CV110" i="3" s="1"/>
  <c r="CU115" i="3"/>
  <c r="CT136" i="3"/>
  <c r="CY146" i="3"/>
  <c r="CY149" i="3" s="1"/>
  <c r="CY157" i="3" s="1"/>
  <c r="CZ158" i="3" s="1"/>
  <c r="CZ112" i="3"/>
  <c r="CZ16" i="3" s="1"/>
  <c r="CZ115" i="3"/>
  <c r="DA106" i="3"/>
  <c r="DA110" i="3" s="1"/>
  <c r="CO146" i="3"/>
  <c r="CO149" i="3" s="1"/>
  <c r="CO157" i="3" s="1"/>
  <c r="CP158" i="3" s="1"/>
  <c r="CO136" i="3"/>
  <c r="CT146" i="3"/>
  <c r="CT149" i="3" s="1"/>
  <c r="CT157" i="3" s="1"/>
  <c r="CU158" i="3" s="1"/>
  <c r="DE146" i="3" l="1"/>
  <c r="DE149" i="3" s="1"/>
  <c r="DE157" i="3" s="1"/>
  <c r="DF158" i="3" s="1"/>
  <c r="CU146" i="3"/>
  <c r="CU149" i="3" s="1"/>
  <c r="CU157" i="3" s="1"/>
  <c r="CV158" i="3" s="1"/>
  <c r="CP136" i="3"/>
  <c r="CU136" i="3"/>
  <c r="CQ16" i="3"/>
  <c r="CP146" i="3"/>
  <c r="CP149" i="3" s="1"/>
  <c r="CP157" i="3" s="1"/>
  <c r="CZ146" i="3"/>
  <c r="CZ149" i="3" s="1"/>
  <c r="CZ157" i="3" s="1"/>
  <c r="DA158" i="3" s="1"/>
  <c r="DB106" i="3"/>
  <c r="DB110" i="3" s="1"/>
  <c r="DA112" i="3"/>
  <c r="DA16" i="3" s="1"/>
  <c r="DA115" i="3"/>
  <c r="CZ136" i="3"/>
  <c r="CV115" i="3"/>
  <c r="CV112" i="3"/>
  <c r="CV16" i="3" s="1"/>
  <c r="DG106" i="3"/>
  <c r="DG110" i="3" s="1"/>
  <c r="DF112" i="3"/>
  <c r="DF16" i="3" s="1"/>
  <c r="DF115" i="3"/>
  <c r="CW16" i="3" l="1"/>
  <c r="CV146" i="3"/>
  <c r="CV149" i="3" s="1"/>
  <c r="CV157" i="3" s="1"/>
  <c r="DA136" i="3"/>
  <c r="CV136" i="3"/>
  <c r="DF146" i="3"/>
  <c r="DF149" i="3" s="1"/>
  <c r="DF157" i="3" s="1"/>
  <c r="DG158" i="3" s="1"/>
  <c r="DB112" i="3"/>
  <c r="DB16" i="3" s="1"/>
  <c r="DB115" i="3"/>
  <c r="DF136" i="3"/>
  <c r="DA146" i="3"/>
  <c r="DA149" i="3" s="1"/>
  <c r="DA157" i="3" s="1"/>
  <c r="DB158" i="3" s="1"/>
  <c r="DG115" i="3"/>
  <c r="DG112" i="3"/>
  <c r="DG16" i="3" s="1"/>
  <c r="DH106" i="3"/>
  <c r="DH110" i="3" s="1"/>
  <c r="CQ146" i="3"/>
  <c r="CQ149" i="3" s="1"/>
  <c r="CQ157" i="3" s="1"/>
  <c r="CS158" i="3" l="1"/>
  <c r="CW158" i="3"/>
  <c r="DB136" i="3"/>
  <c r="DH115" i="3"/>
  <c r="DH112" i="3"/>
  <c r="DH16" i="3" s="1"/>
  <c r="DC16" i="3"/>
  <c r="DB146" i="3"/>
  <c r="DB149" i="3" s="1"/>
  <c r="DB157" i="3" s="1"/>
  <c r="CW146" i="3"/>
  <c r="CW149" i="3" s="1"/>
  <c r="CW157" i="3" s="1"/>
  <c r="DG146" i="3"/>
  <c r="DG149" i="3" s="1"/>
  <c r="DG157" i="3" s="1"/>
  <c r="DH158" i="3" s="1"/>
  <c r="DG136" i="3"/>
  <c r="DH136" i="3" l="1"/>
  <c r="DC146" i="3"/>
  <c r="DC149" i="3" s="1"/>
  <c r="DC157" i="3" s="1"/>
  <c r="CY158" i="3"/>
  <c r="DC158" i="3"/>
  <c r="DI16" i="3"/>
  <c r="DH146" i="3"/>
  <c r="DH149" i="3" s="1"/>
  <c r="DH157" i="3" s="1"/>
  <c r="CS136" i="3"/>
  <c r="DI158" i="3" l="1"/>
  <c r="DE158" i="3"/>
  <c r="DI146" i="3"/>
  <c r="DI149" i="3" s="1"/>
  <c r="DI157" i="3" s="1"/>
  <c r="CY136" i="3"/>
  <c r="DE136" i="3" l="1"/>
  <c r="BR34" i="9" l="1"/>
  <c r="BR66" i="9" s="1"/>
  <c r="BS33" i="9"/>
  <c r="BS65" i="9" s="1"/>
  <c r="BS34" i="9" l="1"/>
  <c r="BS66" i="9" s="1"/>
  <c r="BU33" i="9"/>
  <c r="BR38" i="9"/>
  <c r="CM23" i="3" l="1"/>
  <c r="BU34" i="9"/>
  <c r="BV33" i="9"/>
  <c r="BS38" i="9"/>
  <c r="BV34" i="9" l="1"/>
  <c r="CN23" i="3"/>
  <c r="BW33" i="9"/>
  <c r="CM29" i="3"/>
  <c r="BU66" i="9"/>
  <c r="CM27" i="3"/>
  <c r="CM62" i="3" l="1"/>
  <c r="CM49" i="3"/>
  <c r="BU37" i="9"/>
  <c r="BW34" i="9"/>
  <c r="CO23" i="3"/>
  <c r="BX33" i="9"/>
  <c r="CM31" i="3"/>
  <c r="CM39" i="4"/>
  <c r="CM37" i="4"/>
  <c r="CN27" i="3"/>
  <c r="BU38" i="9"/>
  <c r="CN29" i="3"/>
  <c r="BV66" i="9"/>
  <c r="CO27" i="3" l="1"/>
  <c r="CM44" i="3"/>
  <c r="BW66" i="9"/>
  <c r="CO29" i="3"/>
  <c r="CN37" i="4"/>
  <c r="CN39" i="4"/>
  <c r="CN49" i="3"/>
  <c r="BV37" i="9"/>
  <c r="BV38" i="9"/>
  <c r="CN31" i="3"/>
  <c r="CM47" i="4"/>
  <c r="CM50" i="4" s="1"/>
  <c r="BX34" i="9"/>
  <c r="CP23" i="3"/>
  <c r="BY33" i="9"/>
  <c r="CM185" i="3"/>
  <c r="BW37" i="9" l="1"/>
  <c r="CP27" i="3"/>
  <c r="CQ23" i="3"/>
  <c r="BX66" i="9"/>
  <c r="CP29" i="3"/>
  <c r="BX37" i="9" s="1"/>
  <c r="CN185" i="3"/>
  <c r="BW38" i="9"/>
  <c r="CO49" i="3"/>
  <c r="CM77" i="3"/>
  <c r="CM54" i="4"/>
  <c r="CO39" i="4"/>
  <c r="CO37" i="4"/>
  <c r="CO31" i="3"/>
  <c r="BY65" i="9"/>
  <c r="BY34" i="9"/>
  <c r="CA33" i="9"/>
  <c r="CN47" i="4"/>
  <c r="CP49" i="3" l="1"/>
  <c r="CO185" i="3"/>
  <c r="CO47" i="4"/>
  <c r="CQ27" i="3"/>
  <c r="CP39" i="4"/>
  <c r="CQ39" i="4" s="1"/>
  <c r="CP37" i="4"/>
  <c r="CQ37" i="4" s="1"/>
  <c r="CP31" i="3"/>
  <c r="CA34" i="9"/>
  <c r="CS23" i="3"/>
  <c r="CB33" i="9"/>
  <c r="BY66" i="9"/>
  <c r="CQ29" i="3"/>
  <c r="CN52" i="4"/>
  <c r="CM10" i="3"/>
  <c r="CM55" i="4" s="1"/>
  <c r="BX38" i="9"/>
  <c r="CP185" i="3" l="1"/>
  <c r="BY37" i="9"/>
  <c r="CQ49" i="3"/>
  <c r="CQ47" i="4"/>
  <c r="CS27" i="3"/>
  <c r="CS49" i="3"/>
  <c r="CS29" i="3"/>
  <c r="CA66" i="9"/>
  <c r="BY38" i="9"/>
  <c r="CP47" i="4"/>
  <c r="CQ185" i="3"/>
  <c r="CQ31" i="3"/>
  <c r="CM195" i="3"/>
  <c r="CM67" i="3"/>
  <c r="CM15" i="3"/>
  <c r="CM66" i="3"/>
  <c r="BV73" i="9"/>
  <c r="BV74" i="9" s="1"/>
  <c r="CM50" i="3"/>
  <c r="CB34" i="9"/>
  <c r="CT23" i="3"/>
  <c r="CC33" i="9"/>
  <c r="CA37" i="9" l="1"/>
  <c r="CA38" i="9"/>
  <c r="CN25" i="1"/>
  <c r="CT27" i="3"/>
  <c r="CM65" i="3"/>
  <c r="CM68" i="3"/>
  <c r="CM20" i="3"/>
  <c r="CC34" i="9"/>
  <c r="CU23" i="3"/>
  <c r="CD33" i="9"/>
  <c r="CM198" i="3"/>
  <c r="CM201" i="3" s="1"/>
  <c r="CM199" i="3"/>
  <c r="CM202" i="3" s="1"/>
  <c r="CM56" i="3" s="1"/>
  <c r="CS185" i="3"/>
  <c r="CB66" i="9"/>
  <c r="CT29" i="3"/>
  <c r="CS39" i="4"/>
  <c r="CS37" i="4"/>
  <c r="CM61" i="3"/>
  <c r="CM51" i="3"/>
  <c r="CS31" i="3"/>
  <c r="CB37" i="9" l="1"/>
  <c r="CB38" i="9"/>
  <c r="CT49" i="3"/>
  <c r="CC66" i="9"/>
  <c r="CU29" i="3"/>
  <c r="CT31" i="3"/>
  <c r="CD34" i="9"/>
  <c r="CV23" i="3"/>
  <c r="CE33" i="9"/>
  <c r="CN28" i="1"/>
  <c r="CS47" i="4"/>
  <c r="CM45" i="3"/>
  <c r="CM55" i="3"/>
  <c r="CT185" i="3"/>
  <c r="CT37" i="4"/>
  <c r="CT39" i="4"/>
  <c r="CC37" i="9"/>
  <c r="CU27" i="3"/>
  <c r="CE34" i="9" l="1"/>
  <c r="CE65" i="9"/>
  <c r="CG33" i="9"/>
  <c r="CT47" i="4"/>
  <c r="CV27" i="3"/>
  <c r="CW23" i="3"/>
  <c r="CD66" i="9"/>
  <c r="CV29" i="3"/>
  <c r="CV49" i="3" s="1"/>
  <c r="CU39" i="4"/>
  <c r="CU37" i="4"/>
  <c r="CU31" i="3"/>
  <c r="CN29" i="1"/>
  <c r="CN30" i="1" s="1"/>
  <c r="CU49" i="3"/>
  <c r="CC38" i="9"/>
  <c r="CD38" i="9" l="1"/>
  <c r="CD37" i="9"/>
  <c r="CW27" i="3"/>
  <c r="CG34" i="9"/>
  <c r="CY23" i="3"/>
  <c r="CH33" i="9"/>
  <c r="CN172" i="3"/>
  <c r="CU47" i="4"/>
  <c r="CV185" i="3"/>
  <c r="CV31" i="3"/>
  <c r="CE66" i="9"/>
  <c r="CN117" i="1"/>
  <c r="CN32" i="1"/>
  <c r="CV39" i="4"/>
  <c r="CW39" i="4" s="1"/>
  <c r="CV37" i="4"/>
  <c r="CU185" i="3"/>
  <c r="CW29" i="3"/>
  <c r="CY27" i="3" l="1"/>
  <c r="CV47" i="4"/>
  <c r="CW37" i="4"/>
  <c r="CY29" i="3"/>
  <c r="CG66" i="9"/>
  <c r="CN59" i="1"/>
  <c r="CN71" i="1"/>
  <c r="CN37" i="1"/>
  <c r="CN163" i="3"/>
  <c r="CN108" i="1"/>
  <c r="CN34" i="1"/>
  <c r="CW49" i="3"/>
  <c r="CE37" i="9"/>
  <c r="CE38" i="9"/>
  <c r="CH34" i="9"/>
  <c r="CZ23" i="3"/>
  <c r="CI33" i="9"/>
  <c r="CW31" i="3"/>
  <c r="CG38" i="9" l="1"/>
  <c r="CZ29" i="3"/>
  <c r="CH66" i="9"/>
  <c r="CW47" i="4"/>
  <c r="CW185" i="3"/>
  <c r="CN170" i="3"/>
  <c r="CN36" i="1"/>
  <c r="CN90" i="3"/>
  <c r="CN10" i="4"/>
  <c r="CN38" i="3"/>
  <c r="CN70" i="1"/>
  <c r="CY31" i="3"/>
  <c r="CI34" i="9"/>
  <c r="DA23" i="3"/>
  <c r="CJ33" i="9"/>
  <c r="CN109" i="1"/>
  <c r="CN111" i="1"/>
  <c r="CN103" i="1"/>
  <c r="CH37" i="9"/>
  <c r="CZ27" i="3"/>
  <c r="CZ49" i="3"/>
  <c r="CY39" i="4"/>
  <c r="CY37" i="4"/>
  <c r="CY49" i="3"/>
  <c r="CG37" i="9"/>
  <c r="CJ34" i="9" l="1"/>
  <c r="DB23" i="3"/>
  <c r="CK33" i="9"/>
  <c r="CZ185" i="3"/>
  <c r="CN40" i="3"/>
  <c r="CN42" i="3" s="1"/>
  <c r="CN110" i="1"/>
  <c r="CN26" i="4"/>
  <c r="CY47" i="4"/>
  <c r="DA29" i="3"/>
  <c r="CI66" i="9"/>
  <c r="CN94" i="3"/>
  <c r="CY185" i="3"/>
  <c r="CZ31" i="3"/>
  <c r="DA27" i="3"/>
  <c r="CZ39" i="4"/>
  <c r="CZ37" i="4"/>
  <c r="CH38" i="9"/>
  <c r="DA49" i="3" l="1"/>
  <c r="CN78" i="3"/>
  <c r="CN59" i="4"/>
  <c r="CN50" i="4"/>
  <c r="DB27" i="3"/>
  <c r="DC23" i="3"/>
  <c r="DA185" i="3"/>
  <c r="CN95" i="3"/>
  <c r="CO88" i="3"/>
  <c r="CN192" i="3"/>
  <c r="CN62" i="3"/>
  <c r="CN44" i="3"/>
  <c r="CN54" i="3"/>
  <c r="CK34" i="9"/>
  <c r="CK65" i="9"/>
  <c r="CM33" i="9"/>
  <c r="CZ47" i="4"/>
  <c r="DA31" i="3"/>
  <c r="DA37" i="4"/>
  <c r="DA39" i="4"/>
  <c r="CI37" i="9"/>
  <c r="CI38" i="9"/>
  <c r="DB29" i="3"/>
  <c r="CJ37" i="9" s="1"/>
  <c r="CJ66" i="9"/>
  <c r="CJ38" i="9" l="1"/>
  <c r="DB31" i="3"/>
  <c r="CM34" i="9"/>
  <c r="CN33" i="9"/>
  <c r="DE23" i="3"/>
  <c r="DB49" i="3"/>
  <c r="DA47" i="4"/>
  <c r="CN64" i="4"/>
  <c r="CN79" i="3"/>
  <c r="CN63" i="4"/>
  <c r="CN60" i="4"/>
  <c r="DB37" i="4"/>
  <c r="DC37" i="4" s="1"/>
  <c r="DB39" i="4"/>
  <c r="DC39" i="4" s="1"/>
  <c r="DC29" i="3"/>
  <c r="CK66" i="9"/>
  <c r="DC27" i="3"/>
  <c r="CN77" i="3"/>
  <c r="CN54" i="4"/>
  <c r="DB185" i="3" l="1"/>
  <c r="CN62" i="4"/>
  <c r="CN80" i="3"/>
  <c r="CN61" i="4"/>
  <c r="CO52" i="4"/>
  <c r="CN10" i="3"/>
  <c r="DC47" i="4"/>
  <c r="CN34" i="9"/>
  <c r="DF23" i="3"/>
  <c r="CO33" i="9"/>
  <c r="CK37" i="9"/>
  <c r="CK38" i="9"/>
  <c r="DE27" i="3"/>
  <c r="DC49" i="3"/>
  <c r="DC31" i="3"/>
  <c r="DB47" i="4"/>
  <c r="CM66" i="9"/>
  <c r="DE29" i="3"/>
  <c r="DC185" i="3" l="1"/>
  <c r="CM37" i="9"/>
  <c r="CO34" i="9"/>
  <c r="CP33" i="9"/>
  <c r="DG23" i="3"/>
  <c r="DF27" i="3"/>
  <c r="DE39" i="4"/>
  <c r="DE37" i="4"/>
  <c r="DE49" i="3"/>
  <c r="CN66" i="3"/>
  <c r="CN195" i="3"/>
  <c r="CN67" i="3"/>
  <c r="CN15" i="3"/>
  <c r="BW73" i="9"/>
  <c r="BW74" i="9" s="1"/>
  <c r="CN50" i="3"/>
  <c r="CM38" i="9"/>
  <c r="DE31" i="3"/>
  <c r="DF29" i="3"/>
  <c r="CN66" i="9"/>
  <c r="CN55" i="4"/>
  <c r="CN37" i="9" l="1"/>
  <c r="DE47" i="4"/>
  <c r="DF39" i="4"/>
  <c r="DF37" i="4"/>
  <c r="CN198" i="3"/>
  <c r="CN201" i="3" s="1"/>
  <c r="CN199" i="3"/>
  <c r="CN202" i="3" s="1"/>
  <c r="CN56" i="3" s="1"/>
  <c r="CQ33" i="9"/>
  <c r="CP34" i="9"/>
  <c r="DH23" i="3"/>
  <c r="CN61" i="3"/>
  <c r="CN51" i="3"/>
  <c r="CO25" i="1"/>
  <c r="DG27" i="3"/>
  <c r="CN38" i="9"/>
  <c r="CN68" i="3"/>
  <c r="CN20" i="3"/>
  <c r="CN65" i="3"/>
  <c r="DF49" i="3"/>
  <c r="DE185" i="3"/>
  <c r="DF31" i="3"/>
  <c r="DG29" i="3"/>
  <c r="CO66" i="9"/>
  <c r="DG49" i="3" l="1"/>
  <c r="DG185" i="3" s="1"/>
  <c r="CO37" i="9"/>
  <c r="CO38" i="9"/>
  <c r="DF185" i="3"/>
  <c r="DG39" i="4"/>
  <c r="DG37" i="4"/>
  <c r="CN45" i="3"/>
  <c r="CN55" i="3"/>
  <c r="DH27" i="3"/>
  <c r="DI23" i="3"/>
  <c r="DH29" i="3"/>
  <c r="CP66" i="9"/>
  <c r="DG31" i="3"/>
  <c r="CO28" i="1"/>
  <c r="CQ34" i="9"/>
  <c r="CQ65" i="9"/>
  <c r="DF47" i="4"/>
  <c r="DI29" i="3" l="1"/>
  <c r="DI27" i="3"/>
  <c r="DH39" i="4"/>
  <c r="DI39" i="4" s="1"/>
  <c r="DH37" i="4"/>
  <c r="DI37" i="4" s="1"/>
  <c r="CO29" i="1"/>
  <c r="CO30" i="1" s="1"/>
  <c r="CP37" i="9"/>
  <c r="CQ66" i="9"/>
  <c r="DH49" i="3"/>
  <c r="CP38" i="9"/>
  <c r="DH31" i="3"/>
  <c r="DG47" i="4"/>
  <c r="CQ37" i="9" l="1"/>
  <c r="CQ38" i="9"/>
  <c r="DI49" i="3"/>
  <c r="DH185" i="3"/>
  <c r="DI185" i="3"/>
  <c r="DI47" i="4"/>
  <c r="CO117" i="1"/>
  <c r="CO32" i="1"/>
  <c r="DI31" i="3"/>
  <c r="CO172" i="3"/>
  <c r="DH47" i="4"/>
  <c r="CO59" i="1" l="1"/>
  <c r="CO163" i="3"/>
  <c r="CO37" i="1"/>
  <c r="CO71" i="1"/>
  <c r="CO108" i="1"/>
  <c r="CO34" i="1"/>
  <c r="CO90" i="3" l="1"/>
  <c r="CO170" i="3"/>
  <c r="CO36" i="1"/>
  <c r="CO10" i="4"/>
  <c r="CO38" i="3"/>
  <c r="CO111" i="1"/>
  <c r="CO109" i="1"/>
  <c r="CO103" i="1"/>
  <c r="CO70" i="1"/>
  <c r="CO40" i="3" l="1"/>
  <c r="CO42" i="3" s="1"/>
  <c r="CO110" i="1"/>
  <c r="CO26" i="4"/>
  <c r="CO94" i="3"/>
  <c r="CO95" i="3" l="1"/>
  <c r="CP88" i="3"/>
  <c r="CO78" i="3"/>
  <c r="CO59" i="4"/>
  <c r="CO50" i="4"/>
  <c r="CO192" i="3"/>
  <c r="CO62" i="3"/>
  <c r="CO44" i="3"/>
  <c r="CO54" i="3"/>
  <c r="CO77" i="3" l="1"/>
  <c r="CO54" i="4"/>
  <c r="CO64" i="4"/>
  <c r="CO63" i="4"/>
  <c r="CO79" i="3"/>
  <c r="CO60" i="4"/>
  <c r="CO61" i="4" l="1"/>
  <c r="CO62" i="4"/>
  <c r="CO80" i="3"/>
  <c r="CP52" i="4"/>
  <c r="CO10" i="3"/>
  <c r="CO67" i="3" l="1"/>
  <c r="CO195" i="3"/>
  <c r="CO66" i="3"/>
  <c r="CO15" i="3"/>
  <c r="BX73" i="9"/>
  <c r="BX74" i="9" s="1"/>
  <c r="CO50" i="3"/>
  <c r="CO55" i="4"/>
  <c r="CO61" i="3" l="1"/>
  <c r="CO51" i="3"/>
  <c r="CP25" i="1"/>
  <c r="BY74" i="9"/>
  <c r="BY75" i="9" s="1"/>
  <c r="CO199" i="3"/>
  <c r="CO202" i="3" s="1"/>
  <c r="CO56" i="3" s="1"/>
  <c r="CO198" i="3"/>
  <c r="CO201" i="3" s="1"/>
  <c r="CO20" i="3"/>
  <c r="CO68" i="3"/>
  <c r="CO65" i="3"/>
  <c r="CP28" i="1" l="1"/>
  <c r="CQ25" i="1"/>
  <c r="CO45" i="3"/>
  <c r="CO55" i="3"/>
  <c r="CQ28" i="1" l="1"/>
  <c r="CP29" i="1"/>
  <c r="CP30" i="1" s="1"/>
  <c r="CP117" i="1" l="1"/>
  <c r="CP32" i="1"/>
  <c r="CP172" i="3"/>
  <c r="CQ29" i="1"/>
  <c r="CP163" i="3" l="1"/>
  <c r="CP71" i="1"/>
  <c r="CP59" i="1"/>
  <c r="CP37" i="1"/>
  <c r="CP108" i="1"/>
  <c r="CP34" i="1"/>
  <c r="CQ172" i="3"/>
  <c r="CQ58" i="1"/>
  <c r="CQ30" i="1"/>
  <c r="CP70" i="1" l="1"/>
  <c r="CQ117" i="1"/>
  <c r="CQ32" i="1"/>
  <c r="CP170" i="3"/>
  <c r="CP36" i="1"/>
  <c r="CP90" i="3"/>
  <c r="CP10" i="4"/>
  <c r="CP38" i="3"/>
  <c r="CQ115" i="1"/>
  <c r="CP111" i="1"/>
  <c r="CP109" i="1"/>
  <c r="CP103" i="1"/>
  <c r="CQ179" i="3" l="1"/>
  <c r="CQ180" i="3" s="1"/>
  <c r="CQ181" i="3" s="1"/>
  <c r="CQ139" i="3"/>
  <c r="CQ140" i="3" s="1"/>
  <c r="CQ141" i="3" s="1"/>
  <c r="CQ142" i="3" s="1"/>
  <c r="CQ136" i="3" s="1"/>
  <c r="CQ90" i="3"/>
  <c r="CQ94" i="3" s="1"/>
  <c r="CP94" i="3"/>
  <c r="CP40" i="3"/>
  <c r="CP42" i="3" s="1"/>
  <c r="CQ38" i="3"/>
  <c r="CP110" i="1"/>
  <c r="CQ103" i="1"/>
  <c r="CQ110" i="1" s="1"/>
  <c r="CQ163" i="3"/>
  <c r="CQ71" i="1"/>
  <c r="CQ59" i="1"/>
  <c r="CQ34" i="1"/>
  <c r="CQ37" i="1"/>
  <c r="CQ108" i="1"/>
  <c r="CP26" i="4"/>
  <c r="CQ10" i="4"/>
  <c r="CP95" i="3" l="1"/>
  <c r="CP78" i="3"/>
  <c r="CP59" i="4"/>
  <c r="CP50" i="4"/>
  <c r="CQ70" i="1"/>
  <c r="CS88" i="3"/>
  <c r="CW88" i="3"/>
  <c r="CQ170" i="3"/>
  <c r="CQ36" i="1"/>
  <c r="CQ40" i="3"/>
  <c r="CQ42" i="3" s="1"/>
  <c r="CQ26" i="4"/>
  <c r="CQ109" i="1"/>
  <c r="CQ111" i="1"/>
  <c r="CP192" i="3"/>
  <c r="CP62" i="3"/>
  <c r="CP44" i="3"/>
  <c r="CP54" i="3"/>
  <c r="CQ182" i="3"/>
  <c r="CP79" i="3" l="1"/>
  <c r="CP64" i="4"/>
  <c r="CP60" i="4"/>
  <c r="CP63" i="4"/>
  <c r="CQ78" i="3"/>
  <c r="CQ59" i="4"/>
  <c r="CQ50" i="4"/>
  <c r="CQ192" i="3"/>
  <c r="CQ62" i="3"/>
  <c r="CQ44" i="3"/>
  <c r="CQ54" i="3"/>
  <c r="CQ95" i="3"/>
  <c r="CP77" i="3"/>
  <c r="CP54" i="4"/>
  <c r="CQ77" i="3" l="1"/>
  <c r="CQ54" i="4"/>
  <c r="CP10" i="3"/>
  <c r="CQ64" i="4"/>
  <c r="CQ79" i="3"/>
  <c r="CQ63" i="4"/>
  <c r="CQ60" i="4"/>
  <c r="CP62" i="4"/>
  <c r="CP80" i="3"/>
  <c r="CP61" i="4"/>
  <c r="CP195" i="3" l="1"/>
  <c r="CP67" i="3"/>
  <c r="CP15" i="3"/>
  <c r="CP66" i="3"/>
  <c r="CQ10" i="3"/>
  <c r="CP50" i="3"/>
  <c r="CS52" i="4"/>
  <c r="CW52" i="4" s="1"/>
  <c r="CQ80" i="3"/>
  <c r="CQ62" i="4"/>
  <c r="CQ61" i="4"/>
  <c r="CP55" i="4"/>
  <c r="CQ195" i="3" l="1"/>
  <c r="CE73" i="9"/>
  <c r="CQ66" i="3"/>
  <c r="CQ15" i="3"/>
  <c r="CQ67" i="3"/>
  <c r="CA73" i="9"/>
  <c r="CA74" i="9" s="1"/>
  <c r="CQ50" i="3"/>
  <c r="CP65" i="3"/>
  <c r="CP68" i="3"/>
  <c r="CP20" i="3"/>
  <c r="CP198" i="3"/>
  <c r="CP199" i="3"/>
  <c r="CQ55" i="4"/>
  <c r="CP61" i="3"/>
  <c r="CP51" i="3"/>
  <c r="CQ199" i="3" l="1"/>
  <c r="CQ198" i="3"/>
  <c r="CS25" i="1"/>
  <c r="CP202" i="3"/>
  <c r="CP56" i="3" s="1"/>
  <c r="CQ202" i="3"/>
  <c r="CQ56" i="3" s="1"/>
  <c r="CP201" i="3"/>
  <c r="CQ201" i="3"/>
  <c r="CQ68" i="3"/>
  <c r="CQ65" i="3"/>
  <c r="CQ20" i="3"/>
  <c r="CP45" i="3"/>
  <c r="CP55" i="3"/>
  <c r="CQ51" i="3"/>
  <c r="CQ61" i="3"/>
  <c r="CS28" i="1" l="1"/>
  <c r="CQ45" i="3"/>
  <c r="CQ55" i="3"/>
  <c r="CS29" i="1" l="1"/>
  <c r="CS30" i="1" s="1"/>
  <c r="CS117" i="1" l="1"/>
  <c r="CS32" i="1"/>
  <c r="CS172" i="3"/>
  <c r="CS163" i="3" l="1"/>
  <c r="CS71" i="1"/>
  <c r="CS59" i="1"/>
  <c r="CS37" i="1"/>
  <c r="CS108" i="1"/>
  <c r="CS34" i="1"/>
  <c r="CS36" i="1" l="1"/>
  <c r="CS170" i="3"/>
  <c r="CS90" i="3"/>
  <c r="CS10" i="4"/>
  <c r="CS38" i="3"/>
  <c r="CS111" i="1"/>
  <c r="CS103" i="1"/>
  <c r="CS109" i="1"/>
  <c r="CS70" i="1"/>
  <c r="CS110" i="1" l="1"/>
  <c r="CS94" i="3"/>
  <c r="CS40" i="3"/>
  <c r="CS42" i="3" s="1"/>
  <c r="CS26" i="4"/>
  <c r="CS78" i="3" l="1"/>
  <c r="CS59" i="4"/>
  <c r="CS50" i="4"/>
  <c r="CS95" i="3"/>
  <c r="CT88" i="3"/>
  <c r="CS192" i="3"/>
  <c r="CS62" i="3"/>
  <c r="CS44" i="3"/>
  <c r="CS54" i="3"/>
  <c r="CS79" i="3" l="1"/>
  <c r="CS60" i="4"/>
  <c r="CS63" i="4"/>
  <c r="CS64" i="4"/>
  <c r="CS77" i="3"/>
  <c r="CS54" i="4"/>
  <c r="CT52" i="4" l="1"/>
  <c r="CS10" i="3"/>
  <c r="CS62" i="4"/>
  <c r="CS61" i="4"/>
  <c r="CS80" i="3"/>
  <c r="CS67" i="3" l="1"/>
  <c r="CS195" i="3"/>
  <c r="CS15" i="3"/>
  <c r="CS66" i="3"/>
  <c r="CB73" i="9"/>
  <c r="CB74" i="9" s="1"/>
  <c r="CS50" i="3"/>
  <c r="CS55" i="4"/>
  <c r="CS51" i="3" l="1"/>
  <c r="CS61" i="3"/>
  <c r="CS68" i="3"/>
  <c r="CS20" i="3"/>
  <c r="CS65" i="3"/>
  <c r="CT25" i="1"/>
  <c r="CS198" i="3"/>
  <c r="CS201" i="3" s="1"/>
  <c r="CS199" i="3"/>
  <c r="CS202" i="3" s="1"/>
  <c r="CS56" i="3" s="1"/>
  <c r="CT28" i="1" l="1"/>
  <c r="CS45" i="3"/>
  <c r="CS55" i="3"/>
  <c r="CT29" i="1" l="1"/>
  <c r="CT30" i="1" s="1"/>
  <c r="CT117" i="1" l="1"/>
  <c r="CT32" i="1"/>
  <c r="CT172" i="3"/>
  <c r="CT71" i="1" l="1"/>
  <c r="CT59" i="1"/>
  <c r="CT37" i="1"/>
  <c r="CT163" i="3"/>
  <c r="CT108" i="1"/>
  <c r="CT34" i="1"/>
  <c r="CT170" i="3" l="1"/>
  <c r="CT90" i="3"/>
  <c r="CT36" i="1"/>
  <c r="CT10" i="4"/>
  <c r="CT38" i="3"/>
  <c r="CT70" i="1"/>
  <c r="CT111" i="1"/>
  <c r="CT103" i="1"/>
  <c r="CT109" i="1"/>
  <c r="CT94" i="3" l="1"/>
  <c r="CT110" i="1"/>
  <c r="CT40" i="3"/>
  <c r="CT42" i="3" s="1"/>
  <c r="CT26" i="4"/>
  <c r="CT78" i="3" l="1"/>
  <c r="CT59" i="4"/>
  <c r="CT50" i="4"/>
  <c r="CT95" i="3"/>
  <c r="CU88" i="3"/>
  <c r="CT192" i="3"/>
  <c r="CT62" i="3"/>
  <c r="CT44" i="3"/>
  <c r="CT54" i="3"/>
  <c r="CT60" i="4" l="1"/>
  <c r="CT63" i="4"/>
  <c r="CT79" i="3"/>
  <c r="CT64" i="4"/>
  <c r="CT77" i="3"/>
  <c r="CT54" i="4"/>
  <c r="CT80" i="3" l="1"/>
  <c r="CT62" i="4"/>
  <c r="CT61" i="4"/>
  <c r="CU52" i="4"/>
  <c r="CT10" i="3"/>
  <c r="CT55" i="4" s="1"/>
  <c r="CT66" i="3" l="1"/>
  <c r="CT67" i="3"/>
  <c r="CT195" i="3"/>
  <c r="CT15" i="3"/>
  <c r="CC73" i="9"/>
  <c r="CC74" i="9" s="1"/>
  <c r="CT50" i="3"/>
  <c r="CT199" i="3" l="1"/>
  <c r="CT202" i="3" s="1"/>
  <c r="CT56" i="3" s="1"/>
  <c r="CT198" i="3"/>
  <c r="CT201" i="3" s="1"/>
  <c r="CT51" i="3"/>
  <c r="CT61" i="3"/>
  <c r="CU25" i="1"/>
  <c r="CT68" i="3"/>
  <c r="CT65" i="3"/>
  <c r="CT20" i="3"/>
  <c r="CT45" i="3" l="1"/>
  <c r="CT55" i="3"/>
  <c r="CU28" i="1"/>
  <c r="CU29" i="1" l="1"/>
  <c r="CU30" i="1" s="1"/>
  <c r="CU117" i="1" l="1"/>
  <c r="CU32" i="1"/>
  <c r="CU172" i="3"/>
  <c r="CU59" i="1" l="1"/>
  <c r="CU71" i="1"/>
  <c r="CU37" i="1"/>
  <c r="CU163" i="3"/>
  <c r="CU108" i="1"/>
  <c r="CU34" i="1"/>
  <c r="CU111" i="1" l="1"/>
  <c r="CU109" i="1"/>
  <c r="CU103" i="1"/>
  <c r="CU70" i="1"/>
  <c r="CU90" i="3"/>
  <c r="CU36" i="1"/>
  <c r="CU170" i="3"/>
  <c r="CU10" i="4"/>
  <c r="CU38" i="3"/>
  <c r="CU40" i="3" l="1"/>
  <c r="CU42" i="3" s="1"/>
  <c r="CU110" i="1"/>
  <c r="CU26" i="4"/>
  <c r="CU94" i="3"/>
  <c r="CV88" i="3" l="1"/>
  <c r="CU95" i="3"/>
  <c r="CU78" i="3"/>
  <c r="CU59" i="4"/>
  <c r="CU50" i="4"/>
  <c r="CU192" i="3"/>
  <c r="CU62" i="3"/>
  <c r="CU44" i="3"/>
  <c r="CU54" i="3"/>
  <c r="CU77" i="3" l="1"/>
  <c r="CU54" i="4"/>
  <c r="CU64" i="4"/>
  <c r="CU79" i="3"/>
  <c r="CU63" i="4"/>
  <c r="CU60" i="4"/>
  <c r="CV52" i="4" l="1"/>
  <c r="CU10" i="3"/>
  <c r="CU62" i="4"/>
  <c r="CU80" i="3"/>
  <c r="CU61" i="4"/>
  <c r="CU67" i="3" l="1"/>
  <c r="CU15" i="3"/>
  <c r="CU66" i="3"/>
  <c r="CU195" i="3"/>
  <c r="CD73" i="9"/>
  <c r="CD74" i="9" s="1"/>
  <c r="CU50" i="3"/>
  <c r="CU55" i="4"/>
  <c r="CU51" i="3" l="1"/>
  <c r="CU61" i="3"/>
  <c r="CU65" i="3"/>
  <c r="CU20" i="3"/>
  <c r="CU68" i="3"/>
  <c r="CV25" i="1"/>
  <c r="CE74" i="9"/>
  <c r="CE75" i="9" s="1"/>
  <c r="CU198" i="3"/>
  <c r="CU201" i="3" s="1"/>
  <c r="CU199" i="3"/>
  <c r="CU202" i="3" s="1"/>
  <c r="CU56" i="3" s="1"/>
  <c r="CV28" i="1" l="1"/>
  <c r="CW25" i="1"/>
  <c r="CU45" i="3"/>
  <c r="CU55" i="3"/>
  <c r="CW28" i="1" l="1"/>
  <c r="CV29" i="1"/>
  <c r="CV172" i="3" l="1"/>
  <c r="CW29" i="1"/>
  <c r="CV30" i="1"/>
  <c r="CV117" i="1" l="1"/>
  <c r="CV32" i="1"/>
  <c r="CW172" i="3"/>
  <c r="CW58" i="1"/>
  <c r="CW30" i="1"/>
  <c r="CW117" i="1" l="1"/>
  <c r="CW32" i="1"/>
  <c r="CV163" i="3"/>
  <c r="CV59" i="1"/>
  <c r="CV71" i="1"/>
  <c r="CV37" i="1"/>
  <c r="CV34" i="1"/>
  <c r="CV108" i="1"/>
  <c r="CW115" i="1"/>
  <c r="CW139" i="3" l="1"/>
  <c r="CW140" i="3" s="1"/>
  <c r="CW141" i="3" s="1"/>
  <c r="CW142" i="3" s="1"/>
  <c r="CW136" i="3" s="1"/>
  <c r="CW179" i="3"/>
  <c r="CW180" i="3" s="1"/>
  <c r="CW181" i="3" s="1"/>
  <c r="CV111" i="1"/>
  <c r="CV109" i="1"/>
  <c r="CV103" i="1"/>
  <c r="CW59" i="1"/>
  <c r="CW163" i="3"/>
  <c r="CW71" i="1"/>
  <c r="CW37" i="1"/>
  <c r="CW34" i="1"/>
  <c r="CW108" i="1"/>
  <c r="CV90" i="3"/>
  <c r="CV36" i="1"/>
  <c r="CV170" i="3"/>
  <c r="CV10" i="4"/>
  <c r="CV38" i="3"/>
  <c r="CV70" i="1"/>
  <c r="CW109" i="1" l="1"/>
  <c r="CW111" i="1"/>
  <c r="CW90" i="3"/>
  <c r="CW94" i="3" s="1"/>
  <c r="CV94" i="3"/>
  <c r="CV40" i="3"/>
  <c r="CV42" i="3" s="1"/>
  <c r="CW38" i="3"/>
  <c r="CV26" i="4"/>
  <c r="CW10" i="4"/>
  <c r="CW170" i="3"/>
  <c r="CW36" i="1"/>
  <c r="CV110" i="1"/>
  <c r="CW103" i="1"/>
  <c r="CW110" i="1" s="1"/>
  <c r="CW182" i="3"/>
  <c r="CW70" i="1"/>
  <c r="CV95" i="3" l="1"/>
  <c r="CW40" i="3"/>
  <c r="CW42" i="3" s="1"/>
  <c r="CV192" i="3"/>
  <c r="CV62" i="3"/>
  <c r="CV44" i="3"/>
  <c r="CV54" i="3"/>
  <c r="CY88" i="3"/>
  <c r="DC88" i="3"/>
  <c r="CW26" i="4"/>
  <c r="CV78" i="3"/>
  <c r="CV59" i="4"/>
  <c r="CV50" i="4"/>
  <c r="CW95" i="3" l="1"/>
  <c r="CW78" i="3"/>
  <c r="CW59" i="4"/>
  <c r="CW50" i="4"/>
  <c r="CV79" i="3"/>
  <c r="CV63" i="4"/>
  <c r="CV64" i="4"/>
  <c r="CV60" i="4"/>
  <c r="CV77" i="3"/>
  <c r="CV54" i="4"/>
  <c r="CW192" i="3"/>
  <c r="CW62" i="3"/>
  <c r="CW44" i="3"/>
  <c r="CW54" i="3"/>
  <c r="CW77" i="3" l="1"/>
  <c r="CW54" i="4"/>
  <c r="CW63" i="4"/>
  <c r="CW64" i="4"/>
  <c r="CW79" i="3"/>
  <c r="CW60" i="4"/>
  <c r="CV80" i="3"/>
  <c r="CV62" i="4"/>
  <c r="CV61" i="4"/>
  <c r="CV10" i="3"/>
  <c r="CV55" i="4" s="1"/>
  <c r="CV66" i="3" l="1"/>
  <c r="CV195" i="3"/>
  <c r="CV67" i="3"/>
  <c r="CV15" i="3"/>
  <c r="CW10" i="3"/>
  <c r="CW55" i="4" s="1"/>
  <c r="CV50" i="3"/>
  <c r="CY52" i="4"/>
  <c r="DC52" i="4" s="1"/>
  <c r="CW61" i="4"/>
  <c r="CW80" i="3"/>
  <c r="CW62" i="4"/>
  <c r="CV51" i="3" l="1"/>
  <c r="CV61" i="3"/>
  <c r="CW67" i="3"/>
  <c r="CW195" i="3"/>
  <c r="CK73" i="9"/>
  <c r="CW66" i="3"/>
  <c r="CW15" i="3"/>
  <c r="CG73" i="9"/>
  <c r="CG74" i="9" s="1"/>
  <c r="CW50" i="3"/>
  <c r="CV198" i="3"/>
  <c r="CV199" i="3"/>
  <c r="CV65" i="3"/>
  <c r="CV68" i="3"/>
  <c r="CV20" i="3"/>
  <c r="CV201" i="3" l="1"/>
  <c r="CW201" i="3"/>
  <c r="CW61" i="3"/>
  <c r="CW51" i="3"/>
  <c r="CY25" i="1"/>
  <c r="CV45" i="3"/>
  <c r="CV55" i="3"/>
  <c r="CV202" i="3"/>
  <c r="CV56" i="3" s="1"/>
  <c r="CW202" i="3"/>
  <c r="CW56" i="3" s="1"/>
  <c r="CW68" i="3"/>
  <c r="CW65" i="3"/>
  <c r="CW20" i="3"/>
  <c r="CW199" i="3"/>
  <c r="CW198" i="3"/>
  <c r="CY28" i="1" l="1"/>
  <c r="CW45" i="3"/>
  <c r="CW55" i="3"/>
  <c r="CY29" i="1" l="1"/>
  <c r="CY30" i="1" s="1"/>
  <c r="CY117" i="1" l="1"/>
  <c r="CY32" i="1"/>
  <c r="CY172" i="3"/>
  <c r="CY59" i="1" l="1"/>
  <c r="CY163" i="3"/>
  <c r="CY71" i="1"/>
  <c r="CY37" i="1"/>
  <c r="CY108" i="1"/>
  <c r="CY34" i="1"/>
  <c r="CY170" i="3" l="1"/>
  <c r="CY90" i="3"/>
  <c r="CY36" i="1"/>
  <c r="CY10" i="4"/>
  <c r="CY38" i="3"/>
  <c r="CY70" i="1"/>
  <c r="CY111" i="1"/>
  <c r="CY109" i="1"/>
  <c r="CY103" i="1"/>
  <c r="CY110" i="1" l="1"/>
  <c r="CY94" i="3"/>
  <c r="CY40" i="3"/>
  <c r="CY42" i="3" s="1"/>
  <c r="CY26" i="4"/>
  <c r="CY95" i="3" l="1"/>
  <c r="CZ88" i="3"/>
  <c r="CY78" i="3"/>
  <c r="CY59" i="4"/>
  <c r="CY50" i="4"/>
  <c r="CY192" i="3"/>
  <c r="CY62" i="3"/>
  <c r="CY44" i="3"/>
  <c r="CY54" i="3"/>
  <c r="CY77" i="3" l="1"/>
  <c r="CY54" i="4"/>
  <c r="CY63" i="4"/>
  <c r="CY79" i="3"/>
  <c r="CY60" i="4"/>
  <c r="CY64" i="4"/>
  <c r="CZ52" i="4" l="1"/>
  <c r="CY10" i="3"/>
  <c r="CY80" i="3"/>
  <c r="CY61" i="4"/>
  <c r="CY62" i="4"/>
  <c r="CY66" i="3" l="1"/>
  <c r="CY67" i="3"/>
  <c r="CY15" i="3"/>
  <c r="CY195" i="3"/>
  <c r="CH73" i="9"/>
  <c r="CH74" i="9" s="1"/>
  <c r="CY50" i="3"/>
  <c r="CY55" i="4"/>
  <c r="CY198" i="3" l="1"/>
  <c r="CY201" i="3" s="1"/>
  <c r="CY199" i="3"/>
  <c r="CY202" i="3" s="1"/>
  <c r="CY56" i="3" s="1"/>
  <c r="CY61" i="3"/>
  <c r="CY51" i="3"/>
  <c r="CY65" i="3"/>
  <c r="CY68" i="3"/>
  <c r="CY20" i="3"/>
  <c r="CZ25" i="1"/>
  <c r="CZ28" i="1" l="1"/>
  <c r="CY45" i="3"/>
  <c r="CY55" i="3"/>
  <c r="CZ29" i="1" l="1"/>
  <c r="CZ30" i="1" s="1"/>
  <c r="CZ117" i="1" l="1"/>
  <c r="CZ32" i="1"/>
  <c r="CZ172" i="3"/>
  <c r="CZ59" i="1" l="1"/>
  <c r="CZ71" i="1"/>
  <c r="CZ163" i="3"/>
  <c r="CZ37" i="1"/>
  <c r="CZ108" i="1"/>
  <c r="CZ34" i="1"/>
  <c r="CZ170" i="3" l="1"/>
  <c r="CZ90" i="3"/>
  <c r="CZ36" i="1"/>
  <c r="CZ10" i="4"/>
  <c r="CZ38" i="3"/>
  <c r="CZ109" i="1"/>
  <c r="CZ111" i="1"/>
  <c r="CZ103" i="1"/>
  <c r="CZ70" i="1"/>
  <c r="CZ94" i="3" l="1"/>
  <c r="CZ40" i="3"/>
  <c r="CZ42" i="3" s="1"/>
  <c r="CZ110" i="1"/>
  <c r="CZ26" i="4"/>
  <c r="CZ78" i="3" l="1"/>
  <c r="CZ59" i="4"/>
  <c r="CZ50" i="4"/>
  <c r="CZ192" i="3"/>
  <c r="CZ62" i="3"/>
  <c r="CZ44" i="3"/>
  <c r="CZ54" i="3"/>
  <c r="CZ95" i="3"/>
  <c r="DA88" i="3"/>
  <c r="CZ64" i="4" l="1"/>
  <c r="CZ63" i="4"/>
  <c r="CZ79" i="3"/>
  <c r="CZ60" i="4"/>
  <c r="CZ77" i="3"/>
  <c r="CZ54" i="4"/>
  <c r="DA52" i="4" l="1"/>
  <c r="CZ10" i="3"/>
  <c r="CZ62" i="4"/>
  <c r="CZ80" i="3"/>
  <c r="CZ61" i="4"/>
  <c r="CZ195" i="3" l="1"/>
  <c r="CZ66" i="3"/>
  <c r="CZ67" i="3"/>
  <c r="CZ15" i="3"/>
  <c r="CI73" i="9"/>
  <c r="CI74" i="9" s="1"/>
  <c r="CZ50" i="3"/>
  <c r="CZ55" i="4"/>
  <c r="CZ51" i="3" l="1"/>
  <c r="CZ61" i="3"/>
  <c r="DA25" i="1"/>
  <c r="CZ68" i="3"/>
  <c r="CZ65" i="3"/>
  <c r="CZ20" i="3"/>
  <c r="CZ199" i="3"/>
  <c r="CZ202" i="3" s="1"/>
  <c r="CZ56" i="3" s="1"/>
  <c r="CZ198" i="3"/>
  <c r="CZ201" i="3" s="1"/>
  <c r="DA28" i="1" l="1"/>
  <c r="CZ45" i="3"/>
  <c r="CZ55" i="3"/>
  <c r="DA29" i="1" l="1"/>
  <c r="DA30" i="1" s="1"/>
  <c r="DA117" i="1" l="1"/>
  <c r="DA32" i="1"/>
  <c r="DA172" i="3"/>
  <c r="DA163" i="3" l="1"/>
  <c r="DA71" i="1"/>
  <c r="DA108" i="1"/>
  <c r="DA59" i="1"/>
  <c r="DA37" i="1"/>
  <c r="DA34" i="1"/>
  <c r="DA70" i="1" l="1"/>
  <c r="DA170" i="3"/>
  <c r="DA36" i="1"/>
  <c r="DA90" i="3"/>
  <c r="DA10" i="4"/>
  <c r="DA38" i="3"/>
  <c r="DA109" i="1"/>
  <c r="DA111" i="1"/>
  <c r="DA103" i="1"/>
  <c r="DA40" i="3" l="1"/>
  <c r="DA42" i="3" s="1"/>
  <c r="DA110" i="1"/>
  <c r="DA26" i="4"/>
  <c r="DA94" i="3"/>
  <c r="DA95" i="3" l="1"/>
  <c r="DB88" i="3"/>
  <c r="DA78" i="3"/>
  <c r="DA59" i="4"/>
  <c r="DA50" i="4"/>
  <c r="DA192" i="3"/>
  <c r="DA62" i="3"/>
  <c r="DA44" i="3"/>
  <c r="DA54" i="3"/>
  <c r="DA77" i="3" l="1"/>
  <c r="DA54" i="4"/>
  <c r="DA79" i="3"/>
  <c r="DA63" i="4"/>
  <c r="DA64" i="4"/>
  <c r="DA60" i="4"/>
  <c r="DB52" i="4" l="1"/>
  <c r="DA10" i="3"/>
  <c r="DA55" i="4" s="1"/>
  <c r="DA62" i="4"/>
  <c r="DA80" i="3"/>
  <c r="DA61" i="4"/>
  <c r="DA195" i="3" l="1"/>
  <c r="DA67" i="3"/>
  <c r="DA66" i="3"/>
  <c r="DA15" i="3"/>
  <c r="CJ73" i="9"/>
  <c r="CJ74" i="9" s="1"/>
  <c r="DA50" i="3"/>
  <c r="DA65" i="3" l="1"/>
  <c r="DA20" i="3"/>
  <c r="DA68" i="3"/>
  <c r="DA51" i="3"/>
  <c r="DA61" i="3"/>
  <c r="DB25" i="1"/>
  <c r="CK74" i="9"/>
  <c r="CK75" i="9" s="1"/>
  <c r="DA198" i="3"/>
  <c r="DA201" i="3" s="1"/>
  <c r="DA199" i="3"/>
  <c r="DA202" i="3" s="1"/>
  <c r="DA56" i="3" s="1"/>
  <c r="DB28" i="1" l="1"/>
  <c r="DC25" i="1"/>
  <c r="DA45" i="3"/>
  <c r="DA55" i="3"/>
  <c r="DC28" i="1" l="1"/>
  <c r="DB29" i="1"/>
  <c r="DB30" i="1" s="1"/>
  <c r="DB117" i="1" l="1"/>
  <c r="DB32" i="1"/>
  <c r="DB172" i="3"/>
  <c r="DC29" i="1"/>
  <c r="DB163" i="3" l="1"/>
  <c r="DB59" i="1"/>
  <c r="DB108" i="1"/>
  <c r="DB71" i="1"/>
  <c r="DB37" i="1"/>
  <c r="DB34" i="1"/>
  <c r="DC172" i="3"/>
  <c r="DC58" i="1"/>
  <c r="DC115" i="1" s="1"/>
  <c r="DC30" i="1"/>
  <c r="DB70" i="1" l="1"/>
  <c r="DC117" i="1"/>
  <c r="DC32" i="1"/>
  <c r="DB90" i="3"/>
  <c r="DB170" i="3"/>
  <c r="DB36" i="1"/>
  <c r="DB10" i="4"/>
  <c r="DB38" i="3"/>
  <c r="DB109" i="1"/>
  <c r="DB111" i="1"/>
  <c r="DB103" i="1"/>
  <c r="DC139" i="3"/>
  <c r="DC140" i="3" s="1"/>
  <c r="DC141" i="3" s="1"/>
  <c r="DC142" i="3" s="1"/>
  <c r="DC136" i="3" s="1"/>
  <c r="DC179" i="3"/>
  <c r="DC180" i="3" s="1"/>
  <c r="DC181" i="3" s="1"/>
  <c r="DC59" i="1" l="1"/>
  <c r="DC71" i="1"/>
  <c r="DC108" i="1"/>
  <c r="DC163" i="3"/>
  <c r="DC34" i="1"/>
  <c r="DC37" i="1"/>
  <c r="DC182" i="3"/>
  <c r="DB40" i="3"/>
  <c r="DB42" i="3" s="1"/>
  <c r="DC38" i="3"/>
  <c r="DB110" i="1"/>
  <c r="DC103" i="1"/>
  <c r="DC110" i="1" s="1"/>
  <c r="DB26" i="4"/>
  <c r="DC10" i="4"/>
  <c r="DC26" i="4" s="1"/>
  <c r="DC90" i="3"/>
  <c r="DC94" i="3" s="1"/>
  <c r="DB94" i="3"/>
  <c r="DB95" i="3" l="1"/>
  <c r="DC78" i="3"/>
  <c r="DC59" i="4"/>
  <c r="DC50" i="4"/>
  <c r="DC40" i="3"/>
  <c r="DC42" i="3" s="1"/>
  <c r="DC170" i="3"/>
  <c r="DC36" i="1"/>
  <c r="DB59" i="4"/>
  <c r="DB78" i="3"/>
  <c r="DB50" i="4"/>
  <c r="DB192" i="3"/>
  <c r="DB62" i="3"/>
  <c r="DB44" i="3"/>
  <c r="DB54" i="3"/>
  <c r="DC70" i="1"/>
  <c r="DI88" i="3"/>
  <c r="DE88" i="3"/>
  <c r="DC109" i="1"/>
  <c r="DC111" i="1"/>
  <c r="DC95" i="3" l="1"/>
  <c r="DC192" i="3"/>
  <c r="DC62" i="3"/>
  <c r="DC44" i="3"/>
  <c r="DC54" i="3"/>
  <c r="DB77" i="3"/>
  <c r="DB54" i="4"/>
  <c r="DC77" i="3"/>
  <c r="DC54" i="4"/>
  <c r="DB64" i="4"/>
  <c r="DB79" i="3"/>
  <c r="DB63" i="4"/>
  <c r="DB60" i="4"/>
  <c r="DC79" i="3"/>
  <c r="DC63" i="4"/>
  <c r="DC64" i="4"/>
  <c r="DC60" i="4"/>
  <c r="DC80" i="3" l="1"/>
  <c r="DC62" i="4"/>
  <c r="DC61" i="4"/>
  <c r="DB62" i="4"/>
  <c r="DB61" i="4"/>
  <c r="DB80" i="3"/>
  <c r="DB10" i="3"/>
  <c r="DB55" i="4" s="1"/>
  <c r="DE52" i="4"/>
  <c r="DI52" i="4" s="1"/>
  <c r="DB66" i="3" l="1"/>
  <c r="DB195" i="3"/>
  <c r="DB67" i="3"/>
  <c r="DB15" i="3"/>
  <c r="DC10" i="3"/>
  <c r="DB50" i="3"/>
  <c r="DB61" i="3" l="1"/>
  <c r="DB51" i="3"/>
  <c r="DC67" i="3"/>
  <c r="DC195" i="3"/>
  <c r="DC66" i="3"/>
  <c r="CQ73" i="9"/>
  <c r="DC15" i="3"/>
  <c r="CM73" i="9"/>
  <c r="CM74" i="9" s="1"/>
  <c r="DC50" i="3"/>
  <c r="DC55" i="4"/>
  <c r="DB198" i="3"/>
  <c r="DB199" i="3"/>
  <c r="DB68" i="3"/>
  <c r="DB65" i="3"/>
  <c r="DB20" i="3"/>
  <c r="DC51" i="3" l="1"/>
  <c r="DC61" i="3"/>
  <c r="DB45" i="3"/>
  <c r="DB55" i="3"/>
  <c r="DB202" i="3"/>
  <c r="DB56" i="3" s="1"/>
  <c r="DC202" i="3"/>
  <c r="DC56" i="3" s="1"/>
  <c r="DE25" i="1"/>
  <c r="DC199" i="3"/>
  <c r="DC198" i="3"/>
  <c r="DB201" i="3"/>
  <c r="DC201" i="3"/>
  <c r="DC65" i="3"/>
  <c r="DC68" i="3"/>
  <c r="DC20" i="3"/>
  <c r="DC45" i="3" l="1"/>
  <c r="DC55" i="3"/>
  <c r="DE28" i="1"/>
  <c r="DE29" i="1" l="1"/>
  <c r="DE30" i="1" s="1"/>
  <c r="DE117" i="1" l="1"/>
  <c r="DE32" i="1"/>
  <c r="DE172" i="3"/>
  <c r="DE59" i="1" l="1"/>
  <c r="DE37" i="1"/>
  <c r="DE71" i="1"/>
  <c r="DE163" i="3"/>
  <c r="DE108" i="1"/>
  <c r="DE34" i="1"/>
  <c r="DE111" i="1" l="1"/>
  <c r="DE109" i="1"/>
  <c r="DE103" i="1"/>
  <c r="DE70" i="1"/>
  <c r="DE36" i="1"/>
  <c r="DE170" i="3"/>
  <c r="DE90" i="3"/>
  <c r="DE10" i="4"/>
  <c r="DE38" i="3"/>
  <c r="DE40" i="3" l="1"/>
  <c r="DE42" i="3" s="1"/>
  <c r="DE110" i="1"/>
  <c r="DE26" i="4"/>
  <c r="DE94" i="3"/>
  <c r="DE95" i="3" l="1"/>
  <c r="DF88" i="3"/>
  <c r="DE192" i="3"/>
  <c r="DE62" i="3"/>
  <c r="DE44" i="3"/>
  <c r="DE54" i="3"/>
  <c r="DE78" i="3"/>
  <c r="DE59" i="4"/>
  <c r="DE50" i="4"/>
  <c r="DE77" i="3" l="1"/>
  <c r="DE54" i="4"/>
  <c r="DE63" i="4"/>
  <c r="DE79" i="3"/>
  <c r="DE64" i="4"/>
  <c r="DE60" i="4"/>
  <c r="DF52" i="4" l="1"/>
  <c r="DE10" i="3"/>
  <c r="DE80" i="3"/>
  <c r="DE61" i="4"/>
  <c r="DE62" i="4"/>
  <c r="DE66" i="3" l="1"/>
  <c r="DE15" i="3"/>
  <c r="DE67" i="3"/>
  <c r="CN73" i="9"/>
  <c r="CN74" i="9" s="1"/>
  <c r="DE195" i="3"/>
  <c r="DE50" i="3"/>
  <c r="DE55" i="4"/>
  <c r="DE51" i="3" l="1"/>
  <c r="DE61" i="3"/>
  <c r="DE68" i="3"/>
  <c r="DE65" i="3"/>
  <c r="DE20" i="3"/>
  <c r="DE199" i="3"/>
  <c r="DE202" i="3" s="1"/>
  <c r="DE56" i="3" s="1"/>
  <c r="DE198" i="3"/>
  <c r="DE201" i="3" s="1"/>
  <c r="DF25" i="1"/>
  <c r="DE45" i="3" l="1"/>
  <c r="DE55" i="3"/>
  <c r="DF28" i="1"/>
  <c r="DF29" i="1" l="1"/>
  <c r="DF30" i="1" s="1"/>
  <c r="DF117" i="1" l="1"/>
  <c r="DF32" i="1"/>
  <c r="DF172" i="3"/>
  <c r="DF59" i="1" l="1"/>
  <c r="DF37" i="1"/>
  <c r="DF163" i="3"/>
  <c r="DF71" i="1"/>
  <c r="DF34" i="1"/>
  <c r="DF108" i="1"/>
  <c r="DF111" i="1" l="1"/>
  <c r="DF109" i="1"/>
  <c r="DF103" i="1"/>
  <c r="DF170" i="3"/>
  <c r="DF90" i="3"/>
  <c r="DF36" i="1"/>
  <c r="DF10" i="4"/>
  <c r="DF38" i="3"/>
  <c r="DF70" i="1"/>
  <c r="DF26" i="4" l="1"/>
  <c r="DF110" i="1"/>
  <c r="DF94" i="3"/>
  <c r="DF40" i="3"/>
  <c r="DF42" i="3" s="1"/>
  <c r="DF192" i="3" l="1"/>
  <c r="DF62" i="3"/>
  <c r="DF44" i="3"/>
  <c r="DF54" i="3"/>
  <c r="DG88" i="3"/>
  <c r="DF95" i="3"/>
  <c r="DF59" i="4"/>
  <c r="DF78" i="3"/>
  <c r="DF50" i="4"/>
  <c r="DF77" i="3" l="1"/>
  <c r="DF54" i="4"/>
  <c r="DF79" i="3"/>
  <c r="DF63" i="4"/>
  <c r="DF60" i="4"/>
  <c r="DF64" i="4"/>
  <c r="DF62" i="4" l="1"/>
  <c r="DF80" i="3"/>
  <c r="DF61" i="4"/>
  <c r="DG52" i="4"/>
  <c r="DF10" i="3"/>
  <c r="DF195" i="3" l="1"/>
  <c r="DF67" i="3"/>
  <c r="DF15" i="3"/>
  <c r="DF66" i="3"/>
  <c r="CO73" i="9"/>
  <c r="CO74" i="9" s="1"/>
  <c r="DF50" i="3"/>
  <c r="DF55" i="4"/>
  <c r="DF68" i="3" l="1"/>
  <c r="DF20" i="3"/>
  <c r="DF65" i="3"/>
  <c r="DF61" i="3"/>
  <c r="DF51" i="3"/>
  <c r="DG25" i="1"/>
  <c r="DF199" i="3"/>
  <c r="DF202" i="3" s="1"/>
  <c r="DF56" i="3" s="1"/>
  <c r="DF198" i="3"/>
  <c r="DF201" i="3" s="1"/>
  <c r="DG28" i="1" l="1"/>
  <c r="DF45" i="3"/>
  <c r="DF55" i="3"/>
  <c r="DG29" i="1" l="1"/>
  <c r="DG30" i="1" s="1"/>
  <c r="DG117" i="1" l="1"/>
  <c r="DG32" i="1"/>
  <c r="DG172" i="3"/>
  <c r="DG59" i="1" l="1"/>
  <c r="DG71" i="1"/>
  <c r="DG108" i="1"/>
  <c r="DG163" i="3"/>
  <c r="DG37" i="1"/>
  <c r="DG34" i="1"/>
  <c r="DG70" i="1" l="1"/>
  <c r="DG170" i="3"/>
  <c r="DG90" i="3"/>
  <c r="DG10" i="4"/>
  <c r="DG36" i="1"/>
  <c r="DG38" i="3"/>
  <c r="DG111" i="1"/>
  <c r="DG109" i="1"/>
  <c r="DG103" i="1"/>
  <c r="DG40" i="3" l="1"/>
  <c r="DG42" i="3" s="1"/>
  <c r="DG110" i="1"/>
  <c r="DG26" i="4"/>
  <c r="DG94" i="3"/>
  <c r="DG95" i="3" l="1"/>
  <c r="DH88" i="3"/>
  <c r="DG192" i="3"/>
  <c r="DG62" i="3"/>
  <c r="DG44" i="3"/>
  <c r="DG54" i="3"/>
  <c r="DG78" i="3"/>
  <c r="DG59" i="4"/>
  <c r="DG50" i="4"/>
  <c r="DG77" i="3" l="1"/>
  <c r="DG54" i="4"/>
  <c r="DG64" i="4"/>
  <c r="DG79" i="3"/>
  <c r="DG60" i="4"/>
  <c r="DG63" i="4"/>
  <c r="DH52" i="4" l="1"/>
  <c r="DG10" i="3"/>
  <c r="DG80" i="3"/>
  <c r="DG62" i="4"/>
  <c r="DG61" i="4"/>
  <c r="DG67" i="3" l="1"/>
  <c r="DG195" i="3"/>
  <c r="DG66" i="3"/>
  <c r="CP73" i="9"/>
  <c r="CP74" i="9" s="1"/>
  <c r="DG15" i="3"/>
  <c r="DG50" i="3"/>
  <c r="DG55" i="4"/>
  <c r="DH25" i="1" l="1"/>
  <c r="CQ74" i="9"/>
  <c r="CQ75" i="9" s="1"/>
  <c r="DG51" i="3"/>
  <c r="DG61" i="3"/>
  <c r="DG68" i="3"/>
  <c r="DG65" i="3"/>
  <c r="DG20" i="3"/>
  <c r="DG198" i="3"/>
  <c r="DG201" i="3" s="1"/>
  <c r="DG199" i="3"/>
  <c r="DG202" i="3" s="1"/>
  <c r="DG56" i="3" s="1"/>
  <c r="DG45" i="3" l="1"/>
  <c r="DG55" i="3"/>
  <c r="DH28" i="1"/>
  <c r="DI25" i="1"/>
  <c r="DI28" i="1" l="1"/>
  <c r="DH29" i="1"/>
  <c r="DH172" i="3" l="1"/>
  <c r="DI29" i="1"/>
  <c r="DI30" i="1" s="1"/>
  <c r="DH30" i="1"/>
  <c r="DI32" i="1" l="1"/>
  <c r="DI117" i="1"/>
  <c r="DI172" i="3"/>
  <c r="DI58" i="1"/>
  <c r="DI115" i="1" s="1"/>
  <c r="DH117" i="1"/>
  <c r="DH32" i="1"/>
  <c r="DH71" i="1" l="1"/>
  <c r="DH163" i="3"/>
  <c r="DH59" i="1"/>
  <c r="DH37" i="1"/>
  <c r="DH108" i="1"/>
  <c r="DH34" i="1"/>
  <c r="DI179" i="3"/>
  <c r="DI180" i="3" s="1"/>
  <c r="DI181" i="3" s="1"/>
  <c r="DI139" i="3"/>
  <c r="DI140" i="3" s="1"/>
  <c r="DI141" i="3" s="1"/>
  <c r="DI142" i="3" s="1"/>
  <c r="DI136" i="3" s="1"/>
  <c r="DI59" i="1"/>
  <c r="DI71" i="1"/>
  <c r="DI108" i="1"/>
  <c r="DI163" i="3"/>
  <c r="DI34" i="1"/>
  <c r="DI37" i="1"/>
  <c r="DI170" i="3" l="1"/>
  <c r="DI36" i="1"/>
  <c r="DH70" i="1"/>
  <c r="DI182" i="3"/>
  <c r="DH170" i="3"/>
  <c r="DH36" i="1"/>
  <c r="DH90" i="3"/>
  <c r="DH10" i="4"/>
  <c r="DH38" i="3"/>
  <c r="DI70" i="1"/>
  <c r="DI111" i="1"/>
  <c r="DI109" i="1"/>
  <c r="DH111" i="1"/>
  <c r="DH109" i="1"/>
  <c r="DH103" i="1"/>
  <c r="DI90" i="3" l="1"/>
  <c r="DI94" i="3" s="1"/>
  <c r="DH94" i="3"/>
  <c r="DI38" i="3"/>
  <c r="DI40" i="3" s="1"/>
  <c r="DI42" i="3" s="1"/>
  <c r="DH40" i="3"/>
  <c r="DH42" i="3" s="1"/>
  <c r="DH110" i="1"/>
  <c r="DI103" i="1"/>
  <c r="DI110" i="1" s="1"/>
  <c r="DH26" i="4"/>
  <c r="DI10" i="4"/>
  <c r="DI26" i="4" s="1"/>
  <c r="DI78" i="3" l="1"/>
  <c r="DI59" i="4"/>
  <c r="DI50" i="4"/>
  <c r="DH192" i="3"/>
  <c r="DH62" i="3"/>
  <c r="DH44" i="3"/>
  <c r="DH54" i="3"/>
  <c r="DH78" i="3"/>
  <c r="DH50" i="4"/>
  <c r="DH59" i="4"/>
  <c r="DI192" i="3"/>
  <c r="DI62" i="3"/>
  <c r="DI44" i="3"/>
  <c r="DI54" i="3"/>
  <c r="DH95" i="3"/>
  <c r="DI95" i="3"/>
  <c r="DH63" i="4" l="1"/>
  <c r="DH79" i="3"/>
  <c r="DH64" i="4"/>
  <c r="DH60" i="4"/>
  <c r="DH77" i="3"/>
  <c r="DH54" i="4"/>
  <c r="DI77" i="3"/>
  <c r="DI54" i="4"/>
  <c r="DI63" i="4"/>
  <c r="DI64" i="4"/>
  <c r="DI60" i="4"/>
  <c r="DI79" i="3"/>
  <c r="DI62" i="4" l="1"/>
  <c r="DI80" i="3"/>
  <c r="DI61" i="4"/>
  <c r="DH10" i="3"/>
  <c r="DH55" i="4" s="1"/>
  <c r="DH80" i="3"/>
  <c r="DH61" i="4"/>
  <c r="DH62" i="4"/>
  <c r="DH66" i="3" l="1"/>
  <c r="DH67" i="3"/>
  <c r="DH195" i="3"/>
  <c r="DI10" i="3"/>
  <c r="DH15" i="3"/>
  <c r="DH50" i="3"/>
  <c r="DH61" i="3" l="1"/>
  <c r="DH51" i="3"/>
  <c r="DH199" i="3"/>
  <c r="DH198" i="3"/>
  <c r="DH65" i="3"/>
  <c r="DH68" i="3"/>
  <c r="DH20" i="3"/>
  <c r="DI67" i="3"/>
  <c r="DI66" i="3"/>
  <c r="DI195" i="3"/>
  <c r="DI15" i="3"/>
  <c r="DI50" i="3"/>
  <c r="DI55" i="4"/>
  <c r="DI199" i="3" l="1"/>
  <c r="DI198" i="3"/>
  <c r="DH202" i="3"/>
  <c r="DH56" i="3" s="1"/>
  <c r="DI202" i="3"/>
  <c r="DI56" i="3" s="1"/>
  <c r="DH45" i="3"/>
  <c r="DH55" i="3"/>
  <c r="DI68" i="3"/>
  <c r="DI65" i="3"/>
  <c r="DI20" i="3"/>
  <c r="DI61" i="3"/>
  <c r="DI51" i="3"/>
  <c r="DH201" i="3"/>
  <c r="DI201" i="3"/>
  <c r="DI45" i="3" l="1"/>
  <c r="DI55" i="3"/>
</calcChain>
</file>

<file path=xl/sharedStrings.xml><?xml version="1.0" encoding="utf-8"?>
<sst xmlns="http://schemas.openxmlformats.org/spreadsheetml/2006/main" count="2322" uniqueCount="944">
  <si>
    <t xml:space="preserve">Quarterly Income Statement </t>
  </si>
  <si>
    <t>Dollars in millions, except per share data</t>
  </si>
  <si>
    <t>Fiscal year ends Dec. 31</t>
  </si>
  <si>
    <t>Total Revenue</t>
  </si>
  <si>
    <t>Product</t>
  </si>
  <si>
    <t>Service</t>
  </si>
  <si>
    <t>Total Cost of Goods Sold</t>
  </si>
  <si>
    <t>Gross Profit</t>
  </si>
  <si>
    <t>SG&amp;A</t>
  </si>
  <si>
    <t>Total Operating Expenses</t>
  </si>
  <si>
    <t>EBIT</t>
  </si>
  <si>
    <t>Amortization</t>
  </si>
  <si>
    <t>EBITDA</t>
  </si>
  <si>
    <t>Pretax Income</t>
  </si>
  <si>
    <t xml:space="preserve">   Income Tax Expense (benefit)</t>
  </si>
  <si>
    <t>Service/Other</t>
  </si>
  <si>
    <t>Revenues</t>
  </si>
  <si>
    <t>Eliminations</t>
  </si>
  <si>
    <t xml:space="preserve">Consolidated net income 
</t>
  </si>
  <si>
    <t xml:space="preserve">Net income attributable to noncontrolling interest in consolidated subsidiaries </t>
  </si>
  <si>
    <t xml:space="preserve"> R&amp;D</t>
  </si>
  <si>
    <t>2006A</t>
  </si>
  <si>
    <t>Extraordinary Items</t>
  </si>
  <si>
    <t>Bruker AXS</t>
  </si>
  <si>
    <t>Bruker Optics</t>
  </si>
  <si>
    <t>Bruker Daltonics</t>
  </si>
  <si>
    <t>ND</t>
  </si>
  <si>
    <t xml:space="preserve"> SG&amp;A</t>
  </si>
  <si>
    <t>Depreciation</t>
  </si>
  <si>
    <t>Total</t>
  </si>
  <si>
    <t>Interest Income</t>
  </si>
  <si>
    <t>Interest Expense</t>
  </si>
  <si>
    <t>Other Income/Expense</t>
  </si>
  <si>
    <t>Diluted EPS (GAAP)</t>
  </si>
  <si>
    <t>Diluted EPS (Non-GAAP)</t>
  </si>
  <si>
    <t>Net Income (Non-GAAP)</t>
  </si>
  <si>
    <t>Net Income (GAAP)</t>
  </si>
  <si>
    <t>Average basic shares</t>
  </si>
  <si>
    <t>Convert</t>
  </si>
  <si>
    <t>Stock Options</t>
  </si>
  <si>
    <t>Average Share Price in the quarter</t>
  </si>
  <si>
    <t>Average diluted shares</t>
  </si>
  <si>
    <t>Dilution ratio</t>
  </si>
  <si>
    <t>EBITDA (Non-GAAP)</t>
  </si>
  <si>
    <t>COGS</t>
  </si>
  <si>
    <t>Gross Margin</t>
  </si>
  <si>
    <t>Incremental Gross Margin</t>
  </si>
  <si>
    <t>R&amp;D</t>
  </si>
  <si>
    <t>Incremental EBIT</t>
  </si>
  <si>
    <t>Other Expense</t>
  </si>
  <si>
    <t>Growth</t>
  </si>
  <si>
    <t>Adj EPS</t>
  </si>
  <si>
    <t>Net Income</t>
  </si>
  <si>
    <t>Income tax rate</t>
  </si>
  <si>
    <t>GAAP adjustments to EPS</t>
  </si>
  <si>
    <t>Cost of Revenue Charges</t>
  </si>
  <si>
    <t>Others</t>
  </si>
  <si>
    <t xml:space="preserve">     % of revenues</t>
  </si>
  <si>
    <t>GAAP SG&amp;A</t>
  </si>
  <si>
    <t>Adjusted SG&amp;A</t>
  </si>
  <si>
    <t>GAAP Operating Income</t>
  </si>
  <si>
    <t>Adjusted Operating Income</t>
  </si>
  <si>
    <t>Adjusted EBITDA</t>
  </si>
  <si>
    <t>GAAP Tax Provision</t>
  </si>
  <si>
    <t>Tax effect of adjusted items</t>
  </si>
  <si>
    <t>Adjusted Tax Provision</t>
  </si>
  <si>
    <t>GAAP Net Income</t>
  </si>
  <si>
    <t>Adjusted Net Income</t>
  </si>
  <si>
    <t>Check</t>
  </si>
  <si>
    <t xml:space="preserve"> Other Charges/Expenses</t>
  </si>
  <si>
    <t>Margins (Non-GAAP)</t>
  </si>
  <si>
    <t>(Dollars in millions, except per share data)</t>
  </si>
  <si>
    <t>Assets</t>
  </si>
  <si>
    <t>Cash and cash equivalents</t>
  </si>
  <si>
    <t>Inventories</t>
  </si>
  <si>
    <t>Other current assets</t>
  </si>
  <si>
    <t>Total current assets</t>
  </si>
  <si>
    <t>Property, plant and equipment, net</t>
  </si>
  <si>
    <t>Goodwill</t>
  </si>
  <si>
    <t>Total assets</t>
  </si>
  <si>
    <t>Liabilities and shareholders equity</t>
  </si>
  <si>
    <t>Accounts payable</t>
  </si>
  <si>
    <t>Total current liabilities</t>
  </si>
  <si>
    <t>Deferred income taxes</t>
  </si>
  <si>
    <t>Other long-term liabilities</t>
  </si>
  <si>
    <t>Total liabilities</t>
  </si>
  <si>
    <t>Preferred stock</t>
  </si>
  <si>
    <t>Shareholders equity</t>
  </si>
  <si>
    <t>Common stock</t>
  </si>
  <si>
    <t>Retained earnings</t>
  </si>
  <si>
    <t>Treasury stock at cost</t>
  </si>
  <si>
    <t>Shareholders' equity</t>
  </si>
  <si>
    <t>Total liabilities &amp; shareholders' equity</t>
  </si>
  <si>
    <t xml:space="preserve">Check </t>
  </si>
  <si>
    <t>A = Actual   E = Morgan Stanley Research Estimates    Source: Company data, Morgan Stanley Research</t>
  </si>
  <si>
    <t>Financial Metrics</t>
  </si>
  <si>
    <t>Total Debt</t>
  </si>
  <si>
    <t>Net debt (debt-cash)</t>
  </si>
  <si>
    <t>Net cash per share</t>
  </si>
  <si>
    <t>Returns</t>
  </si>
  <si>
    <t>Return on Equity (ROE)</t>
  </si>
  <si>
    <t>Return on Assets (ROA)</t>
  </si>
  <si>
    <t>Return on Invested Capital (ROIC)</t>
  </si>
  <si>
    <t>Debt Coverage/Leverage</t>
  </si>
  <si>
    <t>EBITDA Coverage</t>
  </si>
  <si>
    <t>EBIT Coverage</t>
  </si>
  <si>
    <t>Net Debt / EBITDA</t>
  </si>
  <si>
    <t>Debt / Capital</t>
  </si>
  <si>
    <t>Liquidity</t>
  </si>
  <si>
    <t>Current Ratio (CA/CL)</t>
  </si>
  <si>
    <t>Quick Ratio ((Cash+Mkt Sec+AR)/CL)</t>
  </si>
  <si>
    <t>Cash Ratio</t>
  </si>
  <si>
    <t>Acid-Test Ratio</t>
  </si>
  <si>
    <t>Working Capital Metrics</t>
  </si>
  <si>
    <t>Days Sales Outstanding (DSO)</t>
  </si>
  <si>
    <t>Inventory Days (DIO)</t>
  </si>
  <si>
    <t>Days Payable Outstanding (DPO)</t>
  </si>
  <si>
    <t>Cash Conversion Cycle</t>
  </si>
  <si>
    <t>Additional balance Sheet Metrics</t>
  </si>
  <si>
    <t>Other current assets (% of Rev)</t>
  </si>
  <si>
    <t>Changes in Shareholders' Equity</t>
  </si>
  <si>
    <t>Opening Balance</t>
  </si>
  <si>
    <t>Issue of Shares (including premium)</t>
  </si>
  <si>
    <t>Dividend</t>
  </si>
  <si>
    <t>AOCI</t>
  </si>
  <si>
    <t>Other AOCI</t>
  </si>
  <si>
    <t>Closing Balance</t>
  </si>
  <si>
    <t>PP&amp;E</t>
  </si>
  <si>
    <t>PP&amp;E, gross - BoP</t>
  </si>
  <si>
    <t>Capex</t>
  </si>
  <si>
    <t>% of sales</t>
  </si>
  <si>
    <t>Acquisitions</t>
  </si>
  <si>
    <t>Other</t>
  </si>
  <si>
    <t>PP&amp;E, gross - EoP</t>
  </si>
  <si>
    <t>Accumulated depreciation - BoP</t>
  </si>
  <si>
    <t>% of beg gross</t>
  </si>
  <si>
    <t>Accum Depreciation - EoP</t>
  </si>
  <si>
    <t>PP&amp;E, net</t>
  </si>
  <si>
    <t>Assumed depreciable life</t>
  </si>
  <si>
    <t>Average Age of Assets</t>
  </si>
  <si>
    <t>Intangibles</t>
  </si>
  <si>
    <t>Intangibles - BoP</t>
  </si>
  <si>
    <t>% of beg bal</t>
  </si>
  <si>
    <t>Intangibles - EoP</t>
  </si>
  <si>
    <t>Beg Balance</t>
  </si>
  <si>
    <t>Acquisitions / write-offs</t>
  </si>
  <si>
    <t>Ending Balance</t>
  </si>
  <si>
    <t>M&amp;A Accounting</t>
  </si>
  <si>
    <t>Total Purchase Price</t>
  </si>
  <si>
    <t>Sales</t>
  </si>
  <si>
    <t>Tax rate</t>
  </si>
  <si>
    <t>Taxes</t>
  </si>
  <si>
    <t>NOPAT</t>
  </si>
  <si>
    <t>NOPAT margin</t>
  </si>
  <si>
    <t>Accounts receivables</t>
  </si>
  <si>
    <t>Inventory</t>
  </si>
  <si>
    <t>Net PP&amp;E</t>
  </si>
  <si>
    <t>Noncurrent assets</t>
  </si>
  <si>
    <t>Goodwill &amp; other intangibles</t>
  </si>
  <si>
    <t>Operating assets</t>
  </si>
  <si>
    <t>Other current liabilities</t>
  </si>
  <si>
    <t>Operating liabilities</t>
  </si>
  <si>
    <t>Net operating assets</t>
  </si>
  <si>
    <t>Asset turnover</t>
  </si>
  <si>
    <t>P&amp;L</t>
  </si>
  <si>
    <t>EBIT (non-GAAP)</t>
  </si>
  <si>
    <t>Other expense, net</t>
  </si>
  <si>
    <t>Revenue</t>
  </si>
  <si>
    <t>Cost of revenues</t>
  </si>
  <si>
    <t>Total operating expenses</t>
  </si>
  <si>
    <t>Net income (GAAP)</t>
  </si>
  <si>
    <t>Stock comp expense</t>
  </si>
  <si>
    <t>Operating activities</t>
  </si>
  <si>
    <t>Depreciation and amortization</t>
  </si>
  <si>
    <t>Working Capital</t>
  </si>
  <si>
    <t>Accounts receivable</t>
  </si>
  <si>
    <t>Net cash provided by operating activities</t>
  </si>
  <si>
    <t>Investing activities</t>
  </si>
  <si>
    <t>Net cash provided by (used in) investing activities</t>
  </si>
  <si>
    <t>Financing activities</t>
  </si>
  <si>
    <t>Net cash provided by (used in) financing activities</t>
  </si>
  <si>
    <t>(Decrease) increase in cash and cash equivalents</t>
  </si>
  <si>
    <t>Cash and cash equivalents at beginning of period</t>
  </si>
  <si>
    <t>Cash and cash equivalents at end of period</t>
  </si>
  <si>
    <t>Free Cash Flow (FCF)</t>
  </si>
  <si>
    <t>FCF per share</t>
  </si>
  <si>
    <t>Free Cash Flow Yield</t>
  </si>
  <si>
    <t>Avg. Share Price</t>
  </si>
  <si>
    <t>Stock Repurchase / Issuances</t>
  </si>
  <si>
    <t>Options Outstanding BOP</t>
  </si>
  <si>
    <t>Options Granted</t>
  </si>
  <si>
    <t>Options Exercised</t>
  </si>
  <si>
    <t>Options Cancelled/Forfeited</t>
  </si>
  <si>
    <t>Options Outstanding EOP</t>
  </si>
  <si>
    <t>Wtd Avg Exercise Price (of exercised)</t>
  </si>
  <si>
    <t>Y/Y Growth</t>
  </si>
  <si>
    <t>Exercised shares as a % of outstanding</t>
  </si>
  <si>
    <t>Options lapsed as a % of outstanding</t>
  </si>
  <si>
    <t>Proceeds from options issuance ($mm)</t>
  </si>
  <si>
    <t>Repurchases</t>
  </si>
  <si>
    <t>Shares repurchased</t>
  </si>
  <si>
    <t>Cost of repurchases</t>
  </si>
  <si>
    <t>Avg cost</t>
  </si>
  <si>
    <t>% change</t>
  </si>
  <si>
    <t>Accounts receivable, net</t>
  </si>
  <si>
    <t>Intangible assets, net</t>
  </si>
  <si>
    <t>Other long term assets</t>
  </si>
  <si>
    <t>Short term borrowings and current portion of long-term debt</t>
  </si>
  <si>
    <t>Customer advances</t>
  </si>
  <si>
    <t>Long-term debt</t>
  </si>
  <si>
    <t>Additional paid in capital</t>
  </si>
  <si>
    <t>Accumulated other comprehensive income</t>
  </si>
  <si>
    <t>Shareholders' equity attributable to Bruker Corporation</t>
  </si>
  <si>
    <t>Restricted cash &amp; short term investment</t>
  </si>
  <si>
    <t>Consolidated Net Income</t>
  </si>
  <si>
    <t xml:space="preserve">Amortization of deferred financing costs </t>
  </si>
  <si>
    <t xml:space="preserve">Write-down of inventories to net realizable value </t>
  </si>
  <si>
    <t xml:space="preserve">Stock-based compensation </t>
  </si>
  <si>
    <t xml:space="preserve">Other non-cash expense </t>
  </si>
  <si>
    <t xml:space="preserve">Other changes in operating assets and liabilities, net </t>
  </si>
  <si>
    <t xml:space="preserve">Acquisitions, net of cash acquired </t>
  </si>
  <si>
    <t xml:space="preserve">Purchases of property, plant and equipment </t>
  </si>
  <si>
    <t>Sales of property, plant and equipment</t>
  </si>
  <si>
    <t>Proceeds from revolving lines of credit, net</t>
  </si>
  <si>
    <t>Proceeds from term debt</t>
  </si>
  <si>
    <t>Repayment of term debt</t>
  </si>
  <si>
    <t>Payment of deferred financing costs</t>
  </si>
  <si>
    <t>Proceeds from issuance of common stock, net</t>
  </si>
  <si>
    <t>Excess tax benefit related to exercise of stock awards</t>
  </si>
  <si>
    <t>Changes in restricted cash</t>
  </si>
  <si>
    <t>Cash payments to noncontrolling interests</t>
  </si>
  <si>
    <t>Exchange rate effect on cash</t>
  </si>
  <si>
    <t>Increase/Decrease in short term investments</t>
  </si>
  <si>
    <t>Cash Restatement</t>
  </si>
  <si>
    <t>Noncontrolling interest</t>
  </si>
  <si>
    <t>Customer advances (% of Rev)</t>
  </si>
  <si>
    <t>Other current liabilities (% of Rev)</t>
  </si>
  <si>
    <t>Product Revenues</t>
  </si>
  <si>
    <t>Total Revenues</t>
  </si>
  <si>
    <t>Currency Translation</t>
  </si>
  <si>
    <t>Segment EBIT Results</t>
  </si>
  <si>
    <t xml:space="preserve"> YY Margin Expansion/Contraction</t>
  </si>
  <si>
    <t xml:space="preserve"> YY Growth </t>
  </si>
  <si>
    <r>
      <t xml:space="preserve"> </t>
    </r>
    <r>
      <rPr>
        <sz val="8"/>
        <rFont val="Arial"/>
        <family val="2"/>
      </rPr>
      <t>EBIT Margin</t>
    </r>
  </si>
  <si>
    <r>
      <t xml:space="preserve"> </t>
    </r>
    <r>
      <rPr>
        <sz val="8"/>
        <rFont val="Arial"/>
        <family val="2"/>
      </rPr>
      <t>Incremental EBIT Margin</t>
    </r>
  </si>
  <si>
    <t>Quarterly Revenue Build</t>
  </si>
  <si>
    <t>Segments</t>
  </si>
  <si>
    <t>YoY Growth %</t>
  </si>
  <si>
    <t>CC Growth (YoY)</t>
  </si>
  <si>
    <t>FX Impact</t>
  </si>
  <si>
    <t>% of Revenues</t>
  </si>
  <si>
    <t>Revenue Mix</t>
  </si>
  <si>
    <t>System Revenues</t>
  </si>
  <si>
    <t>Aftermarket Revenues</t>
  </si>
  <si>
    <t>Growth Analysis</t>
  </si>
  <si>
    <t>Total EBIT (Non-GAAP)</t>
  </si>
  <si>
    <t>Service and Other Revenues</t>
  </si>
  <si>
    <t>Organic  Rev Build</t>
  </si>
  <si>
    <t>Momentum</t>
  </si>
  <si>
    <t>Product Gross Margin</t>
  </si>
  <si>
    <t>Service Gross Margin</t>
  </si>
  <si>
    <t>Start Date</t>
  </si>
  <si>
    <t>End Date</t>
  </si>
  <si>
    <t>N/A</t>
  </si>
  <si>
    <t>Asset Schedules</t>
  </si>
  <si>
    <t>Bruker Corporation</t>
  </si>
  <si>
    <t>Model Ware Required Tags</t>
  </si>
  <si>
    <t>Unrecorded goodwill from poolings</t>
  </si>
  <si>
    <t>Statutory tax rate</t>
  </si>
  <si>
    <t>Options granted as a % of outstanding</t>
  </si>
  <si>
    <t>NM</t>
  </si>
  <si>
    <t>Stock compensation expense as % of Revenues</t>
  </si>
  <si>
    <t>Quarterly Debt</t>
  </si>
  <si>
    <t xml:space="preserve">Quarterly Balance sheet </t>
  </si>
  <si>
    <t xml:space="preserve">Quarterly Cash flow statement </t>
  </si>
  <si>
    <t>US Dollar term loan under the amended credit agreement</t>
  </si>
  <si>
    <t>US Dollar revolving loan under the amended credit agreement</t>
  </si>
  <si>
    <t>Capital lease obligations</t>
  </si>
  <si>
    <t>Current portion of long-term debt</t>
  </si>
  <si>
    <t>Borrowings</t>
  </si>
  <si>
    <t>Issuances/ (Repayments)</t>
  </si>
  <si>
    <t>$20 million 3.16% Series 2012A Senior Notes, Tranche A, due January 18, 2017</t>
  </si>
  <si>
    <t>$15 million 3.74% Series 2012A Senior Notes, Tranche B, due January 18, 2019</t>
  </si>
  <si>
    <t>105 million 4.31% Series 2012A Senior Notes, Tranche C, due January 18, 2022</t>
  </si>
  <si>
    <t>$100 million 4.46% Series 2012A Senior Notes, Tranche D, due January 18, 2024</t>
  </si>
  <si>
    <t>Rate</t>
  </si>
  <si>
    <t>Maturity</t>
  </si>
  <si>
    <t>Short Term Borrowings</t>
  </si>
  <si>
    <t>2.95% Euro bank loan, payable through 2010</t>
  </si>
  <si>
    <t>2.70% Euro bank loan, payable through 2012</t>
  </si>
  <si>
    <t>4.65% and 8.01% Euro bank loan, payable through 2013</t>
  </si>
  <si>
    <t>5.01% Euro bank loan, payable through 2011</t>
  </si>
  <si>
    <t>2.03% Japanese Yen bank loan, payable through 2011</t>
  </si>
  <si>
    <t>4.07% Euro bank loan, payable through 2008</t>
  </si>
  <si>
    <t>4.65% Euro bank loan, payable through 2008</t>
  </si>
  <si>
    <t>3.05% Euro bank loan, payable through 2008</t>
  </si>
  <si>
    <t>Euro mortgage loan at 6 Month Euribor (4.71% at December 31, 2007), payable through October 2012</t>
  </si>
  <si>
    <t>Euro mortgage loan at 6 Month Euribor (4.71% at December 31, 2007), payable through October 2011</t>
  </si>
  <si>
    <t>1.19% Japanese Yen bank loan, payable through June 2006</t>
  </si>
  <si>
    <t>1.80% Japanese Yen bank loan, payable through 2011</t>
  </si>
  <si>
    <t>1.50% Japanese Yen bank loan, payable through 2005</t>
  </si>
  <si>
    <t>4.90% Euro bank loan, payable through February 2004</t>
  </si>
  <si>
    <t>5.10% Euro bank loan, payable through 2003</t>
  </si>
  <si>
    <t>Total long-term debt less current portion Issuance/(Repayment)</t>
  </si>
  <si>
    <t>Implied interest expense</t>
  </si>
  <si>
    <t>Reported interest expense</t>
  </si>
  <si>
    <t>Cash Balance (BOP)</t>
  </si>
  <si>
    <t>Implied Interest Rate</t>
  </si>
  <si>
    <t>USD</t>
  </si>
  <si>
    <t>BRKR.O</t>
  </si>
  <si>
    <t>Period End Shares</t>
  </si>
  <si>
    <t>Net Income (For Validation)</t>
  </si>
  <si>
    <t>Old Reporting</t>
  </si>
  <si>
    <t>Grant Revenues</t>
  </si>
  <si>
    <t>2017E</t>
  </si>
  <si>
    <t>2018E</t>
  </si>
  <si>
    <t>2019E</t>
  </si>
  <si>
    <t>2020E</t>
  </si>
  <si>
    <t>Currency</t>
  </si>
  <si>
    <t>Current Stock Price</t>
  </si>
  <si>
    <t>Count</t>
  </si>
  <si>
    <t>BRKR.O,mscalc:targetPrice,,,,USD</t>
  </si>
  <si>
    <t>BRKR.O,mscalc:closePriceCurrencyCalc</t>
  </si>
  <si>
    <t>BRKR.O,mscalc:sedolCodeCalc</t>
  </si>
  <si>
    <t>$F$2</t>
  </si>
  <si>
    <t>NA</t>
  </si>
  <si>
    <t>Segmental Revenues</t>
  </si>
  <si>
    <t>Total Long-term Debt</t>
  </si>
  <si>
    <t>Total Long-term debt less current portion</t>
  </si>
  <si>
    <t>Check: Total Debt</t>
  </si>
  <si>
    <t>Check: Long Term Debt</t>
  </si>
  <si>
    <t>Total Long-Term Debt Issuance/(Repayment)</t>
  </si>
  <si>
    <t>BSI</t>
  </si>
  <si>
    <t>BEST</t>
  </si>
  <si>
    <t>Reported</t>
  </si>
  <si>
    <t>FX</t>
  </si>
  <si>
    <t>Organic</t>
  </si>
  <si>
    <t>LSD</t>
  </si>
  <si>
    <t>Bruker BioScience</t>
  </si>
  <si>
    <t>Bruker BioSpin</t>
  </si>
  <si>
    <t>&lt;15</t>
  </si>
  <si>
    <r>
      <t xml:space="preserve"> </t>
    </r>
    <r>
      <rPr>
        <sz val="8"/>
        <rFont val="Arial"/>
        <family val="2"/>
      </rPr>
      <t>BioSpin</t>
    </r>
  </si>
  <si>
    <r>
      <t xml:space="preserve"> </t>
    </r>
    <r>
      <rPr>
        <sz val="8"/>
        <rFont val="Arial"/>
        <family val="2"/>
      </rPr>
      <t>Materials</t>
    </r>
  </si>
  <si>
    <t>% of BSI contributions</t>
  </si>
  <si>
    <t>Annual Divisional Contributions</t>
  </si>
  <si>
    <t>Segment Results</t>
  </si>
  <si>
    <t>Total Gross Profit (Non-GAAP)</t>
  </si>
  <si>
    <r>
      <t xml:space="preserve"> </t>
    </r>
    <r>
      <rPr>
        <sz val="8"/>
        <rFont val="Arial"/>
        <family val="2"/>
      </rPr>
      <t>GM Margin</t>
    </r>
  </si>
  <si>
    <t>EBIT Check</t>
  </si>
  <si>
    <t>Gross Profit Check</t>
  </si>
  <si>
    <t>Europe</t>
  </si>
  <si>
    <t>China</t>
  </si>
  <si>
    <t>Japan</t>
  </si>
  <si>
    <t>Asia Pacific</t>
  </si>
  <si>
    <t xml:space="preserve"> CALID</t>
  </si>
  <si>
    <r>
      <t xml:space="preserve">    </t>
    </r>
    <r>
      <rPr>
        <sz val="8"/>
        <rFont val="Arial"/>
        <family val="2"/>
      </rPr>
      <t>Daltonics</t>
    </r>
  </si>
  <si>
    <r>
      <t xml:space="preserve">    </t>
    </r>
    <r>
      <rPr>
        <sz val="8"/>
        <rFont val="Arial"/>
        <family val="2"/>
      </rPr>
      <t>Optics</t>
    </r>
  </si>
  <si>
    <t xml:space="preserve">    Veeco</t>
  </si>
  <si>
    <t xml:space="preserve">    Daltonics</t>
  </si>
  <si>
    <t xml:space="preserve">    Optics</t>
  </si>
  <si>
    <t xml:space="preserve">    CAM</t>
  </si>
  <si>
    <t xml:space="preserve"> </t>
  </si>
  <si>
    <t>Revenue Analysis</t>
  </si>
  <si>
    <t>Y/Y Revenue Growth</t>
  </si>
  <si>
    <t>Revenue Drivers by Reporting Segment</t>
  </si>
  <si>
    <t>Org. Revenue Growth</t>
  </si>
  <si>
    <t>Total Org . Growth</t>
  </si>
  <si>
    <t>2021E</t>
  </si>
  <si>
    <t>YES</t>
  </si>
  <si>
    <t>Organic Growth</t>
  </si>
  <si>
    <t>Shareholders Equity</t>
  </si>
  <si>
    <t>Net Cash Flow</t>
  </si>
  <si>
    <t>Free Cash Flow</t>
  </si>
  <si>
    <t xml:space="preserve">Operating Expenses </t>
  </si>
  <si>
    <t xml:space="preserve">Organic growth </t>
  </si>
  <si>
    <t xml:space="preserve">Organic Growth </t>
  </si>
  <si>
    <t>EBITA (Non-GAAP)</t>
  </si>
  <si>
    <t>Backlog/Bookings</t>
  </si>
  <si>
    <t>Total Backlog (in USD Millions)</t>
  </si>
  <si>
    <t>Up Q/Q</t>
  </si>
  <si>
    <t xml:space="preserve">   BEST Backlog (in USD Millions)</t>
  </si>
  <si>
    <t xml:space="preserve">   BSI Backlog (in USD Millions)</t>
  </si>
  <si>
    <t>Segment/divisional bookings</t>
  </si>
  <si>
    <t xml:space="preserve">BSI </t>
  </si>
  <si>
    <t>Up / Teens</t>
  </si>
  <si>
    <t xml:space="preserve">  current reporting structure (2013-)</t>
  </si>
  <si>
    <t xml:space="preserve">  Biospin (NMR, imaging)</t>
  </si>
  <si>
    <t xml:space="preserve">  CALID (CAM, Mass Spec, FTIR)</t>
  </si>
  <si>
    <t xml:space="preserve">  prior reporting structure (pre 2013)</t>
  </si>
  <si>
    <t xml:space="preserve">  AXS (Xray diffraction, AFM)</t>
  </si>
  <si>
    <t xml:space="preserve">  Daltonics (mass spec)</t>
  </si>
  <si>
    <t xml:space="preserve">  Optics (FTIR)</t>
  </si>
  <si>
    <t>HSD</t>
  </si>
  <si>
    <t>Yr/Yr Organic Rev $</t>
  </si>
  <si>
    <t>Total Bruker Corporation</t>
  </si>
  <si>
    <t>Revenue by Geographic Region</t>
  </si>
  <si>
    <t>United States</t>
  </si>
  <si>
    <t>Rest of world</t>
  </si>
  <si>
    <t>Relative Geographic Exposure</t>
  </si>
  <si>
    <t>--</t>
  </si>
  <si>
    <t>GAAP Gross Profit</t>
  </si>
  <si>
    <t>Adjusted Gross Profit</t>
  </si>
  <si>
    <t>- BioSpin</t>
  </si>
  <si>
    <t>- CALID</t>
  </si>
  <si>
    <t>Enviro</t>
  </si>
  <si>
    <t>Pharma</t>
  </si>
  <si>
    <t>Academic/Govt</t>
  </si>
  <si>
    <t>1Q15</t>
  </si>
  <si>
    <t>2Q15</t>
  </si>
  <si>
    <t>3Q15</t>
  </si>
  <si>
    <t>4Q15</t>
  </si>
  <si>
    <t>Total Sales</t>
  </si>
  <si>
    <t>Food and Beverage</t>
  </si>
  <si>
    <t>Clinical/Dx</t>
  </si>
  <si>
    <t>Industrial</t>
  </si>
  <si>
    <t>Chemicals / Energy</t>
  </si>
  <si>
    <t>End Market Analysis</t>
  </si>
  <si>
    <t>No comm.</t>
  </si>
  <si>
    <t>CALID</t>
  </si>
  <si>
    <t>NANO</t>
  </si>
  <si>
    <t>BIOSPIN</t>
  </si>
  <si>
    <t>% of Total Rev</t>
  </si>
  <si>
    <t>1Q08</t>
  </si>
  <si>
    <t>2Q08</t>
  </si>
  <si>
    <t>3Q08</t>
  </si>
  <si>
    <t>4Q08</t>
  </si>
  <si>
    <t>1Q09</t>
  </si>
  <si>
    <t>2Q09</t>
  </si>
  <si>
    <t>3Q09</t>
  </si>
  <si>
    <t>4Q09</t>
  </si>
  <si>
    <t>1Q10</t>
  </si>
  <si>
    <t>2Q10</t>
  </si>
  <si>
    <t>3Q10</t>
  </si>
  <si>
    <t>4Q10</t>
  </si>
  <si>
    <t>1Q11</t>
  </si>
  <si>
    <t>2Q11</t>
  </si>
  <si>
    <t>3Q11</t>
  </si>
  <si>
    <t>4Q11</t>
  </si>
  <si>
    <t>1Q12</t>
  </si>
  <si>
    <t>2Q12</t>
  </si>
  <si>
    <t>3Q12</t>
  </si>
  <si>
    <t>4Q12</t>
  </si>
  <si>
    <t>1Q13</t>
  </si>
  <si>
    <t>2Q13</t>
  </si>
  <si>
    <t>3Q13</t>
  </si>
  <si>
    <t>4Q13</t>
  </si>
  <si>
    <t>1Q14</t>
  </si>
  <si>
    <t>2Q14</t>
  </si>
  <si>
    <t>3Q14</t>
  </si>
  <si>
    <t>4Q14</t>
  </si>
  <si>
    <t xml:space="preserve">    BIOSPIN</t>
  </si>
  <si>
    <t xml:space="preserve">    CALID</t>
  </si>
  <si>
    <t xml:space="preserve">    NANO</t>
  </si>
  <si>
    <t>Trailing 2 Quarter Avg Growth</t>
  </si>
  <si>
    <t>mol spec</t>
  </si>
  <si>
    <t>atom spec</t>
  </si>
  <si>
    <t>mass spec</t>
  </si>
  <si>
    <t>1Q07</t>
  </si>
  <si>
    <t>2Q07</t>
  </si>
  <si>
    <t>3Q07</t>
  </si>
  <si>
    <t>4Q07</t>
  </si>
  <si>
    <t>1Q16</t>
  </si>
  <si>
    <t>2Q16</t>
  </si>
  <si>
    <t>3Q16</t>
  </si>
  <si>
    <t>4Q16</t>
  </si>
  <si>
    <r>
      <t>-</t>
    </r>
    <r>
      <rPr>
        <sz val="8"/>
        <rFont val="Arial"/>
        <family val="2"/>
      </rPr>
      <t>Materials / NANO</t>
    </r>
  </si>
  <si>
    <t xml:space="preserve">  MAT / NANO (AFM, Xray Diffraction)</t>
  </si>
  <si>
    <t>Summary Cash Flow</t>
  </si>
  <si>
    <t>Operating Cash Flow</t>
  </si>
  <si>
    <t>FCF/Share</t>
  </si>
  <si>
    <t>Energy &amp; Supercon Tech</t>
  </si>
  <si>
    <t>Energy &amp; Supercon Tech Revenues</t>
  </si>
  <si>
    <t>Acq/Div</t>
  </si>
  <si>
    <t>Sci Instruments</t>
  </si>
  <si>
    <t>NMR GM WORKSHEET</t>
  </si>
  <si>
    <t>Amort</t>
  </si>
  <si>
    <t>Depreciation &amp; Amort</t>
  </si>
  <si>
    <t>Amort of acquisition related Intang</t>
  </si>
  <si>
    <t>2616137</t>
  </si>
  <si>
    <t>Total Bruker</t>
  </si>
  <si>
    <t xml:space="preserve">$19.43 </t>
  </si>
  <si>
    <t>Operating Margin Reported</t>
  </si>
  <si>
    <t xml:space="preserve">  Y/Y change</t>
  </si>
  <si>
    <t>ytd</t>
  </si>
  <si>
    <t>op margins</t>
  </si>
  <si>
    <t>Cam</t>
  </si>
  <si>
    <t>Organic Operating Margin</t>
  </si>
  <si>
    <t>reported margin</t>
  </si>
  <si>
    <t>Core improvement</t>
  </si>
  <si>
    <t>Organic Revenue ($)</t>
  </si>
  <si>
    <t>Organic Operating Margin ($)</t>
  </si>
  <si>
    <t>Organic OM incrementals</t>
  </si>
  <si>
    <t xml:space="preserve">15-20m in '13 so benefit is in '14 </t>
  </si>
  <si>
    <t>90bps</t>
  </si>
  <si>
    <t>Dividend payment</t>
  </si>
  <si>
    <t>Org Growth YY</t>
  </si>
  <si>
    <t>2-Year Org Growth</t>
  </si>
  <si>
    <t>3Q17E</t>
  </si>
  <si>
    <t>Organic Margin Build</t>
  </si>
  <si>
    <t>Repurchase of common stock</t>
  </si>
  <si>
    <t>Sci Instruments Rev</t>
  </si>
  <si>
    <t>Strong</t>
  </si>
  <si>
    <t>North America</t>
  </si>
  <si>
    <t>100+</t>
  </si>
  <si>
    <t>Lower</t>
  </si>
  <si>
    <t>&gt;1Q</t>
  </si>
  <si>
    <t>+DD</t>
  </si>
  <si>
    <t>+HSD</t>
  </si>
  <si>
    <t>-HSD</t>
  </si>
  <si>
    <t>Weak</t>
  </si>
  <si>
    <t>Good</t>
  </si>
  <si>
    <t>-MSD</t>
  </si>
  <si>
    <t>1Q17</t>
  </si>
  <si>
    <t>2Q17</t>
  </si>
  <si>
    <t>3Q17</t>
  </si>
  <si>
    <t>4Q17</t>
  </si>
  <si>
    <t>FCF Growth per share</t>
  </si>
  <si>
    <t>n/a</t>
  </si>
  <si>
    <t>Two-Year Growth Momentum</t>
  </si>
  <si>
    <t>Normalized Growth Trend (T2Q 2 Yr Stacked)</t>
  </si>
  <si>
    <t>T2Q TREND</t>
  </si>
  <si>
    <t>Gross Margin - Yr/Yr Change</t>
  </si>
  <si>
    <t>Gross Margin - 2 Yr Change</t>
  </si>
  <si>
    <t>Yr/Yr Spending and Profit Trend</t>
  </si>
  <si>
    <t>COGS Yield</t>
  </si>
  <si>
    <t>Stacked</t>
  </si>
  <si>
    <t>Organic Growth Trends</t>
  </si>
  <si>
    <t>Total Gross Profit</t>
  </si>
  <si>
    <t>Op. Income</t>
  </si>
  <si>
    <t>Bookings Growth</t>
  </si>
  <si>
    <t>Total Orders</t>
  </si>
  <si>
    <t xml:space="preserve">   BSI Orders</t>
  </si>
  <si>
    <t xml:space="preserve"> BEST Orders</t>
  </si>
  <si>
    <t>NMR Orders</t>
  </si>
  <si>
    <t>2 Year - Yr/Yr Spending and Profit Trend</t>
  </si>
  <si>
    <t>US (reported)</t>
  </si>
  <si>
    <t>International (reported)</t>
  </si>
  <si>
    <t>Revenue $ (incl. intersegment sales)</t>
  </si>
  <si>
    <t>Total Revenue (excl. intersegment sales)</t>
  </si>
  <si>
    <t>Y-Y Organic $ Revenue Growth (incl. intersegment sales)</t>
  </si>
  <si>
    <t>2 Year Y-Y Organic $ Revenue</t>
  </si>
  <si>
    <t>T4Q TREND</t>
  </si>
  <si>
    <t>Implied Normalized Gro.</t>
  </si>
  <si>
    <t>2Q18E</t>
  </si>
  <si>
    <t>3Q18E</t>
  </si>
  <si>
    <t>4Q18E</t>
  </si>
  <si>
    <t>1Q18E</t>
  </si>
  <si>
    <t xml:space="preserve">Organic Operating Expenses </t>
  </si>
  <si>
    <t>Restructuring impact</t>
  </si>
  <si>
    <t>Other impact</t>
  </si>
  <si>
    <t>Organic EBIT Margin Expansion</t>
  </si>
  <si>
    <t>2Q17E</t>
  </si>
  <si>
    <t>BRKR Normalized Growth Trend (T2Q 2 Yr Stacked)</t>
  </si>
  <si>
    <t xml:space="preserve">Adjusted EBIT </t>
  </si>
  <si>
    <t>Cash Taxes</t>
  </si>
  <si>
    <t>NOPAT (adjusted)</t>
  </si>
  <si>
    <t>Debt</t>
  </si>
  <si>
    <t>Net Deferred Tax Liabilities</t>
  </si>
  <si>
    <t>Other Long-Term Liabilities</t>
  </si>
  <si>
    <t>Off-balance sheet operating leases</t>
  </si>
  <si>
    <t>Equity</t>
  </si>
  <si>
    <t>Minority Interest</t>
  </si>
  <si>
    <t>Preferred Equity</t>
  </si>
  <si>
    <t>Accumulated Asset write-downs</t>
  </si>
  <si>
    <t>Non-performing Assets</t>
  </si>
  <si>
    <t>(Less cash)</t>
  </si>
  <si>
    <t>(Less unconsolidated investments)</t>
  </si>
  <si>
    <t>(Less Goodwill)</t>
  </si>
  <si>
    <t>Total Invested Capital (inc-Goodwill)</t>
  </si>
  <si>
    <t>Total Invested Capital (ex-Goodwill)</t>
  </si>
  <si>
    <t>ROIC (inc-Goodwill)</t>
  </si>
  <si>
    <t>ROIC (ex-Goodwill)</t>
  </si>
  <si>
    <t>Return on Invested Capital (ROIC) (ex-Goodwill)</t>
  </si>
  <si>
    <t>Return on Net Operating Assets (RNOA)</t>
  </si>
  <si>
    <t>RNOA</t>
  </si>
  <si>
    <t>2017A</t>
  </si>
  <si>
    <t>GAAP FCF Conversion</t>
  </si>
  <si>
    <t>GHz Systems</t>
  </si>
  <si>
    <t>Acquisitions/GHz</t>
  </si>
  <si>
    <t>BIOSPIN excl. GHz Adj. (BRKR Basis)</t>
  </si>
  <si>
    <t>Total Revenues excl. GHz Adj. (BRKR Basis)</t>
  </si>
  <si>
    <t>Geographic Growth</t>
  </si>
  <si>
    <t>APAC</t>
  </si>
  <si>
    <t>Geographic Organic Growth</t>
  </si>
  <si>
    <t>Non-GAAP FCF Conversion</t>
  </si>
  <si>
    <t>32</t>
  </si>
  <si>
    <t>Research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</si>
  <si>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</si>
  <si>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</si>
  <si>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</si>
  <si>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</si>
  <si>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</si>
  <si>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Tel: +1 (1)212 761 4000</t>
  </si>
  <si>
    <t>Authors: Steve Beuchaw, Jeremy Rosenberg</t>
  </si>
  <si>
    <t>Date: 02 Apr 2018</t>
  </si>
  <si>
    <t>Ticker: BRKR.O</t>
  </si>
  <si>
    <t>Stock Rating: Equal-Weight</t>
  </si>
  <si>
    <t>Industry: Life Science Tools &amp; Diagnostics</t>
  </si>
  <si>
    <t>Industry View: In-Line</t>
  </si>
  <si>
    <t>Price as of 02 Apr 2018: 29.28</t>
  </si>
  <si>
    <t>Target Price: 32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</si>
  <si>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</si>
  <si>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</si>
  <si>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</si>
  <si>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</si>
  <si>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Bruker Corp.</t>
  </si>
  <si>
    <t>STOCK RATINGS</t>
  </si>
  <si>
    <t>Global Stock Ratings Distribution</t>
  </si>
  <si>
    <t>(as of March 31,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</si>
  <si>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</si>
  <si>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</si>
  <si>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</si>
  <si>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</si>
  <si>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</si>
  <si>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</si>
  <si>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</si>
  <si>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</si>
  <si>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</si>
  <si>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</si>
  <si>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</si>
  <si>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</si>
  <si>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</si>
  <si>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</si>
  <si>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</si>
  <si>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</si>
  <si>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</si>
  <si>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</si>
  <si>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</si>
  <si>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</si>
  <si>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</si>
  <si>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</si>
  <si>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</si>
  <si>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</si>
  <si>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</si>
  <si>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</si>
  <si>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</si>
  <si>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</si>
  <si>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</si>
  <si>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</si>
  <si>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</si>
  <si>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</si>
  <si>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</si>
  <si>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</si>
  <si>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</si>
  <si>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</si>
  <si>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</si>
  <si>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</si>
  <si>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</si>
  <si>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</si>
  <si>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</si>
  <si>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</si>
  <si>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</si>
  <si>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</si>
  <si>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</si>
  <si>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</si>
  <si>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</si>
  <si>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</si>
  <si>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</si>
  <si>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</si>
  <si>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</si>
  <si>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</si>
  <si>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</si>
  <si>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</si>
  <si>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</si>
  <si>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</si>
  <si>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</si>
  <si>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</si>
  <si>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</si>
  <si>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</si>
  <si>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</si>
  <si>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</si>
  <si>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</si>
  <si>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</si>
  <si>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</si>
  <si>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</si>
  <si>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</si>
  <si>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</si>
  <si>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</si>
  <si>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</si>
  <si>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</si>
  <si>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</si>
  <si>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</si>
  <si>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</si>
  <si>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</si>
  <si>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</si>
  <si>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</si>
  <si>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</si>
  <si>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</si>
  <si>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</si>
  <si>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</si>
  <si>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</si>
  <si>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</si>
  <si>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</si>
  <si>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</si>
  <si>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</si>
  <si>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</si>
  <si>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</si>
  <si>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</si>
  <si>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</si>
  <si>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</si>
  <si>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</si>
  <si>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</si>
  <si>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</si>
  <si>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</si>
  <si>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</si>
  <si>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</si>
  <si>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</si>
  <si>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</si>
  <si>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</si>
  <si>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</si>
  <si>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</si>
  <si>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</si>
  <si>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</si>
  <si>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</si>
  <si>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</si>
  <si>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</si>
  <si>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</si>
  <si>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</si>
  <si>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</si>
  <si>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</si>
  <si>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</si>
  <si>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</si>
  <si>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</si>
  <si>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</si>
  <si>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</si>
  <si>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</si>
  <si>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</si>
  <si>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</si>
  <si>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</si>
  <si>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</si>
  <si>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</si>
  <si>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</si>
  <si>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</si>
  <si>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</si>
  <si>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</si>
  <si>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</si>
  <si>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</si>
  <si>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</si>
  <si>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</si>
  <si>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</si>
  <si>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</si>
  <si>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</si>
  <si>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</si>
  <si>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</si>
  <si>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</si>
  <si>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</si>
  <si>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</si>
  <si>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</si>
  <si>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</si>
  <si>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</si>
  <si>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</si>
  <si>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</si>
  <si>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</si>
  <si>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</si>
  <si>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</si>
  <si>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</si>
  <si>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</si>
  <si>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</si>
  <si>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</si>
  <si>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</si>
  <si>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</si>
  <si>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</si>
  <si>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</si>
  <si>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</si>
  <si>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</si>
  <si>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</si>
  <si>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</si>
  <si>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</si>
  <si>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</si>
  <si>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</si>
  <si>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</si>
  <si>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</si>
  <si>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</si>
  <si>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</si>
  <si>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</si>
  <si>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</si>
  <si>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</si>
  <si>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</si>
  <si>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</si>
  <si>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</si>
  <si>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</si>
  <si>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</si>
  <si>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</si>
  <si>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</si>
  <si>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</si>
  <si>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</si>
  <si>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</si>
  <si>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</si>
  <si>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</si>
  <si>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</si>
  <si>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</si>
  <si>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</si>
  <si>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</si>
  <si>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</si>
  <si>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</si>
  <si>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</si>
  <si>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</si>
  <si>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</si>
  <si>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</si>
  <si>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</si>
  <si>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</si>
  <si>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</si>
  <si>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</si>
  <si>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</si>
  <si>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</si>
  <si>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</si>
  <si>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</si>
  <si>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</si>
  <si>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</si>
  <si>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</si>
  <si>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</si>
  <si>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</si>
  <si>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</si>
  <si>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</si>
  <si>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</si>
  <si>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</si>
  <si>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</si>
  <si>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</si>
  <si>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</si>
  <si>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</si>
  <si>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</si>
  <si>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</si>
  <si>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</si>
  <si>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</si>
  <si>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</si>
  <si>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</si>
  <si>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</si>
  <si>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</si>
  <si>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</si>
  <si>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</si>
  <si>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</si>
  <si>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</si>
  <si>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</si>
  <si>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</si>
  <si>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</si>
  <si>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</si>
  <si>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</si>
  <si>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</si>
  <si>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</si>
  <si>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</si>
  <si>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</si>
  <si>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</si>
  <si>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</si>
  <si>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</si>
  <si>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</si>
  <si>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</si>
  <si>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</si>
  <si>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provided or is providing investment banking services to,</t>
  </si>
  <si>
    <t>or has an investment banking client relationship with, the following company: Bruker Corp.</t>
  </si>
  <si>
    <t>In the next 3 months, Morgan Stanley expects to receive or intends to seek compensation for investment</t>
  </si>
  <si>
    <t>banking services from Bruker Corp.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</si>
  <si>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</si>
  <si>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</si>
  <si>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</si>
  <si>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</si>
  <si>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</si>
  <si>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Steve Beuchaw.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</si>
  <si>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</si>
  <si>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</si>
  <si>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</si>
  <si>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</si>
  <si>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</si>
  <si>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</si>
  <si>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</si>
  <si>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</si>
  <si>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</si>
  <si>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</si>
  <si>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</si>
  <si>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</si>
  <si>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</si>
  <si>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</si>
  <si>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</si>
  <si>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</si>
  <si>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</si>
  <si>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</si>
  <si>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</si>
  <si>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</si>
  <si>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</si>
  <si>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</si>
  <si>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</si>
  <si>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</si>
  <si>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Company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</si>
  <si>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</si>
  <si>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</si>
  <si>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</si>
  <si>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</si>
  <si>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</si>
  <si>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</si>
  <si>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</si>
  <si>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</si>
  <si>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</si>
  <si>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</si>
  <si>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</si>
  <si>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</si>
  <si>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</si>
  <si>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</si>
  <si>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</si>
  <si>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</si>
  <si>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</si>
  <si>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</si>
  <si>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</si>
  <si>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</si>
  <si>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>PathName</t>
  </si>
  <si>
    <t>Distribution</t>
  </si>
  <si>
    <t>Deleted</t>
  </si>
  <si>
    <t>NO</t>
  </si>
  <si>
    <t>EmailAlert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</si>
  <si>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</si>
  <si>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</si>
  <si>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</si>
  <si>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</si>
  <si>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</si>
  <si>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</si>
  <si>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</si>
  <si>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</si>
  <si>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</si>
  <si>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</si>
  <si>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</si>
  <si>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</si>
  <si>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</si>
  <si>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</si>
  <si>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</si>
  <si>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</si>
  <si>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</si>
  <si>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Equal-Weight / In-Line</t>
  </si>
  <si>
    <t>Regular Update</t>
  </si>
  <si>
    <t>NorthAmerica</t>
  </si>
  <si>
    <t>jerrosen</t>
  </si>
  <si>
    <t>Bruker Corp</t>
  </si>
  <si>
    <t>MSA12974, MSA74LKH</t>
  </si>
  <si>
    <t>L:\HEALTH\Tools\Models\Published models\BRKR_Published.xlsm</t>
  </si>
  <si>
    <t>[BRO MSA]</t>
  </si>
  <si>
    <t>[PRODUCT MODEL]</t>
  </si>
  <si>
    <t>[EMAIL_ALERT YES]</t>
  </si>
  <si>
    <t>[DISCIPLINE Company]</t>
  </si>
  <si>
    <t>[SUPPRESSED NO]</t>
  </si>
  <si>
    <t>[DOCDAT 2018-04-02]</t>
  </si>
  <si>
    <t>[DOCTIME 16:56]</t>
  </si>
  <si>
    <t>[PSYM BRKR.O(S&amp;P) (None)]</t>
  </si>
  <si>
    <t>[COU 1]</t>
  </si>
  <si>
    <t>[ANA MSA74LKH]</t>
  </si>
  <si>
    <t>[HL BRKR.O Model]</t>
  </si>
  <si>
    <t>[IND HLTHCR]</t>
  </si>
  <si>
    <t>[PANA MSA12974]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</si>
</sst>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7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&quot;$&quot;#,##0"/>
    <numFmt numFmtId="166" formatCode="_(* #,##0_);_(* \(#,##0\);_(* &quot;-&quot;??_);_(@_)"/>
    <numFmt numFmtId="167" formatCode="&quot;$&quot;#,##0.00"/>
    <numFmt numFmtId="168" formatCode="&quot;$&quot;#,##0.0_);\(&quot;$&quot;#,##0.0\)"/>
    <numFmt numFmtId="169" formatCode="_(* #,##0.0_);_(* \(#,##0.0\);_(* &quot;-&quot;_);_(@_)"/>
    <numFmt numFmtId="170" formatCode="[$-409]mmm\-yy;@"/>
    <numFmt numFmtId="171" formatCode="#,##0.0_);\(#,##0.0\)"/>
    <numFmt numFmtId="173" formatCode="0.0"/>
    <numFmt numFmtId="174" formatCode="_(* #,##0.000_);_(* \(#,##0.000\);_(* &quot;-&quot;_);_(@_)"/>
    <numFmt numFmtId="175" formatCode="_(* #,##0.0_);_(* \(#,##0.0\);_(* &quot;-&quot;??_);_(@_)"/>
    <numFmt numFmtId="176" formatCode="#,##0.0"/>
    <numFmt numFmtId="177" formatCode="_(* #,##0_);_(* \(#,##0\);_(* &quot;-&quot;?_);_(@_)"/>
    <numFmt numFmtId="178" formatCode="0.0\x"/>
    <numFmt numFmtId="180" formatCode="#,##0&quot; bps&quot;_);\(#,##0&quot; bps&quot;\)"/>
    <numFmt numFmtId="189" formatCode="#,##0.00000000000_);\(#,##0.00000000000\)"/>
    <numFmt numFmtId="191" formatCode="#,##0.000_);\(#,##0.000\)"/>
    <numFmt numFmtId="194" formatCode="0&quot;A&quot;"/>
    <numFmt numFmtId="195" formatCode="0.0_);\(0.0\)"/>
    <numFmt numFmtId="196" formatCode="0_);[Red]\(0\)"/>
    <numFmt numFmtId="197" formatCode="0&quot;E&quot;"/>
    <numFmt numFmtId="201" formatCode="#,##0.0%_);\(#,##0.0%\)"/>
    <numFmt numFmtId="202" formatCode="_(* #,##0.0_);_(* \(#,##0.0\);_(* &quot;-&quot;?_);_(@_)"/>
    <numFmt numFmtId="203" formatCode="#,##0.0_);[Red]\(#,##0.0\)"/>
    <numFmt numFmtId="205" formatCode="0&quot;bps&quot;"/>
    <numFmt numFmtId="206" formatCode="_(&quot;$&quot;* #,##0.0000_);_(&quot;$&quot;* \(#,##0.0000\);_(&quot;$&quot;* &quot;-&quot;??_);_(@_)"/>
    <numFmt numFmtId="209" formatCode="_(* #,##0.00_);_(* \(#,##0.00\);_(* &quot;-&quot;?_);_(@_)"/>
    <numFmt numFmtId="210" formatCode="_(* #,##0.00_);_(* \(#,##0.00\);_(* &quot;-&quot;_);_(@_)"/>
    <numFmt numFmtId="211" formatCode="0&quot;A&quot;_);\(0\)&quot;E&quot;"/>
    <numFmt numFmtId="212" formatCode="0_)"/>
    <numFmt numFmtId="220" formatCode="mm/dd/yy\ hh:mm"/>
  </numFmts>
  <fonts count="112">
    <font>
      <sz val="10"/>
      <name val="Arial"/>
    </font>
    <font>
      <sz val="10"/>
      <name val="Arial"/>
      <family val="2"/>
    </font>
    <font>
      <sz val="8"/>
      <color indexed="9"/>
      <name val="Arial"/>
      <family val="2"/>
    </font>
    <font>
      <b/>
      <sz val="8"/>
      <color indexed="8"/>
      <name val="Arial"/>
      <family val="2"/>
    </font>
    <font>
      <sz val="8"/>
      <name val="Tms Rmn"/>
    </font>
    <font>
      <sz val="8"/>
      <name val="Arial"/>
      <family val="2"/>
    </font>
    <font>
      <sz val="8"/>
      <name val="Arial"/>
      <family val="2"/>
    </font>
    <font>
      <sz val="10"/>
      <name val="Helvetica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  <font>
      <i/>
      <sz val="8"/>
      <color indexed="8"/>
      <name val="Arial"/>
      <family val="2"/>
    </font>
    <font>
      <i/>
      <sz val="8"/>
      <name val="Arial"/>
      <family val="2"/>
    </font>
    <font>
      <sz val="8"/>
      <color indexed="10"/>
      <name val="Arial"/>
      <family val="2"/>
    </font>
    <font>
      <b/>
      <sz val="8"/>
      <color indexed="9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b/>
      <sz val="8"/>
      <name val="Arial"/>
      <family val="2"/>
    </font>
    <font>
      <i/>
      <sz val="7"/>
      <name val="Arial"/>
      <family val="2"/>
    </font>
    <font>
      <b/>
      <u/>
      <sz val="8"/>
      <name val="Arial"/>
      <family val="2"/>
    </font>
    <font>
      <b/>
      <i/>
      <sz val="8"/>
      <name val="Arial"/>
      <family val="2"/>
    </font>
    <font>
      <i/>
      <sz val="8"/>
      <color indexed="10"/>
      <name val="Arial"/>
      <family val="2"/>
    </font>
    <font>
      <b/>
      <sz val="8"/>
      <color indexed="10"/>
      <name val="Arial"/>
      <family val="2"/>
    </font>
    <font>
      <sz val="10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0"/>
      <color indexed="8"/>
      <name val="Times New Roman"/>
      <family val="1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9"/>
      <name val="Times New Roman"/>
      <family val="1"/>
    </font>
    <font>
      <i/>
      <sz val="10"/>
      <name val="Arial"/>
      <family val="2"/>
    </font>
    <font>
      <sz val="10"/>
      <color indexed="8"/>
      <name val="Times New Roman"/>
      <family val="1"/>
    </font>
    <font>
      <i/>
      <sz val="8"/>
      <name val="Times New Roman"/>
      <family val="1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color indexed="21"/>
      <name val="Arial"/>
      <family val="2"/>
    </font>
    <font>
      <sz val="8"/>
      <color indexed="12"/>
      <name val="Arial"/>
      <family val="2"/>
    </font>
    <font>
      <sz val="8"/>
      <color indexed="18"/>
      <name val="Arial"/>
      <family val="2"/>
    </font>
    <font>
      <sz val="8"/>
      <color indexed="0"/>
      <name val="Arial"/>
      <family val="2"/>
    </font>
    <font>
      <b/>
      <sz val="10"/>
      <color indexed="8"/>
      <name val="Arial"/>
      <family val="2"/>
    </font>
    <font>
      <sz val="7"/>
      <color indexed="9"/>
      <name val="Arial"/>
      <family val="2"/>
    </font>
    <font>
      <sz val="10"/>
      <color indexed="10"/>
      <name val="Arial"/>
      <family val="2"/>
    </font>
    <font>
      <sz val="11"/>
      <name val="Arial"/>
      <family val="2"/>
    </font>
    <font>
      <sz val="8"/>
      <color indexed="9"/>
      <name val="Arial"/>
      <family val="2"/>
    </font>
    <font>
      <b/>
      <sz val="9"/>
      <name val="Arial"/>
      <family val="2"/>
    </font>
    <font>
      <sz val="8"/>
      <color indexed="21"/>
      <name val="Arial"/>
      <family val="2"/>
    </font>
    <font>
      <b/>
      <sz val="8"/>
      <color indexed="12"/>
      <name val="Arial"/>
      <family val="2"/>
    </font>
    <font>
      <b/>
      <sz val="8"/>
      <color indexed="8"/>
      <name val="Arial"/>
      <family val="2"/>
    </font>
    <font>
      <sz val="9"/>
      <name val="Arial"/>
      <family val="2"/>
    </font>
    <font>
      <b/>
      <sz val="8"/>
      <color indexed="9"/>
      <name val="Arial"/>
      <family val="2"/>
    </font>
    <font>
      <sz val="8"/>
      <color indexed="17"/>
      <name val="Arial"/>
      <family val="2"/>
    </font>
    <font>
      <sz val="8"/>
      <color indexed="55"/>
      <name val="Arial"/>
      <family val="2"/>
    </font>
    <font>
      <b/>
      <sz val="8"/>
      <color indexed="17"/>
      <name val="Arial"/>
      <family val="2"/>
    </font>
    <font>
      <sz val="8"/>
      <color indexed="24"/>
      <name val="Arial"/>
      <family val="2"/>
    </font>
    <font>
      <sz val="8"/>
      <color indexed="32"/>
      <name val="Arial"/>
      <family val="2"/>
    </font>
    <font>
      <sz val="8"/>
      <color indexed="48"/>
      <name val="Arial"/>
      <family val="2"/>
    </font>
    <font>
      <sz val="8"/>
      <color indexed="48"/>
      <name val="Arial"/>
      <family val="2"/>
    </font>
    <font>
      <sz val="10"/>
      <color indexed="17"/>
      <name val="Arial"/>
      <family val="2"/>
    </font>
    <font>
      <sz val="8"/>
      <color indexed="24"/>
      <name val="Arial"/>
      <family val="2"/>
    </font>
    <font>
      <sz val="7"/>
      <name val="Arial"/>
      <family val="2"/>
    </font>
    <font>
      <i/>
      <sz val="8"/>
      <color indexed="12"/>
      <name val="Arial"/>
      <family val="2"/>
    </font>
    <font>
      <b/>
      <u/>
      <sz val="8"/>
      <color indexed="9"/>
      <name val="Arial"/>
      <family val="2"/>
    </font>
    <font>
      <sz val="8"/>
      <color indexed="17"/>
      <name val="Arial"/>
      <family val="2"/>
    </font>
    <font>
      <sz val="8"/>
      <color indexed="55"/>
      <name val="Arial"/>
      <family val="2"/>
    </font>
    <font>
      <sz val="8"/>
      <name val="Times"/>
      <family val="1"/>
    </font>
    <font>
      <i/>
      <sz val="8"/>
      <color indexed="24"/>
      <name val="Arial"/>
      <family val="2"/>
    </font>
    <font>
      <i/>
      <sz val="8"/>
      <color indexed="17"/>
      <name val="Arial"/>
      <family val="2"/>
    </font>
    <font>
      <sz val="10"/>
      <name val="Arial"/>
      <family val="2"/>
    </font>
    <font>
      <sz val="10"/>
      <name val="Helv"/>
    </font>
    <font>
      <sz val="10"/>
      <color indexed="8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b/>
      <sz val="9"/>
      <color indexed="9"/>
      <name val="Arial"/>
      <family val="2"/>
    </font>
    <font>
      <sz val="9"/>
      <color indexed="9"/>
      <name val="Arial"/>
      <family val="2"/>
    </font>
    <font>
      <sz val="10"/>
      <name val="Arial"/>
      <family val="2"/>
    </font>
    <font>
      <sz val="8"/>
      <color theme="4"/>
      <name val="Arial"/>
      <family val="2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sz val="8"/>
      <color theme="0"/>
      <name val="Arial"/>
      <family val="2"/>
    </font>
    <font>
      <b/>
      <sz val="8"/>
      <color theme="0"/>
      <name val="Arial"/>
      <family val="2"/>
    </font>
    <font>
      <sz val="8"/>
      <color theme="0" tint="-0.34998626667073579"/>
      <name val="Arial"/>
      <family val="2"/>
    </font>
    <font>
      <b/>
      <sz val="8"/>
      <color rgb="FF0070C0"/>
      <name val="Arial"/>
      <family val="2"/>
    </font>
    <font>
      <i/>
      <sz val="8"/>
      <color theme="0" tint="-0.34998626667073579"/>
      <name val="Arial"/>
      <family val="2"/>
    </font>
    <font>
      <sz val="8"/>
      <color rgb="FF00B050"/>
      <name val="Arial"/>
      <family val="2"/>
    </font>
    <font>
      <b/>
      <sz val="8"/>
      <color rgb="FFFF0000"/>
      <name val="Arial"/>
      <family val="2"/>
    </font>
    <font>
      <sz val="8"/>
      <color rgb="FF008000"/>
      <name val="Arial"/>
      <family val="2"/>
    </font>
    <font>
      <sz val="8"/>
      <color rgb="FF238B45"/>
      <name val="Arial"/>
      <family val="2"/>
    </font>
    <font>
      <sz val="11"/>
      <name val="Times New Roman"/>
      <family val="1"/>
    </font>
    <font>
      <b/>
      <sz val="8"/>
      <color rgb="FF00B050"/>
      <name val="Arial"/>
      <family val="2"/>
    </font>
    <font>
      <b/>
      <sz val="10"/>
      <color rgb="FF0070C0"/>
      <name val="Arial"/>
      <family val="2"/>
    </font>
    <font>
      <sz val="8"/>
      <color theme="1" tint="0.499984740745262"/>
      <name val="Arial"/>
      <family val="2"/>
    </font>
    <font>
      <sz val="10"/>
      <color rgb="FF0070C0"/>
      <name val="Arial"/>
      <family val="2"/>
    </font>
    <font>
      <sz val="8"/>
      <color rgb="FF137CB1"/>
      <name val="Arial"/>
      <family val="2"/>
    </font>
    <font>
      <sz val="8"/>
      <color rgb="FF7030A0"/>
      <name val="Arial"/>
      <family val="2"/>
    </font>
    <font>
      <sz val="8"/>
      <color rgb="FFFFC000"/>
      <name val="Arial"/>
      <family val="2"/>
    </font>
    <font>
      <sz val="10"/>
      <name val="Courier"/>
      <family val="3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6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8"/>
      </patternFill>
    </fill>
    <fill>
      <patternFill patternType="solid">
        <fgColor indexed="8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5"/>
        <bgColor indexed="64"/>
      </patternFill>
    </fill>
  </fills>
  <borders count="8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3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/>
      <bottom style="thin">
        <color indexed="63"/>
      </bottom>
      <diagonal/>
    </border>
    <border>
      <left style="thin">
        <color indexed="8"/>
      </left>
      <right style="thin">
        <color indexed="8"/>
      </right>
      <top/>
      <bottom style="thin">
        <color indexed="63"/>
      </bottom>
      <diagonal/>
    </border>
    <border>
      <left style="thin">
        <color indexed="8"/>
      </left>
      <right/>
      <top/>
      <bottom style="thin">
        <color indexed="63"/>
      </bottom>
      <diagonal/>
    </border>
    <border>
      <left/>
      <right style="thin">
        <color indexed="8"/>
      </right>
      <top/>
      <bottom style="thin">
        <color indexed="63"/>
      </bottom>
      <diagonal/>
    </border>
    <border>
      <left style="thin">
        <color indexed="64"/>
      </left>
      <right/>
      <top/>
      <bottom style="thin">
        <color indexed="63"/>
      </bottom>
      <diagonal/>
    </border>
    <border>
      <left/>
      <right/>
      <top style="thin">
        <color indexed="63"/>
      </top>
      <bottom/>
      <diagonal/>
    </border>
    <border>
      <left style="thin">
        <color indexed="8"/>
      </left>
      <right style="thin">
        <color indexed="8"/>
      </right>
      <top style="thin">
        <color indexed="63"/>
      </top>
      <bottom/>
      <diagonal/>
    </border>
    <border>
      <left style="thin">
        <color indexed="64"/>
      </left>
      <right/>
      <top style="thin">
        <color indexed="63"/>
      </top>
      <bottom/>
      <diagonal/>
    </border>
    <border>
      <left style="thin">
        <color indexed="63"/>
      </left>
      <right style="thin">
        <color indexed="63"/>
      </right>
      <top/>
      <bottom style="thin">
        <color indexed="64"/>
      </bottom>
      <diagonal/>
    </border>
    <border>
      <left/>
      <right style="thin">
        <color indexed="63"/>
      </right>
      <top/>
      <bottom/>
      <diagonal/>
    </border>
    <border>
      <left style="thin">
        <color indexed="63"/>
      </left>
      <right style="thin">
        <color indexed="63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3"/>
      </left>
      <right/>
      <top/>
      <bottom style="thin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/>
      <right style="thin">
        <color indexed="63"/>
      </right>
      <top style="thin">
        <color indexed="63"/>
      </top>
      <bottom/>
      <diagonal/>
    </border>
    <border>
      <left style="thin">
        <color indexed="8"/>
      </left>
      <right/>
      <top style="thin">
        <color indexed="63"/>
      </top>
      <bottom/>
      <diagonal/>
    </border>
    <border>
      <left/>
      <right style="thin">
        <color indexed="8"/>
      </right>
      <top style="thin">
        <color indexed="63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dotted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79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" fillId="0" borderId="0"/>
    <xf numFmtId="0" fontId="1" fillId="15" borderId="0" applyNumberFormat="0" applyFont="0" applyBorder="0" applyAlignment="0" applyProtection="0"/>
    <xf numFmtId="0" fontId="26" fillId="0" borderId="0"/>
    <xf numFmtId="0" fontId="26" fillId="0" borderId="0"/>
    <xf numFmtId="0" fontId="26" fillId="0" borderId="0"/>
    <xf numFmtId="0" fontId="27" fillId="2" borderId="0" applyNumberFormat="0" applyBorder="0" applyAlignment="0" applyProtection="0"/>
    <xf numFmtId="0" fontId="27" fillId="3" borderId="0" applyNumberFormat="0" applyBorder="0" applyAlignment="0" applyProtection="0"/>
    <xf numFmtId="0" fontId="27" fillId="4" borderId="0" applyNumberFormat="0" applyBorder="0" applyAlignment="0" applyProtection="0"/>
    <xf numFmtId="0" fontId="27" fillId="2" borderId="0" applyNumberFormat="0" applyBorder="0" applyAlignment="0" applyProtection="0"/>
    <xf numFmtId="0" fontId="27" fillId="5" borderId="0" applyNumberFormat="0" applyBorder="0" applyAlignment="0" applyProtection="0"/>
    <xf numFmtId="0" fontId="27" fillId="4" borderId="0" applyNumberFormat="0" applyBorder="0" applyAlignment="0" applyProtection="0"/>
    <xf numFmtId="0" fontId="27" fillId="6" borderId="0" applyNumberFormat="0" applyBorder="0" applyAlignment="0" applyProtection="0"/>
    <xf numFmtId="0" fontId="27" fillId="3" borderId="0" applyNumberFormat="0" applyBorder="0" applyAlignment="0" applyProtection="0"/>
    <xf numFmtId="0" fontId="27" fillId="4" borderId="0" applyNumberFormat="0" applyBorder="0" applyAlignment="0" applyProtection="0"/>
    <xf numFmtId="0" fontId="27" fillId="6" borderId="0" applyNumberFormat="0" applyBorder="0" applyAlignment="0" applyProtection="0"/>
    <xf numFmtId="0" fontId="27" fillId="7" borderId="0" applyNumberFormat="0" applyBorder="0" applyAlignment="0" applyProtection="0"/>
    <xf numFmtId="0" fontId="27" fillId="4" borderId="0" applyNumberFormat="0" applyBorder="0" applyAlignment="0" applyProtection="0"/>
    <xf numFmtId="0" fontId="28" fillId="8" borderId="0" applyNumberFormat="0" applyBorder="0" applyAlignment="0" applyProtection="0"/>
    <xf numFmtId="0" fontId="28" fillId="3" borderId="0" applyNumberFormat="0" applyBorder="0" applyAlignment="0" applyProtection="0"/>
    <xf numFmtId="0" fontId="28" fillId="9" borderId="0" applyNumberFormat="0" applyBorder="0" applyAlignment="0" applyProtection="0"/>
    <xf numFmtId="0" fontId="28" fillId="6" borderId="0" applyNumberFormat="0" applyBorder="0" applyAlignment="0" applyProtection="0"/>
    <xf numFmtId="0" fontId="28" fillId="8" borderId="0" applyNumberFormat="0" applyBorder="0" applyAlignment="0" applyProtection="0"/>
    <xf numFmtId="0" fontId="28" fillId="4" borderId="0" applyNumberFormat="0" applyBorder="0" applyAlignment="0" applyProtection="0"/>
    <xf numFmtId="0" fontId="28" fillId="8" borderId="0" applyNumberFormat="0" applyBorder="0" applyAlignment="0" applyProtection="0"/>
    <xf numFmtId="0" fontId="28" fillId="3" borderId="0" applyNumberFormat="0" applyBorder="0" applyAlignment="0" applyProtection="0"/>
    <xf numFmtId="0" fontId="28" fillId="9" borderId="0" applyNumberFormat="0" applyBorder="0" applyAlignment="0" applyProtection="0"/>
    <xf numFmtId="0" fontId="28" fillId="10" borderId="0" applyNumberFormat="0" applyBorder="0" applyAlignment="0" applyProtection="0"/>
    <xf numFmtId="0" fontId="28" fillId="8" borderId="0" applyNumberFormat="0" applyBorder="0" applyAlignment="0" applyProtection="0"/>
    <xf numFmtId="0" fontId="28" fillId="3" borderId="0" applyNumberFormat="0" applyBorder="0" applyAlignment="0" applyProtection="0"/>
    <xf numFmtId="0" fontId="29" fillId="11" borderId="0" applyNumberFormat="0" applyBorder="0" applyAlignment="0" applyProtection="0"/>
    <xf numFmtId="0" fontId="30" fillId="0" borderId="0"/>
    <xf numFmtId="0" fontId="31" fillId="12" borderId="1" applyNumberFormat="0" applyAlignment="0" applyProtection="0"/>
    <xf numFmtId="0" fontId="32" fillId="13" borderId="2" applyNumberFormat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3" fillId="0" borderId="0" applyNumberFormat="0" applyFill="0" applyBorder="0" applyAlignment="0" applyProtection="0"/>
    <xf numFmtId="0" fontId="34" fillId="14" borderId="0" applyNumberFormat="0" applyBorder="0" applyAlignment="0" applyProtection="0"/>
    <xf numFmtId="0" fontId="35" fillId="0" borderId="3" applyNumberFormat="0" applyFill="0" applyAlignment="0" applyProtection="0"/>
    <xf numFmtId="0" fontId="36" fillId="0" borderId="4" applyNumberFormat="0" applyFill="0" applyAlignment="0" applyProtection="0"/>
    <xf numFmtId="0" fontId="37" fillId="0" borderId="5" applyNumberFormat="0" applyFill="0" applyAlignment="0" applyProtection="0"/>
    <xf numFmtId="0" fontId="37" fillId="0" borderId="0" applyNumberFormat="0" applyFill="0" applyBorder="0" applyAlignment="0" applyProtection="0"/>
    <xf numFmtId="0" fontId="38" fillId="4" borderId="1" applyNumberFormat="0" applyAlignment="0" applyProtection="0"/>
    <xf numFmtId="0" fontId="39" fillId="0" borderId="6" applyNumberFormat="0" applyFill="0" applyAlignment="0" applyProtection="0"/>
    <xf numFmtId="0" fontId="40" fillId="4" borderId="0" applyNumberFormat="0" applyBorder="0" applyAlignment="0" applyProtection="0"/>
    <xf numFmtId="0" fontId="1" fillId="0" borderId="0"/>
    <xf numFmtId="0" fontId="11" fillId="0" borderId="0"/>
    <xf numFmtId="176" fontId="85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1" fillId="0" borderId="0" applyNumberFormat="0" applyFill="0" applyBorder="0" applyAlignment="0" applyProtection="0"/>
    <xf numFmtId="176" fontId="1" fillId="0" borderId="0"/>
    <xf numFmtId="0" fontId="7" fillId="0" borderId="0"/>
    <xf numFmtId="0" fontId="82" fillId="0" borderId="0"/>
    <xf numFmtId="0" fontId="1" fillId="4" borderId="7" applyNumberFormat="0" applyFont="0" applyAlignment="0" applyProtection="0"/>
    <xf numFmtId="0" fontId="41" fillId="12" borderId="8" applyNumberFormat="0" applyAlignment="0" applyProtection="0"/>
    <xf numFmtId="0" fontId="42" fillId="0" borderId="0">
      <alignment vertical="center"/>
    </xf>
    <xf numFmtId="9" fontId="1" fillId="0" borderId="0" applyFont="0" applyFill="0" applyBorder="0" applyAlignment="0" applyProtection="0"/>
    <xf numFmtId="9" fontId="85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15" borderId="0" applyNumberFormat="0" applyFont="0" applyBorder="0" applyAlignment="0" applyProtection="0"/>
    <xf numFmtId="0" fontId="44" fillId="0" borderId="0"/>
    <xf numFmtId="0" fontId="44" fillId="0" borderId="9">
      <alignment horizontal="centerContinuous"/>
    </xf>
    <xf numFmtId="0" fontId="45" fillId="0" borderId="9"/>
    <xf numFmtId="0" fontId="11" fillId="0" borderId="0" applyFill="0" applyAlignment="0">
      <protection locked="0"/>
    </xf>
    <xf numFmtId="0" fontId="46" fillId="0" borderId="0" applyNumberFormat="0" applyFill="0" applyBorder="0" applyAlignment="0" applyProtection="0"/>
    <xf numFmtId="0" fontId="47" fillId="0" borderId="10" applyNumberFormat="0" applyFill="0" applyAlignment="0" applyProtection="0"/>
    <xf numFmtId="0" fontId="48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212" fontId="26" fillId="0" borderId="0"/>
    <xf numFmtId="212" fontId="26" fillId="0" borderId="0"/>
    <xf numFmtId="0" fontId="109" fillId="0" borderId="0"/>
  </cellStyleXfs>
  <cellXfs count="2410">
    <xf numFmtId="0" fontId="0" fillId="0" borderId="0" xfId="0"/>
    <xf numFmtId="0" fontId="1" fillId="0" borderId="0" xfId="49"/>
    <xf numFmtId="0" fontId="0" fillId="16" borderId="0" xfId="0" applyFill="1"/>
    <xf numFmtId="0" fontId="8" fillId="16" borderId="0" xfId="52" applyFont="1" applyFill="1" applyBorder="1" applyAlignment="1" applyProtection="1">
      <alignment horizontal="left"/>
    </xf>
    <xf numFmtId="0" fontId="10" fillId="16" borderId="0" xfId="52" applyFont="1" applyFill="1" applyBorder="1" applyAlignment="1" applyProtection="1">
      <alignment horizontal="left"/>
    </xf>
    <xf numFmtId="0" fontId="12" fillId="16" borderId="11" xfId="52" applyFont="1" applyFill="1" applyBorder="1" applyAlignment="1" applyProtection="1">
      <alignment horizontal="left"/>
    </xf>
    <xf numFmtId="0" fontId="5" fillId="16" borderId="0" xfId="52" applyFont="1" applyFill="1" applyBorder="1" applyAlignment="1">
      <alignment horizontal="left"/>
    </xf>
    <xf numFmtId="0" fontId="16" fillId="16" borderId="0" xfId="55" applyFont="1" applyFill="1" applyBorder="1" applyAlignment="1">
      <alignment horizontal="center"/>
    </xf>
    <xf numFmtId="171" fontId="17" fillId="16" borderId="0" xfId="55" applyNumberFormat="1" applyFont="1" applyFill="1" applyBorder="1"/>
    <xf numFmtId="0" fontId="6" fillId="0" borderId="0" xfId="0" applyFont="1"/>
    <xf numFmtId="171" fontId="0" fillId="0" borderId="0" xfId="0" applyNumberFormat="1"/>
    <xf numFmtId="171" fontId="8" fillId="0" borderId="0" xfId="0" applyNumberFormat="1" applyFont="1" applyFill="1"/>
    <xf numFmtId="171" fontId="19" fillId="0" borderId="0" xfId="38" applyNumberFormat="1" applyFont="1" applyFill="1" applyBorder="1" applyAlignment="1">
      <alignment horizontal="right"/>
    </xf>
    <xf numFmtId="171" fontId="5" fillId="0" borderId="12" xfId="55" applyNumberFormat="1" applyFont="1" applyFill="1" applyBorder="1"/>
    <xf numFmtId="171" fontId="5" fillId="0" borderId="0" xfId="38" applyNumberFormat="1" applyFont="1" applyFill="1" applyBorder="1" applyAlignment="1">
      <alignment horizontal="right"/>
    </xf>
    <xf numFmtId="171" fontId="5" fillId="0" borderId="0" xfId="55" applyNumberFormat="1" applyFont="1" applyFill="1" applyBorder="1"/>
    <xf numFmtId="171" fontId="0" fillId="0" borderId="0" xfId="0" applyNumberFormat="1" applyFill="1"/>
    <xf numFmtId="171" fontId="0" fillId="0" borderId="0" xfId="0" applyNumberFormat="1" applyBorder="1"/>
    <xf numFmtId="0" fontId="8" fillId="0" borderId="0" xfId="0" applyFont="1"/>
    <xf numFmtId="171" fontId="13" fillId="0" borderId="13" xfId="55" applyNumberFormat="1" applyFont="1" applyFill="1" applyBorder="1"/>
    <xf numFmtId="171" fontId="19" fillId="0" borderId="13" xfId="37" applyNumberFormat="1" applyFont="1" applyFill="1" applyBorder="1"/>
    <xf numFmtId="0" fontId="0" fillId="0" borderId="0" xfId="0" applyBorder="1"/>
    <xf numFmtId="171" fontId="19" fillId="0" borderId="0" xfId="37" applyNumberFormat="1" applyFont="1" applyFill="1" applyBorder="1"/>
    <xf numFmtId="171" fontId="19" fillId="0" borderId="0" xfId="55" applyNumberFormat="1" applyFont="1" applyFill="1" applyBorder="1"/>
    <xf numFmtId="171" fontId="19" fillId="0" borderId="12" xfId="55" applyNumberFormat="1" applyFont="1" applyFill="1" applyBorder="1"/>
    <xf numFmtId="164" fontId="5" fillId="0" borderId="0" xfId="55" applyNumberFormat="1" applyFont="1" applyFill="1" applyBorder="1"/>
    <xf numFmtId="164" fontId="17" fillId="16" borderId="0" xfId="63" applyNumberFormat="1" applyFont="1" applyFill="1" applyBorder="1"/>
    <xf numFmtId="0" fontId="5" fillId="16" borderId="0" xfId="0" applyFont="1" applyFill="1"/>
    <xf numFmtId="0" fontId="5" fillId="16" borderId="0" xfId="0" applyFont="1" applyFill="1" applyBorder="1"/>
    <xf numFmtId="0" fontId="5" fillId="16" borderId="14" xfId="0" applyFont="1" applyFill="1" applyBorder="1"/>
    <xf numFmtId="0" fontId="5" fillId="16" borderId="11" xfId="0" applyFont="1" applyFill="1" applyBorder="1"/>
    <xf numFmtId="3" fontId="5" fillId="16" borderId="11" xfId="0" applyNumberFormat="1" applyFont="1" applyFill="1" applyBorder="1"/>
    <xf numFmtId="43" fontId="5" fillId="16" borderId="11" xfId="37" applyFont="1" applyFill="1" applyBorder="1"/>
    <xf numFmtId="9" fontId="5" fillId="16" borderId="0" xfId="63" applyFont="1" applyFill="1"/>
    <xf numFmtId="10" fontId="5" fillId="16" borderId="0" xfId="63" applyNumberFormat="1" applyFont="1" applyFill="1"/>
    <xf numFmtId="44" fontId="5" fillId="16" borderId="0" xfId="39" applyFont="1" applyFill="1"/>
    <xf numFmtId="0" fontId="5" fillId="16" borderId="0" xfId="0" applyFont="1" applyFill="1" applyAlignment="1">
      <alignment horizontal="center"/>
    </xf>
    <xf numFmtId="0" fontId="5" fillId="16" borderId="0" xfId="0" applyNumberFormat="1" applyFont="1" applyFill="1" applyBorder="1"/>
    <xf numFmtId="0" fontId="16" fillId="16" borderId="0" xfId="0" applyNumberFormat="1" applyFont="1" applyFill="1" applyBorder="1" applyAlignment="1">
      <alignment horizontal="center"/>
    </xf>
    <xf numFmtId="0" fontId="3" fillId="17" borderId="0" xfId="0" applyNumberFormat="1" applyFont="1" applyFill="1" applyBorder="1" applyAlignment="1" applyProtection="1"/>
    <xf numFmtId="9" fontId="16" fillId="16" borderId="0" xfId="63" applyFont="1" applyFill="1" applyBorder="1" applyAlignment="1">
      <alignment horizontal="center"/>
    </xf>
    <xf numFmtId="0" fontId="5" fillId="16" borderId="15" xfId="0" applyFont="1" applyFill="1" applyBorder="1"/>
    <xf numFmtId="0" fontId="16" fillId="16" borderId="15" xfId="0" applyFont="1" applyFill="1" applyBorder="1" applyAlignment="1">
      <alignment horizontal="center"/>
    </xf>
    <xf numFmtId="9" fontId="16" fillId="16" borderId="15" xfId="63" applyFont="1" applyFill="1" applyBorder="1" applyAlignment="1">
      <alignment horizontal="center"/>
    </xf>
    <xf numFmtId="168" fontId="17" fillId="17" borderId="0" xfId="0" applyNumberFormat="1" applyFont="1" applyFill="1" applyAlignment="1" applyProtection="1"/>
    <xf numFmtId="168" fontId="5" fillId="16" borderId="15" xfId="0" applyNumberFormat="1" applyFont="1" applyFill="1" applyBorder="1" applyAlignment="1">
      <alignment horizontal="right"/>
    </xf>
    <xf numFmtId="168" fontId="5" fillId="16" borderId="0" xfId="0" applyNumberFormat="1" applyFont="1" applyFill="1" applyAlignment="1">
      <alignment horizontal="right"/>
    </xf>
    <xf numFmtId="168" fontId="5" fillId="0" borderId="0" xfId="0" applyNumberFormat="1" applyFont="1" applyFill="1" applyAlignment="1">
      <alignment horizontal="right"/>
    </xf>
    <xf numFmtId="5" fontId="5" fillId="16" borderId="0" xfId="0" applyNumberFormat="1" applyFont="1" applyFill="1" applyAlignment="1">
      <alignment horizontal="right"/>
    </xf>
    <xf numFmtId="171" fontId="17" fillId="17" borderId="0" xfId="0" applyNumberFormat="1" applyFont="1" applyFill="1" applyAlignment="1" applyProtection="1"/>
    <xf numFmtId="171" fontId="19" fillId="16" borderId="0" xfId="0" applyNumberFormat="1" applyFont="1" applyFill="1" applyAlignment="1">
      <alignment horizontal="right"/>
    </xf>
    <xf numFmtId="171" fontId="5" fillId="16" borderId="15" xfId="0" applyNumberFormat="1" applyFont="1" applyFill="1" applyBorder="1" applyAlignment="1">
      <alignment horizontal="right"/>
    </xf>
    <xf numFmtId="171" fontId="5" fillId="16" borderId="0" xfId="0" applyNumberFormat="1" applyFont="1" applyFill="1" applyAlignment="1">
      <alignment horizontal="right"/>
    </xf>
    <xf numFmtId="171" fontId="5" fillId="0" borderId="15" xfId="0" applyNumberFormat="1" applyFont="1" applyFill="1" applyBorder="1" applyAlignment="1">
      <alignment horizontal="right"/>
    </xf>
    <xf numFmtId="171" fontId="5" fillId="0" borderId="0" xfId="0" applyNumberFormat="1" applyFont="1" applyFill="1" applyAlignment="1">
      <alignment horizontal="right"/>
    </xf>
    <xf numFmtId="168" fontId="5" fillId="0" borderId="15" xfId="0" applyNumberFormat="1" applyFont="1" applyFill="1" applyBorder="1" applyAlignment="1">
      <alignment horizontal="right"/>
    </xf>
    <xf numFmtId="171" fontId="17" fillId="17" borderId="0" xfId="0" applyNumberFormat="1" applyFont="1" applyFill="1" applyBorder="1" applyAlignment="1" applyProtection="1"/>
    <xf numFmtId="168" fontId="16" fillId="16" borderId="16" xfId="0" applyNumberFormat="1" applyFont="1" applyFill="1" applyBorder="1" applyAlignment="1" applyProtection="1">
      <alignment horizontal="left"/>
    </xf>
    <xf numFmtId="168" fontId="16" fillId="16" borderId="16" xfId="0" applyNumberFormat="1" applyFont="1" applyFill="1" applyBorder="1" applyAlignment="1">
      <alignment horizontal="right"/>
    </xf>
    <xf numFmtId="168" fontId="16" fillId="16" borderId="17" xfId="0" applyNumberFormat="1" applyFont="1" applyFill="1" applyBorder="1" applyAlignment="1">
      <alignment horizontal="right"/>
    </xf>
    <xf numFmtId="168" fontId="16" fillId="0" borderId="17" xfId="0" applyNumberFormat="1" applyFont="1" applyFill="1" applyBorder="1" applyAlignment="1">
      <alignment horizontal="right"/>
    </xf>
    <xf numFmtId="168" fontId="16" fillId="0" borderId="16" xfId="0" applyNumberFormat="1" applyFont="1" applyFill="1" applyBorder="1" applyAlignment="1">
      <alignment horizontal="right"/>
    </xf>
    <xf numFmtId="171" fontId="17" fillId="16" borderId="0" xfId="0" applyNumberFormat="1" applyFont="1" applyFill="1" applyAlignment="1" applyProtection="1"/>
    <xf numFmtId="37" fontId="3" fillId="17" borderId="0" xfId="0" applyNumberFormat="1" applyFont="1" applyFill="1" applyAlignment="1" applyProtection="1"/>
    <xf numFmtId="3" fontId="5" fillId="16" borderId="0" xfId="0" applyNumberFormat="1" applyFont="1" applyFill="1" applyAlignment="1">
      <alignment horizontal="right"/>
    </xf>
    <xf numFmtId="3" fontId="5" fillId="0" borderId="0" xfId="0" applyNumberFormat="1" applyFont="1" applyFill="1" applyAlignment="1">
      <alignment horizontal="right"/>
    </xf>
    <xf numFmtId="37" fontId="17" fillId="17" borderId="0" xfId="0" applyNumberFormat="1" applyFont="1" applyFill="1" applyBorder="1" applyAlignment="1" applyProtection="1"/>
    <xf numFmtId="37" fontId="3" fillId="17" borderId="0" xfId="0" applyNumberFormat="1" applyFont="1" applyFill="1" applyBorder="1" applyAlignment="1" applyProtection="1"/>
    <xf numFmtId="0" fontId="5" fillId="16" borderId="0" xfId="0" applyFont="1" applyFill="1" applyAlignment="1">
      <alignment horizontal="right"/>
    </xf>
    <xf numFmtId="0" fontId="5" fillId="0" borderId="0" xfId="0" applyFont="1" applyFill="1"/>
    <xf numFmtId="37" fontId="5" fillId="16" borderId="0" xfId="0" applyNumberFormat="1" applyFont="1" applyFill="1"/>
    <xf numFmtId="37" fontId="14" fillId="16" borderId="0" xfId="0" applyNumberFormat="1" applyFont="1" applyFill="1"/>
    <xf numFmtId="0" fontId="17" fillId="16" borderId="0" xfId="0" quotePrefix="1" applyFont="1" applyFill="1" applyAlignment="1" applyProtection="1">
      <alignment horizontal="left"/>
    </xf>
    <xf numFmtId="0" fontId="15" fillId="18" borderId="18" xfId="70" applyFont="1" applyFill="1" applyBorder="1" applyProtection="1"/>
    <xf numFmtId="177" fontId="2" fillId="18" borderId="16" xfId="0" applyNumberFormat="1" applyFont="1" applyFill="1" applyBorder="1" applyAlignment="1">
      <alignment horizontal="center"/>
    </xf>
    <xf numFmtId="0" fontId="2" fillId="18" borderId="16" xfId="0" applyFont="1" applyFill="1" applyBorder="1" applyAlignment="1">
      <alignment horizontal="center"/>
    </xf>
    <xf numFmtId="37" fontId="2" fillId="18" borderId="19" xfId="0" applyNumberFormat="1" applyFont="1" applyFill="1" applyBorder="1"/>
    <xf numFmtId="171" fontId="5" fillId="16" borderId="13" xfId="70" applyNumberFormat="1" applyFont="1" applyFill="1" applyBorder="1" applyProtection="1"/>
    <xf numFmtId="171" fontId="5" fillId="16" borderId="0" xfId="37" applyNumberFormat="1" applyFont="1" applyFill="1" applyBorder="1" applyAlignment="1">
      <alignment horizontal="right"/>
    </xf>
    <xf numFmtId="171" fontId="5" fillId="16" borderId="20" xfId="37" applyNumberFormat="1" applyFont="1" applyFill="1" applyBorder="1" applyAlignment="1">
      <alignment horizontal="right"/>
    </xf>
    <xf numFmtId="37" fontId="5" fillId="16" borderId="0" xfId="37" applyNumberFormat="1" applyFont="1" applyFill="1" applyBorder="1" applyAlignment="1">
      <alignment horizontal="right"/>
    </xf>
    <xf numFmtId="171" fontId="5" fillId="0" borderId="0" xfId="0" applyNumberFormat="1" applyFont="1" applyFill="1"/>
    <xf numFmtId="171" fontId="5" fillId="16" borderId="12" xfId="37" applyNumberFormat="1" applyFont="1" applyFill="1" applyBorder="1" applyAlignment="1">
      <alignment horizontal="right"/>
    </xf>
    <xf numFmtId="7" fontId="5" fillId="16" borderId="21" xfId="70" applyNumberFormat="1" applyFont="1" applyFill="1" applyBorder="1" applyProtection="1"/>
    <xf numFmtId="7" fontId="5" fillId="16" borderId="14" xfId="39" applyNumberFormat="1" applyFont="1" applyFill="1" applyBorder="1" applyAlignment="1">
      <alignment horizontal="right"/>
    </xf>
    <xf numFmtId="7" fontId="5" fillId="0" borderId="22" xfId="39" applyNumberFormat="1" applyFont="1" applyFill="1" applyBorder="1" applyAlignment="1">
      <alignment horizontal="right"/>
    </xf>
    <xf numFmtId="44" fontId="5" fillId="16" borderId="14" xfId="39" applyFont="1" applyFill="1" applyBorder="1" applyAlignment="1">
      <alignment horizontal="right"/>
    </xf>
    <xf numFmtId="0" fontId="5" fillId="16" borderId="0" xfId="70" applyFont="1" applyFill="1" applyBorder="1" applyProtection="1"/>
    <xf numFmtId="177" fontId="5" fillId="16" borderId="0" xfId="0" applyNumberFormat="1" applyFont="1" applyFill="1" applyAlignment="1">
      <alignment horizontal="right"/>
    </xf>
    <xf numFmtId="177" fontId="5" fillId="16" borderId="0" xfId="0" applyNumberFormat="1" applyFont="1" applyFill="1" applyBorder="1" applyAlignment="1">
      <alignment horizontal="right"/>
    </xf>
    <xf numFmtId="37" fontId="5" fillId="16" borderId="0" xfId="0" applyNumberFormat="1" applyFont="1" applyFill="1" applyAlignment="1">
      <alignment horizontal="right"/>
    </xf>
    <xf numFmtId="177" fontId="2" fillId="18" borderId="16" xfId="0" applyNumberFormat="1" applyFont="1" applyFill="1" applyBorder="1" applyAlignment="1">
      <alignment horizontal="right"/>
    </xf>
    <xf numFmtId="0" fontId="2" fillId="18" borderId="16" xfId="0" applyFont="1" applyFill="1" applyBorder="1" applyAlignment="1">
      <alignment horizontal="right"/>
    </xf>
    <xf numFmtId="37" fontId="2" fillId="18" borderId="19" xfId="0" applyNumberFormat="1" applyFont="1" applyFill="1" applyBorder="1" applyAlignment="1">
      <alignment horizontal="right"/>
    </xf>
    <xf numFmtId="164" fontId="5" fillId="16" borderId="13" xfId="70" applyNumberFormat="1" applyFont="1" applyFill="1" applyBorder="1" applyProtection="1"/>
    <xf numFmtId="164" fontId="5" fillId="0" borderId="0" xfId="0" applyNumberFormat="1" applyFont="1" applyFill="1" applyBorder="1" applyAlignment="1">
      <alignment horizontal="right"/>
    </xf>
    <xf numFmtId="164" fontId="5" fillId="0" borderId="0" xfId="63" applyNumberFormat="1" applyFont="1" applyFill="1" applyBorder="1" applyAlignment="1">
      <alignment horizontal="right"/>
    </xf>
    <xf numFmtId="164" fontId="5" fillId="0" borderId="20" xfId="0" applyNumberFormat="1" applyFont="1" applyFill="1" applyBorder="1" applyAlignment="1">
      <alignment horizontal="right"/>
    </xf>
    <xf numFmtId="164" fontId="5" fillId="0" borderId="20" xfId="63" applyNumberFormat="1" applyFont="1" applyFill="1" applyBorder="1" applyAlignment="1">
      <alignment horizontal="right"/>
    </xf>
    <xf numFmtId="164" fontId="5" fillId="0" borderId="12" xfId="0" applyNumberFormat="1" applyFont="1" applyFill="1" applyBorder="1" applyAlignment="1">
      <alignment horizontal="right"/>
    </xf>
    <xf numFmtId="164" fontId="5" fillId="0" borderId="12" xfId="63" applyNumberFormat="1" applyFont="1" applyFill="1" applyBorder="1" applyAlignment="1">
      <alignment horizontal="right"/>
    </xf>
    <xf numFmtId="164" fontId="5" fillId="0" borderId="21" xfId="70" applyNumberFormat="1" applyFont="1" applyFill="1" applyBorder="1" applyProtection="1"/>
    <xf numFmtId="164" fontId="5" fillId="0" borderId="14" xfId="0" applyNumberFormat="1" applyFont="1" applyFill="1" applyBorder="1" applyAlignment="1">
      <alignment horizontal="right"/>
    </xf>
    <xf numFmtId="164" fontId="5" fillId="0" borderId="22" xfId="0" applyNumberFormat="1" applyFont="1" applyFill="1" applyBorder="1" applyAlignment="1">
      <alignment horizontal="right"/>
    </xf>
    <xf numFmtId="171" fontId="5" fillId="0" borderId="13" xfId="70" applyNumberFormat="1" applyFont="1" applyFill="1" applyBorder="1" applyProtection="1"/>
    <xf numFmtId="171" fontId="5" fillId="0" borderId="0" xfId="0" applyNumberFormat="1" applyFont="1" applyFill="1" applyBorder="1" applyAlignment="1">
      <alignment horizontal="right"/>
    </xf>
    <xf numFmtId="171" fontId="5" fillId="0" borderId="20" xfId="0" applyNumberFormat="1" applyFont="1" applyFill="1" applyBorder="1" applyAlignment="1">
      <alignment horizontal="right"/>
    </xf>
    <xf numFmtId="171" fontId="5" fillId="0" borderId="12" xfId="0" applyNumberFormat="1" applyFont="1" applyFill="1" applyBorder="1" applyAlignment="1">
      <alignment horizontal="right"/>
    </xf>
    <xf numFmtId="171" fontId="5" fillId="16" borderId="21" xfId="70" applyNumberFormat="1" applyFont="1" applyFill="1" applyBorder="1" applyProtection="1"/>
    <xf numFmtId="171" fontId="5" fillId="0" borderId="14" xfId="0" applyNumberFormat="1" applyFont="1" applyFill="1" applyBorder="1" applyAlignment="1">
      <alignment horizontal="right"/>
    </xf>
    <xf numFmtId="171" fontId="5" fillId="0" borderId="22" xfId="0" applyNumberFormat="1" applyFont="1" applyFill="1" applyBorder="1" applyAlignment="1">
      <alignment horizontal="right"/>
    </xf>
    <xf numFmtId="9" fontId="5" fillId="0" borderId="22" xfId="63" applyFont="1" applyFill="1" applyBorder="1" applyAlignment="1">
      <alignment horizontal="right"/>
    </xf>
    <xf numFmtId="9" fontId="5" fillId="0" borderId="14" xfId="63" applyFont="1" applyFill="1" applyBorder="1" applyAlignment="1">
      <alignment horizontal="right"/>
    </xf>
    <xf numFmtId="173" fontId="5" fillId="16" borderId="0" xfId="70" applyNumberFormat="1" applyFont="1" applyFill="1" applyBorder="1" applyProtection="1"/>
    <xf numFmtId="173" fontId="15" fillId="18" borderId="18" xfId="70" applyNumberFormat="1" applyFont="1" applyFill="1" applyBorder="1" applyProtection="1"/>
    <xf numFmtId="178" fontId="5" fillId="0" borderId="13" xfId="70" applyNumberFormat="1" applyFont="1" applyFill="1" applyBorder="1" applyProtection="1"/>
    <xf numFmtId="178" fontId="5" fillId="0" borderId="0" xfId="70" applyNumberFormat="1" applyFont="1" applyFill="1" applyBorder="1" applyAlignment="1" applyProtection="1">
      <alignment horizontal="right"/>
    </xf>
    <xf numFmtId="178" fontId="5" fillId="0" borderId="20" xfId="70" applyNumberFormat="1" applyFont="1" applyFill="1" applyBorder="1" applyAlignment="1" applyProtection="1">
      <alignment horizontal="right"/>
    </xf>
    <xf numFmtId="173" fontId="5" fillId="0" borderId="13" xfId="54" applyNumberFormat="1" applyFont="1" applyFill="1" applyBorder="1"/>
    <xf numFmtId="178" fontId="5" fillId="0" borderId="12" xfId="70" applyNumberFormat="1" applyFont="1" applyFill="1" applyBorder="1" applyAlignment="1" applyProtection="1">
      <alignment horizontal="right"/>
    </xf>
    <xf numFmtId="173" fontId="5" fillId="0" borderId="21" xfId="54" applyNumberFormat="1" applyFont="1" applyFill="1" applyBorder="1"/>
    <xf numFmtId="178" fontId="5" fillId="0" borderId="14" xfId="70" applyNumberFormat="1" applyFont="1" applyFill="1" applyBorder="1" applyAlignment="1" applyProtection="1">
      <alignment horizontal="right"/>
    </xf>
    <xf numFmtId="178" fontId="5" fillId="0" borderId="22" xfId="70" applyNumberFormat="1" applyFont="1" applyFill="1" applyBorder="1" applyAlignment="1" applyProtection="1">
      <alignment horizontal="right"/>
    </xf>
    <xf numFmtId="37" fontId="5" fillId="16" borderId="13" xfId="54" applyNumberFormat="1" applyFont="1" applyFill="1" applyBorder="1"/>
    <xf numFmtId="37" fontId="5" fillId="0" borderId="0" xfId="0" applyNumberFormat="1" applyFont="1" applyFill="1" applyBorder="1" applyAlignment="1">
      <alignment horizontal="right"/>
    </xf>
    <xf numFmtId="37" fontId="5" fillId="0" borderId="12" xfId="0" applyNumberFormat="1" applyFont="1" applyFill="1" applyBorder="1" applyAlignment="1">
      <alignment horizontal="right"/>
    </xf>
    <xf numFmtId="37" fontId="5" fillId="0" borderId="0" xfId="0" applyNumberFormat="1" applyFont="1" applyFill="1"/>
    <xf numFmtId="37" fontId="5" fillId="16" borderId="21" xfId="54" applyNumberFormat="1" applyFont="1" applyFill="1" applyBorder="1"/>
    <xf numFmtId="37" fontId="5" fillId="16" borderId="14" xfId="0" applyNumberFormat="1" applyFont="1" applyFill="1" applyBorder="1" applyAlignment="1">
      <alignment horizontal="right"/>
    </xf>
    <xf numFmtId="37" fontId="5" fillId="16" borderId="22" xfId="0" applyNumberFormat="1" applyFont="1" applyFill="1" applyBorder="1" applyAlignment="1">
      <alignment horizontal="right"/>
    </xf>
    <xf numFmtId="173" fontId="5" fillId="16" borderId="0" xfId="54" applyNumberFormat="1" applyFont="1" applyFill="1" applyBorder="1"/>
    <xf numFmtId="164" fontId="5" fillId="16" borderId="13" xfId="63" applyNumberFormat="1" applyFont="1" applyFill="1" applyBorder="1"/>
    <xf numFmtId="164" fontId="5" fillId="16" borderId="0" xfId="63" applyNumberFormat="1" applyFont="1" applyFill="1" applyBorder="1" applyAlignment="1">
      <alignment horizontal="right"/>
    </xf>
    <xf numFmtId="164" fontId="5" fillId="16" borderId="12" xfId="63" applyNumberFormat="1" applyFont="1" applyFill="1" applyBorder="1" applyAlignment="1">
      <alignment horizontal="right"/>
    </xf>
    <xf numFmtId="164" fontId="5" fillId="16" borderId="21" xfId="63" applyNumberFormat="1" applyFont="1" applyFill="1" applyBorder="1"/>
    <xf numFmtId="164" fontId="5" fillId="16" borderId="14" xfId="63" applyNumberFormat="1" applyFont="1" applyFill="1" applyBorder="1" applyAlignment="1">
      <alignment horizontal="right"/>
    </xf>
    <xf numFmtId="164" fontId="5" fillId="16" borderId="22" xfId="63" applyNumberFormat="1" applyFont="1" applyFill="1" applyBorder="1" applyAlignment="1">
      <alignment horizontal="right"/>
    </xf>
    <xf numFmtId="164" fontId="5" fillId="0" borderId="14" xfId="63" applyNumberFormat="1" applyFont="1" applyFill="1" applyBorder="1" applyAlignment="1">
      <alignment horizontal="right"/>
    </xf>
    <xf numFmtId="177" fontId="2" fillId="18" borderId="19" xfId="0" applyNumberFormat="1" applyFont="1" applyFill="1" applyBorder="1" applyAlignment="1">
      <alignment horizontal="right"/>
    </xf>
    <xf numFmtId="171" fontId="5" fillId="0" borderId="13" xfId="70" applyNumberFormat="1" applyFont="1" applyFill="1" applyBorder="1" applyAlignment="1" applyProtection="1">
      <alignment horizontal="left" indent="1"/>
    </xf>
    <xf numFmtId="171" fontId="19" fillId="0" borderId="0" xfId="0" applyNumberFormat="1" applyFont="1" applyFill="1" applyBorder="1" applyAlignment="1">
      <alignment horizontal="right"/>
    </xf>
    <xf numFmtId="171" fontId="19" fillId="0" borderId="12" xfId="0" applyNumberFormat="1" applyFont="1" applyFill="1" applyBorder="1" applyAlignment="1">
      <alignment horizontal="right"/>
    </xf>
    <xf numFmtId="168" fontId="5" fillId="0" borderId="21" xfId="70" applyNumberFormat="1" applyFont="1" applyFill="1" applyBorder="1" applyProtection="1"/>
    <xf numFmtId="168" fontId="5" fillId="0" borderId="14" xfId="0" applyNumberFormat="1" applyFont="1" applyFill="1" applyBorder="1" applyAlignment="1">
      <alignment horizontal="right"/>
    </xf>
    <xf numFmtId="168" fontId="5" fillId="0" borderId="22" xfId="0" applyNumberFormat="1" applyFont="1" applyFill="1" applyBorder="1" applyAlignment="1">
      <alignment horizontal="right"/>
    </xf>
    <xf numFmtId="0" fontId="5" fillId="0" borderId="0" xfId="70" applyFont="1" applyFill="1" applyBorder="1" applyProtection="1"/>
    <xf numFmtId="177" fontId="5" fillId="0" borderId="0" xfId="0" applyNumberFormat="1" applyFont="1" applyFill="1" applyAlignment="1">
      <alignment horizontal="right"/>
    </xf>
    <xf numFmtId="0" fontId="5" fillId="0" borderId="0" xfId="0" applyFont="1" applyFill="1" applyAlignment="1">
      <alignment horizontal="right"/>
    </xf>
    <xf numFmtId="0" fontId="5" fillId="0" borderId="13" xfId="70" applyFont="1" applyFill="1" applyBorder="1" applyProtection="1"/>
    <xf numFmtId="177" fontId="5" fillId="0" borderId="0" xfId="0" applyNumberFormat="1" applyFont="1" applyFill="1" applyBorder="1" applyAlignment="1">
      <alignment horizontal="right"/>
    </xf>
    <xf numFmtId="0" fontId="22" fillId="0" borderId="13" xfId="70" applyFont="1" applyFill="1" applyBorder="1" applyProtection="1"/>
    <xf numFmtId="0" fontId="5" fillId="0" borderId="12" xfId="0" applyFont="1" applyFill="1" applyBorder="1" applyAlignment="1">
      <alignment horizontal="right"/>
    </xf>
    <xf numFmtId="177" fontId="5" fillId="0" borderId="12" xfId="0" applyNumberFormat="1" applyFont="1" applyFill="1" applyBorder="1" applyAlignment="1">
      <alignment horizontal="right"/>
    </xf>
    <xf numFmtId="164" fontId="5" fillId="0" borderId="13" xfId="70" applyNumberFormat="1" applyFont="1" applyFill="1" applyBorder="1" applyAlignment="1" applyProtection="1">
      <alignment horizontal="left" indent="2"/>
    </xf>
    <xf numFmtId="168" fontId="5" fillId="0" borderId="13" xfId="70" applyNumberFormat="1" applyFont="1" applyFill="1" applyBorder="1" applyProtection="1"/>
    <xf numFmtId="171" fontId="6" fillId="0" borderId="12" xfId="0" applyNumberFormat="1" applyFont="1" applyFill="1" applyBorder="1"/>
    <xf numFmtId="168" fontId="5" fillId="0" borderId="0" xfId="0" applyNumberFormat="1" applyFont="1" applyFill="1" applyBorder="1" applyAlignment="1">
      <alignment horizontal="right"/>
    </xf>
    <xf numFmtId="171" fontId="6" fillId="0" borderId="0" xfId="0" applyNumberFormat="1" applyFont="1" applyFill="1" applyBorder="1"/>
    <xf numFmtId="168" fontId="5" fillId="0" borderId="12" xfId="0" applyNumberFormat="1" applyFont="1" applyFill="1" applyBorder="1" applyAlignment="1">
      <alignment horizontal="right"/>
    </xf>
    <xf numFmtId="177" fontId="14" fillId="0" borderId="0" xfId="0" applyNumberFormat="1" applyFont="1" applyFill="1" applyBorder="1" applyAlignment="1">
      <alignment horizontal="right"/>
    </xf>
    <xf numFmtId="177" fontId="14" fillId="0" borderId="12" xfId="0" applyNumberFormat="1" applyFont="1" applyFill="1" applyBorder="1" applyAlignment="1">
      <alignment horizontal="right"/>
    </xf>
    <xf numFmtId="171" fontId="5" fillId="0" borderId="21" xfId="0" applyNumberFormat="1" applyFont="1" applyFill="1" applyBorder="1"/>
    <xf numFmtId="164" fontId="6" fillId="0" borderId="0" xfId="63" applyNumberFormat="1" applyFont="1" applyFill="1" applyBorder="1" applyAlignment="1" applyProtection="1">
      <alignment horizontal="right"/>
    </xf>
    <xf numFmtId="173" fontId="5" fillId="0" borderId="0" xfId="70" applyNumberFormat="1" applyFont="1" applyFill="1" applyBorder="1" applyProtection="1"/>
    <xf numFmtId="177" fontId="5" fillId="0" borderId="0" xfId="0" applyNumberFormat="1" applyFont="1" applyFill="1" applyAlignment="1">
      <alignment horizontal="center"/>
    </xf>
    <xf numFmtId="0" fontId="5" fillId="0" borderId="0" xfId="0" applyFont="1" applyFill="1" applyAlignment="1">
      <alignment horizontal="center"/>
    </xf>
    <xf numFmtId="177" fontId="5" fillId="0" borderId="0" xfId="0" applyNumberFormat="1" applyFont="1" applyFill="1" applyBorder="1" applyAlignment="1">
      <alignment horizontal="center"/>
    </xf>
    <xf numFmtId="177" fontId="2" fillId="18" borderId="19" xfId="0" applyNumberFormat="1" applyFont="1" applyFill="1" applyBorder="1" applyAlignment="1">
      <alignment horizontal="center"/>
    </xf>
    <xf numFmtId="0" fontId="5" fillId="16" borderId="13" xfId="70" applyFont="1" applyFill="1" applyBorder="1" applyAlignment="1" applyProtection="1">
      <alignment horizontal="left" indent="1"/>
    </xf>
    <xf numFmtId="9" fontId="19" fillId="0" borderId="0" xfId="63" applyFont="1" applyFill="1" applyBorder="1" applyAlignment="1">
      <alignment horizontal="right"/>
    </xf>
    <xf numFmtId="9" fontId="19" fillId="0" borderId="12" xfId="63" applyFont="1" applyFill="1" applyBorder="1" applyAlignment="1">
      <alignment horizontal="right"/>
    </xf>
    <xf numFmtId="177" fontId="19" fillId="0" borderId="0" xfId="0" applyNumberFormat="1" applyFont="1" applyFill="1" applyBorder="1" applyAlignment="1">
      <alignment horizontal="right"/>
    </xf>
    <xf numFmtId="9" fontId="5" fillId="0" borderId="12" xfId="63" applyFont="1" applyFill="1" applyBorder="1" applyAlignment="1">
      <alignment horizontal="right"/>
    </xf>
    <xf numFmtId="0" fontId="5" fillId="16" borderId="21" xfId="70" applyFont="1" applyFill="1" applyBorder="1" applyAlignment="1" applyProtection="1">
      <alignment horizontal="left" indent="1"/>
    </xf>
    <xf numFmtId="177" fontId="5" fillId="0" borderId="14" xfId="0" applyNumberFormat="1" applyFont="1" applyFill="1" applyBorder="1" applyAlignment="1">
      <alignment horizontal="right"/>
    </xf>
    <xf numFmtId="0" fontId="5" fillId="0" borderId="22" xfId="0" applyFont="1" applyFill="1" applyBorder="1" applyAlignment="1">
      <alignment horizontal="right"/>
    </xf>
    <xf numFmtId="9" fontId="19" fillId="0" borderId="14" xfId="63" applyFont="1" applyFill="1" applyBorder="1" applyAlignment="1">
      <alignment horizontal="right"/>
    </xf>
    <xf numFmtId="9" fontId="19" fillId="0" borderId="22" xfId="63" applyFont="1" applyFill="1" applyBorder="1" applyAlignment="1">
      <alignment horizontal="right"/>
    </xf>
    <xf numFmtId="177" fontId="19" fillId="0" borderId="14" xfId="0" applyNumberFormat="1" applyFont="1" applyFill="1" applyBorder="1" applyAlignment="1">
      <alignment horizontal="right"/>
    </xf>
    <xf numFmtId="177" fontId="5" fillId="0" borderId="22" xfId="0" applyNumberFormat="1" applyFont="1" applyFill="1" applyBorder="1" applyAlignment="1">
      <alignment horizontal="right"/>
    </xf>
    <xf numFmtId="37" fontId="14" fillId="16" borderId="0" xfId="0" applyNumberFormat="1" applyFont="1" applyFill="1" applyAlignment="1">
      <alignment horizontal="right"/>
    </xf>
    <xf numFmtId="171" fontId="5" fillId="16" borderId="0" xfId="0" applyNumberFormat="1" applyFont="1" applyFill="1" applyBorder="1" applyAlignment="1">
      <alignment horizontal="right"/>
    </xf>
    <xf numFmtId="171" fontId="5" fillId="16" borderId="12" xfId="0" applyNumberFormat="1" applyFont="1" applyFill="1" applyBorder="1" applyAlignment="1">
      <alignment horizontal="right"/>
    </xf>
    <xf numFmtId="164" fontId="16" fillId="16" borderId="13" xfId="70" applyNumberFormat="1" applyFont="1" applyFill="1" applyBorder="1" applyProtection="1"/>
    <xf numFmtId="164" fontId="5" fillId="16" borderId="0" xfId="0" applyNumberFormat="1" applyFont="1" applyFill="1" applyBorder="1" applyAlignment="1">
      <alignment horizontal="right"/>
    </xf>
    <xf numFmtId="164" fontId="5" fillId="16" borderId="12" xfId="0" applyNumberFormat="1" applyFont="1" applyFill="1" applyBorder="1" applyAlignment="1">
      <alignment horizontal="right"/>
    </xf>
    <xf numFmtId="168" fontId="16" fillId="16" borderId="13" xfId="70" applyNumberFormat="1" applyFont="1" applyFill="1" applyBorder="1" applyProtection="1"/>
    <xf numFmtId="168" fontId="16" fillId="16" borderId="0" xfId="0" applyNumberFormat="1" applyFont="1" applyFill="1" applyBorder="1" applyAlignment="1">
      <alignment horizontal="right"/>
    </xf>
    <xf numFmtId="168" fontId="16" fillId="16" borderId="12" xfId="0" applyNumberFormat="1" applyFont="1" applyFill="1" applyBorder="1" applyAlignment="1">
      <alignment horizontal="right"/>
    </xf>
    <xf numFmtId="37" fontId="5" fillId="16" borderId="13" xfId="70" applyNumberFormat="1" applyFont="1" applyFill="1" applyBorder="1" applyProtection="1"/>
    <xf numFmtId="37" fontId="5" fillId="16" borderId="0" xfId="0" applyNumberFormat="1" applyFont="1" applyFill="1" applyBorder="1" applyAlignment="1">
      <alignment horizontal="right"/>
    </xf>
    <xf numFmtId="37" fontId="5" fillId="16" borderId="12" xfId="0" applyNumberFormat="1" applyFont="1" applyFill="1" applyBorder="1" applyAlignment="1">
      <alignment horizontal="right"/>
    </xf>
    <xf numFmtId="164" fontId="16" fillId="16" borderId="0" xfId="63" applyNumberFormat="1" applyFont="1" applyFill="1" applyBorder="1" applyAlignment="1">
      <alignment horizontal="right"/>
    </xf>
    <xf numFmtId="171" fontId="5" fillId="16" borderId="14" xfId="0" applyNumberFormat="1" applyFont="1" applyFill="1" applyBorder="1" applyAlignment="1">
      <alignment horizontal="right"/>
    </xf>
    <xf numFmtId="171" fontId="5" fillId="16" borderId="22" xfId="0" applyNumberFormat="1" applyFont="1" applyFill="1" applyBorder="1" applyAlignment="1">
      <alignment horizontal="right"/>
    </xf>
    <xf numFmtId="0" fontId="2" fillId="18" borderId="16" xfId="0" applyFont="1" applyFill="1" applyBorder="1"/>
    <xf numFmtId="0" fontId="2" fillId="18" borderId="19" xfId="0" applyFont="1" applyFill="1" applyBorder="1"/>
    <xf numFmtId="171" fontId="5" fillId="0" borderId="13" xfId="0" applyNumberFormat="1" applyFont="1" applyBorder="1"/>
    <xf numFmtId="171" fontId="5" fillId="0" borderId="0" xfId="0" applyNumberFormat="1" applyFont="1" applyBorder="1" applyAlignment="1">
      <alignment horizontal="right"/>
    </xf>
    <xf numFmtId="171" fontId="19" fillId="16" borderId="0" xfId="0" applyNumberFormat="1" applyFont="1" applyFill="1" applyBorder="1" applyAlignment="1">
      <alignment horizontal="right"/>
    </xf>
    <xf numFmtId="168" fontId="5" fillId="0" borderId="13" xfId="0" applyNumberFormat="1" applyFont="1" applyBorder="1"/>
    <xf numFmtId="168" fontId="5" fillId="0" borderId="0" xfId="0" applyNumberFormat="1" applyFont="1" applyBorder="1" applyAlignment="1">
      <alignment horizontal="right"/>
    </xf>
    <xf numFmtId="168" fontId="5" fillId="16" borderId="0" xfId="0" applyNumberFormat="1" applyFont="1" applyFill="1" applyBorder="1" applyAlignment="1">
      <alignment horizontal="right"/>
    </xf>
    <xf numFmtId="168" fontId="5" fillId="16" borderId="12" xfId="0" applyNumberFormat="1" applyFont="1" applyFill="1" applyBorder="1" applyAlignment="1">
      <alignment horizontal="right"/>
    </xf>
    <xf numFmtId="168" fontId="19" fillId="16" borderId="0" xfId="0" applyNumberFormat="1" applyFont="1" applyFill="1" applyBorder="1" applyAlignment="1">
      <alignment horizontal="right"/>
    </xf>
    <xf numFmtId="171" fontId="19" fillId="16" borderId="12" xfId="0" applyNumberFormat="1" applyFont="1" applyFill="1" applyBorder="1" applyAlignment="1">
      <alignment horizontal="right"/>
    </xf>
    <xf numFmtId="164" fontId="5" fillId="0" borderId="21" xfId="0" applyNumberFormat="1" applyFont="1" applyBorder="1"/>
    <xf numFmtId="164" fontId="5" fillId="0" borderId="14" xfId="0" applyNumberFormat="1" applyFont="1" applyBorder="1" applyAlignment="1">
      <alignment horizontal="right"/>
    </xf>
    <xf numFmtId="164" fontId="5" fillId="16" borderId="14" xfId="0" applyNumberFormat="1" applyFont="1" applyFill="1" applyBorder="1" applyAlignment="1">
      <alignment horizontal="right"/>
    </xf>
    <xf numFmtId="164" fontId="5" fillId="16" borderId="22" xfId="0" applyNumberFormat="1" applyFont="1" applyFill="1" applyBorder="1" applyAlignment="1">
      <alignment horizontal="right"/>
    </xf>
    <xf numFmtId="0" fontId="5" fillId="0" borderId="0" xfId="0" applyFont="1"/>
    <xf numFmtId="164" fontId="5" fillId="0" borderId="0" xfId="0" applyNumberFormat="1" applyFont="1"/>
    <xf numFmtId="0" fontId="0" fillId="0" borderId="14" xfId="0" applyBorder="1"/>
    <xf numFmtId="9" fontId="5" fillId="16" borderId="0" xfId="0" applyNumberFormat="1" applyFont="1" applyFill="1"/>
    <xf numFmtId="189" fontId="5" fillId="16" borderId="14" xfId="0" applyNumberFormat="1" applyFont="1" applyFill="1" applyBorder="1"/>
    <xf numFmtId="37" fontId="5" fillId="16" borderId="11" xfId="0" applyNumberFormat="1" applyFont="1" applyFill="1" applyBorder="1"/>
    <xf numFmtId="166" fontId="5" fillId="16" borderId="11" xfId="37" applyNumberFormat="1" applyFont="1" applyFill="1" applyBorder="1"/>
    <xf numFmtId="0" fontId="5" fillId="16" borderId="0" xfId="0" applyFont="1" applyFill="1" applyBorder="1" applyAlignment="1">
      <alignment horizontal="center"/>
    </xf>
    <xf numFmtId="37" fontId="3" fillId="16" borderId="0" xfId="0" applyNumberFormat="1" applyFont="1" applyFill="1" applyBorder="1" applyAlignment="1" applyProtection="1"/>
    <xf numFmtId="37" fontId="5" fillId="16" borderId="0" xfId="0" applyNumberFormat="1" applyFont="1" applyFill="1" applyAlignment="1">
      <alignment horizontal="center"/>
    </xf>
    <xf numFmtId="168" fontId="19" fillId="0" borderId="0" xfId="0" applyNumberFormat="1" applyFont="1" applyFill="1" applyAlignment="1">
      <alignment horizontal="right"/>
    </xf>
    <xf numFmtId="37" fontId="5" fillId="0" borderId="0" xfId="0" applyNumberFormat="1" applyFont="1" applyFill="1" applyAlignment="1">
      <alignment horizontal="right"/>
    </xf>
    <xf numFmtId="168" fontId="5" fillId="16" borderId="0" xfId="0" applyNumberFormat="1" applyFont="1" applyFill="1"/>
    <xf numFmtId="171" fontId="17" fillId="0" borderId="0" xfId="0" applyNumberFormat="1" applyFont="1" applyFill="1" applyAlignment="1" applyProtection="1"/>
    <xf numFmtId="171" fontId="19" fillId="0" borderId="0" xfId="0" applyNumberFormat="1" applyFont="1" applyFill="1" applyAlignment="1">
      <alignment horizontal="right"/>
    </xf>
    <xf numFmtId="171" fontId="5" fillId="16" borderId="0" xfId="0" applyNumberFormat="1" applyFont="1" applyFill="1"/>
    <xf numFmtId="171" fontId="17" fillId="0" borderId="0" xfId="0" applyNumberFormat="1" applyFont="1" applyFill="1" applyBorder="1" applyAlignment="1" applyProtection="1"/>
    <xf numFmtId="171" fontId="17" fillId="0" borderId="0" xfId="0" applyNumberFormat="1" applyFont="1" applyFill="1" applyAlignment="1" applyProtection="1">
      <alignment horizontal="left"/>
    </xf>
    <xf numFmtId="171" fontId="52" fillId="0" borderId="0" xfId="0" applyNumberFormat="1" applyFont="1" applyFill="1" applyAlignment="1" applyProtection="1"/>
    <xf numFmtId="171" fontId="3" fillId="0" borderId="0" xfId="0" applyNumberFormat="1" applyFont="1" applyFill="1" applyAlignment="1" applyProtection="1"/>
    <xf numFmtId="171" fontId="16" fillId="0" borderId="0" xfId="0" applyNumberFormat="1" applyFont="1" applyFill="1" applyAlignment="1">
      <alignment horizontal="right"/>
    </xf>
    <xf numFmtId="171" fontId="16" fillId="0" borderId="15" xfId="0" applyNumberFormat="1" applyFont="1" applyFill="1" applyBorder="1" applyAlignment="1">
      <alignment horizontal="right"/>
    </xf>
    <xf numFmtId="37" fontId="16" fillId="0" borderId="0" xfId="0" applyNumberFormat="1" applyFont="1" applyFill="1" applyAlignment="1">
      <alignment horizontal="right"/>
    </xf>
    <xf numFmtId="171" fontId="16" fillId="16" borderId="0" xfId="63" applyNumberFormat="1" applyFont="1" applyFill="1"/>
    <xf numFmtId="171" fontId="16" fillId="16" borderId="0" xfId="0" applyNumberFormat="1" applyFont="1" applyFill="1"/>
    <xf numFmtId="168" fontId="16" fillId="16" borderId="0" xfId="0" applyNumberFormat="1" applyFont="1" applyFill="1"/>
    <xf numFmtId="37" fontId="3" fillId="0" borderId="0" xfId="0" applyNumberFormat="1" applyFont="1" applyFill="1" applyAlignment="1" applyProtection="1"/>
    <xf numFmtId="37" fontId="17" fillId="0" borderId="0" xfId="0" applyNumberFormat="1" applyFont="1" applyFill="1" applyBorder="1" applyAlignment="1" applyProtection="1"/>
    <xf numFmtId="37" fontId="16" fillId="16" borderId="0" xfId="0" applyNumberFormat="1" applyFont="1" applyFill="1"/>
    <xf numFmtId="171" fontId="19" fillId="16" borderId="15" xfId="0" applyNumberFormat="1" applyFont="1" applyFill="1" applyBorder="1" applyAlignment="1">
      <alignment horizontal="right"/>
    </xf>
    <xf numFmtId="0" fontId="17" fillId="16" borderId="0" xfId="0" applyFont="1" applyFill="1" applyAlignment="1" applyProtection="1">
      <alignment horizontal="left"/>
    </xf>
    <xf numFmtId="43" fontId="5" fillId="16" borderId="0" xfId="37" applyFont="1" applyFill="1" applyAlignment="1">
      <alignment horizontal="center"/>
    </xf>
    <xf numFmtId="9" fontId="5" fillId="16" borderId="0" xfId="63" applyFont="1" applyFill="1" applyAlignment="1">
      <alignment horizontal="center"/>
    </xf>
    <xf numFmtId="164" fontId="5" fillId="16" borderId="0" xfId="63" applyNumberFormat="1" applyFont="1" applyFill="1" applyAlignment="1">
      <alignment horizontal="center"/>
    </xf>
    <xf numFmtId="37" fontId="2" fillId="18" borderId="16" xfId="0" applyNumberFormat="1" applyFont="1" applyFill="1" applyBorder="1" applyAlignment="1">
      <alignment horizontal="center"/>
    </xf>
    <xf numFmtId="37" fontId="2" fillId="18" borderId="16" xfId="0" applyNumberFormat="1" applyFont="1" applyFill="1" applyBorder="1"/>
    <xf numFmtId="168" fontId="5" fillId="16" borderId="13" xfId="70" applyNumberFormat="1" applyFont="1" applyFill="1" applyBorder="1" applyProtection="1"/>
    <xf numFmtId="168" fontId="5" fillId="16" borderId="20" xfId="0" applyNumberFormat="1" applyFont="1" applyFill="1" applyBorder="1" applyAlignment="1">
      <alignment horizontal="right"/>
    </xf>
    <xf numFmtId="5" fontId="5" fillId="16" borderId="0" xfId="0" applyNumberFormat="1" applyFont="1" applyFill="1" applyBorder="1" applyAlignment="1">
      <alignment horizontal="right"/>
    </xf>
    <xf numFmtId="7" fontId="5" fillId="16" borderId="13" xfId="70" applyNumberFormat="1" applyFont="1" applyFill="1" applyBorder="1" applyProtection="1"/>
    <xf numFmtId="7" fontId="5" fillId="16" borderId="0" xfId="39" applyNumberFormat="1" applyFont="1" applyFill="1" applyBorder="1" applyAlignment="1">
      <alignment horizontal="right"/>
    </xf>
    <xf numFmtId="7" fontId="5" fillId="0" borderId="12" xfId="0" applyNumberFormat="1" applyFont="1" applyFill="1" applyBorder="1" applyAlignment="1">
      <alignment horizontal="right"/>
    </xf>
    <xf numFmtId="7" fontId="5" fillId="0" borderId="0" xfId="39" applyNumberFormat="1" applyFont="1" applyFill="1" applyBorder="1" applyAlignment="1">
      <alignment horizontal="right"/>
    </xf>
    <xf numFmtId="7" fontId="5" fillId="16" borderId="12" xfId="39" applyNumberFormat="1" applyFont="1" applyFill="1" applyBorder="1" applyAlignment="1">
      <alignment horizontal="right"/>
    </xf>
    <xf numFmtId="7" fontId="5" fillId="16" borderId="0" xfId="0" applyNumberFormat="1" applyFont="1" applyFill="1"/>
    <xf numFmtId="164" fontId="5" fillId="16" borderId="0" xfId="0" applyNumberFormat="1" applyFont="1" applyFill="1"/>
    <xf numFmtId="164" fontId="19" fillId="16" borderId="0" xfId="63" applyNumberFormat="1" applyFont="1" applyFill="1"/>
    <xf numFmtId="7" fontId="12" fillId="16" borderId="21" xfId="0" applyNumberFormat="1" applyFont="1" applyFill="1" applyBorder="1" applyAlignment="1" applyProtection="1">
      <alignment horizontal="left"/>
    </xf>
    <xf numFmtId="7" fontId="5" fillId="16" borderId="14" xfId="0" applyNumberFormat="1" applyFont="1" applyFill="1" applyBorder="1" applyAlignment="1">
      <alignment horizontal="right"/>
    </xf>
    <xf numFmtId="7" fontId="19" fillId="16" borderId="14" xfId="0" applyNumberFormat="1" applyFont="1" applyFill="1" applyBorder="1" applyAlignment="1">
      <alignment horizontal="right"/>
    </xf>
    <xf numFmtId="7" fontId="5" fillId="16" borderId="22" xfId="0" applyNumberFormat="1" applyFont="1" applyFill="1" applyBorder="1" applyAlignment="1">
      <alignment horizontal="right"/>
    </xf>
    <xf numFmtId="7" fontId="5" fillId="0" borderId="14" xfId="0" applyNumberFormat="1" applyFont="1" applyFill="1" applyBorder="1" applyAlignment="1">
      <alignment horizontal="right"/>
    </xf>
    <xf numFmtId="0" fontId="12" fillId="16" borderId="0" xfId="0" quotePrefix="1" applyFont="1" applyFill="1" applyAlignment="1" applyProtection="1">
      <alignment horizontal="left"/>
    </xf>
    <xf numFmtId="0" fontId="5" fillId="16" borderId="13" xfId="70" applyFont="1" applyFill="1" applyBorder="1" applyProtection="1"/>
    <xf numFmtId="171" fontId="18" fillId="16" borderId="12" xfId="0" applyNumberFormat="1" applyFont="1" applyFill="1" applyBorder="1" applyAlignment="1">
      <alignment horizontal="right"/>
    </xf>
    <xf numFmtId="171" fontId="5" fillId="16" borderId="13" xfId="70" applyNumberFormat="1" applyFont="1" applyFill="1" applyBorder="1" applyAlignment="1" applyProtection="1">
      <alignment horizontal="left" indent="1"/>
    </xf>
    <xf numFmtId="171" fontId="16" fillId="16" borderId="0" xfId="0" applyNumberFormat="1" applyFont="1" applyFill="1" applyBorder="1" applyAlignment="1">
      <alignment horizontal="right"/>
    </xf>
    <xf numFmtId="171" fontId="16" fillId="16" borderId="12" xfId="0" applyNumberFormat="1" applyFont="1" applyFill="1" applyBorder="1" applyAlignment="1">
      <alignment horizontal="right"/>
    </xf>
    <xf numFmtId="171" fontId="16" fillId="0" borderId="12" xfId="0" applyNumberFormat="1" applyFont="1" applyFill="1" applyBorder="1" applyAlignment="1">
      <alignment horizontal="right"/>
    </xf>
    <xf numFmtId="7" fontId="19" fillId="16" borderId="12" xfId="39" applyNumberFormat="1" applyFont="1" applyFill="1" applyBorder="1" applyAlignment="1">
      <alignment horizontal="right"/>
    </xf>
    <xf numFmtId="164" fontId="13" fillId="16" borderId="13" xfId="70" applyNumberFormat="1" applyFont="1" applyFill="1" applyBorder="1" applyProtection="1"/>
    <xf numFmtId="9" fontId="5" fillId="16" borderId="0" xfId="63" applyNumberFormat="1" applyFont="1" applyFill="1" applyBorder="1" applyAlignment="1">
      <alignment horizontal="right"/>
    </xf>
    <xf numFmtId="9" fontId="5" fillId="16" borderId="12" xfId="63" applyNumberFormat="1" applyFont="1" applyFill="1" applyBorder="1" applyAlignment="1">
      <alignment horizontal="right"/>
    </xf>
    <xf numFmtId="0" fontId="22" fillId="16" borderId="13" xfId="70" applyFont="1" applyFill="1" applyBorder="1" applyProtection="1"/>
    <xf numFmtId="168" fontId="19" fillId="16" borderId="12" xfId="0" applyNumberFormat="1" applyFont="1" applyFill="1" applyBorder="1" applyAlignment="1">
      <alignment horizontal="right"/>
    </xf>
    <xf numFmtId="7" fontId="5" fillId="16" borderId="0" xfId="37" applyNumberFormat="1" applyFont="1" applyFill="1" applyBorder="1" applyAlignment="1">
      <alignment horizontal="right"/>
    </xf>
    <xf numFmtId="7" fontId="5" fillId="16" borderId="12" xfId="37" applyNumberFormat="1" applyFont="1" applyFill="1" applyBorder="1" applyAlignment="1">
      <alignment horizontal="right"/>
    </xf>
    <xf numFmtId="164" fontId="13" fillId="16" borderId="21" xfId="70" applyNumberFormat="1" applyFont="1" applyFill="1" applyBorder="1" applyAlignment="1" applyProtection="1">
      <alignment horizontal="left" indent="1"/>
    </xf>
    <xf numFmtId="0" fontId="0" fillId="0" borderId="0" xfId="0" applyFill="1"/>
    <xf numFmtId="9" fontId="16" fillId="16" borderId="13" xfId="63" applyFont="1" applyFill="1" applyBorder="1" applyAlignment="1">
      <alignment horizontal="center"/>
    </xf>
    <xf numFmtId="168" fontId="19" fillId="16" borderId="13" xfId="0" applyNumberFormat="1" applyFont="1" applyFill="1" applyBorder="1" applyAlignment="1">
      <alignment horizontal="right"/>
    </xf>
    <xf numFmtId="171" fontId="19" fillId="16" borderId="13" xfId="0" applyNumberFormat="1" applyFont="1" applyFill="1" applyBorder="1" applyAlignment="1">
      <alignment horizontal="right"/>
    </xf>
    <xf numFmtId="168" fontId="16" fillId="16" borderId="18" xfId="0" applyNumberFormat="1" applyFont="1" applyFill="1" applyBorder="1" applyAlignment="1">
      <alignment horizontal="right"/>
    </xf>
    <xf numFmtId="168" fontId="5" fillId="16" borderId="13" xfId="0" applyNumberFormat="1" applyFont="1" applyFill="1" applyBorder="1" applyAlignment="1">
      <alignment horizontal="right"/>
    </xf>
    <xf numFmtId="171" fontId="5" fillId="0" borderId="13" xfId="0" applyNumberFormat="1" applyFont="1" applyFill="1" applyBorder="1" applyAlignment="1">
      <alignment horizontal="right"/>
    </xf>
    <xf numFmtId="168" fontId="16" fillId="0" borderId="18" xfId="0" applyNumberFormat="1" applyFont="1" applyFill="1" applyBorder="1" applyAlignment="1">
      <alignment horizontal="right"/>
    </xf>
    <xf numFmtId="168" fontId="3" fillId="0" borderId="22" xfId="55" applyNumberFormat="1" applyFont="1" applyFill="1" applyBorder="1"/>
    <xf numFmtId="168" fontId="16" fillId="0" borderId="22" xfId="55" applyNumberFormat="1" applyFont="1" applyFill="1" applyBorder="1"/>
    <xf numFmtId="171" fontId="5" fillId="16" borderId="13" xfId="0" applyNumberFormat="1" applyFont="1" applyFill="1" applyBorder="1" applyAlignment="1">
      <alignment horizontal="right"/>
    </xf>
    <xf numFmtId="171" fontId="19" fillId="16" borderId="23" xfId="0" applyNumberFormat="1" applyFont="1" applyFill="1" applyBorder="1" applyAlignment="1">
      <alignment horizontal="right"/>
    </xf>
    <xf numFmtId="171" fontId="19" fillId="16" borderId="24" xfId="0" applyNumberFormat="1" applyFont="1" applyFill="1" applyBorder="1" applyAlignment="1">
      <alignment horizontal="right"/>
    </xf>
    <xf numFmtId="171" fontId="5" fillId="16" borderId="23" xfId="0" applyNumberFormat="1" applyFont="1" applyFill="1" applyBorder="1" applyAlignment="1">
      <alignment horizontal="right"/>
    </xf>
    <xf numFmtId="171" fontId="5" fillId="16" borderId="24" xfId="0" applyNumberFormat="1" applyFont="1" applyFill="1" applyBorder="1" applyAlignment="1">
      <alignment horizontal="right"/>
    </xf>
    <xf numFmtId="168" fontId="19" fillId="16" borderId="15" xfId="0" applyNumberFormat="1" applyFont="1" applyFill="1" applyBorder="1" applyAlignment="1">
      <alignment horizontal="right"/>
    </xf>
    <xf numFmtId="168" fontId="19" fillId="16" borderId="23" xfId="0" applyNumberFormat="1" applyFont="1" applyFill="1" applyBorder="1" applyAlignment="1">
      <alignment horizontal="right"/>
    </xf>
    <xf numFmtId="168" fontId="19" fillId="16" borderId="24" xfId="0" applyNumberFormat="1" applyFont="1" applyFill="1" applyBorder="1" applyAlignment="1">
      <alignment horizontal="right"/>
    </xf>
    <xf numFmtId="168" fontId="16" fillId="16" borderId="25" xfId="0" applyNumberFormat="1" applyFont="1" applyFill="1" applyBorder="1" applyAlignment="1">
      <alignment horizontal="right"/>
    </xf>
    <xf numFmtId="168" fontId="16" fillId="16" borderId="26" xfId="0" applyNumberFormat="1" applyFont="1" applyFill="1" applyBorder="1" applyAlignment="1">
      <alignment horizontal="right"/>
    </xf>
    <xf numFmtId="168" fontId="5" fillId="0" borderId="13" xfId="0" applyNumberFormat="1" applyFont="1" applyFill="1" applyBorder="1" applyAlignment="1">
      <alignment horizontal="right"/>
    </xf>
    <xf numFmtId="171" fontId="5" fillId="16" borderId="15" xfId="0" applyNumberFormat="1" applyFont="1" applyFill="1" applyBorder="1" applyAlignment="1">
      <alignment horizontal="center"/>
    </xf>
    <xf numFmtId="171" fontId="5" fillId="16" borderId="0" xfId="0" applyNumberFormat="1" applyFont="1" applyFill="1" applyAlignment="1">
      <alignment horizontal="center"/>
    </xf>
    <xf numFmtId="171" fontId="5" fillId="16" borderId="15" xfId="0" applyNumberFormat="1" applyFont="1" applyFill="1" applyBorder="1"/>
    <xf numFmtId="171" fontId="5" fillId="0" borderId="15" xfId="0" applyNumberFormat="1" applyFont="1" applyFill="1" applyBorder="1"/>
    <xf numFmtId="171" fontId="5" fillId="0" borderId="15" xfId="63" applyNumberFormat="1" applyFont="1" applyFill="1" applyBorder="1" applyAlignment="1">
      <alignment horizontal="right"/>
    </xf>
    <xf numFmtId="171" fontId="19" fillId="0" borderId="27" xfId="0" applyNumberFormat="1" applyFont="1" applyFill="1" applyBorder="1" applyAlignment="1">
      <alignment horizontal="right"/>
    </xf>
    <xf numFmtId="171" fontId="5" fillId="0" borderId="27" xfId="0" applyNumberFormat="1" applyFont="1" applyFill="1" applyBorder="1" applyAlignment="1">
      <alignment horizontal="right"/>
    </xf>
    <xf numFmtId="171" fontId="16" fillId="0" borderId="27" xfId="0" applyNumberFormat="1" applyFont="1" applyFill="1" applyBorder="1" applyAlignment="1">
      <alignment horizontal="right"/>
    </xf>
    <xf numFmtId="171" fontId="5" fillId="16" borderId="27" xfId="0" applyNumberFormat="1" applyFont="1" applyFill="1" applyBorder="1" applyAlignment="1">
      <alignment horizontal="right"/>
    </xf>
    <xf numFmtId="171" fontId="19" fillId="16" borderId="27" xfId="0" applyNumberFormat="1" applyFont="1" applyFill="1" applyBorder="1" applyAlignment="1">
      <alignment horizontal="right"/>
    </xf>
    <xf numFmtId="171" fontId="5" fillId="16" borderId="13" xfId="0" applyNumberFormat="1" applyFont="1" applyFill="1" applyBorder="1" applyAlignment="1">
      <alignment horizontal="center"/>
    </xf>
    <xf numFmtId="171" fontId="19" fillId="0" borderId="13" xfId="0" applyNumberFormat="1" applyFont="1" applyFill="1" applyBorder="1" applyAlignment="1">
      <alignment horizontal="right"/>
    </xf>
    <xf numFmtId="171" fontId="16" fillId="0" borderId="13" xfId="0" applyNumberFormat="1" applyFont="1" applyFill="1" applyBorder="1" applyAlignment="1">
      <alignment horizontal="right"/>
    </xf>
    <xf numFmtId="171" fontId="5" fillId="16" borderId="28" xfId="37" applyNumberFormat="1" applyFont="1" applyFill="1" applyBorder="1" applyAlignment="1">
      <alignment horizontal="right"/>
    </xf>
    <xf numFmtId="171" fontId="5" fillId="16" borderId="13" xfId="37" applyNumberFormat="1" applyFont="1" applyFill="1" applyBorder="1" applyAlignment="1">
      <alignment horizontal="right"/>
    </xf>
    <xf numFmtId="164" fontId="5" fillId="0" borderId="28" xfId="63" applyNumberFormat="1" applyFont="1" applyFill="1" applyBorder="1" applyAlignment="1">
      <alignment horizontal="right"/>
    </xf>
    <xf numFmtId="164" fontId="5" fillId="0" borderId="13" xfId="63" applyNumberFormat="1" applyFont="1" applyFill="1" applyBorder="1" applyAlignment="1">
      <alignment horizontal="right"/>
    </xf>
    <xf numFmtId="164" fontId="5" fillId="0" borderId="21" xfId="0" applyNumberFormat="1" applyFont="1" applyFill="1" applyBorder="1" applyAlignment="1">
      <alignment horizontal="right"/>
    </xf>
    <xf numFmtId="171" fontId="5" fillId="0" borderId="28" xfId="0" applyNumberFormat="1" applyFont="1" applyFill="1" applyBorder="1" applyAlignment="1">
      <alignment horizontal="right"/>
    </xf>
    <xf numFmtId="171" fontId="5" fillId="0" borderId="21" xfId="0" applyNumberFormat="1" applyFont="1" applyFill="1" applyBorder="1" applyAlignment="1">
      <alignment horizontal="right"/>
    </xf>
    <xf numFmtId="178" fontId="5" fillId="0" borderId="28" xfId="70" applyNumberFormat="1" applyFont="1" applyFill="1" applyBorder="1" applyAlignment="1" applyProtection="1">
      <alignment horizontal="right"/>
    </xf>
    <xf numFmtId="178" fontId="5" fillId="0" borderId="13" xfId="70" applyNumberFormat="1" applyFont="1" applyFill="1" applyBorder="1" applyAlignment="1" applyProtection="1">
      <alignment horizontal="right"/>
    </xf>
    <xf numFmtId="178" fontId="5" fillId="0" borderId="21" xfId="70" applyNumberFormat="1" applyFont="1" applyFill="1" applyBorder="1" applyAlignment="1" applyProtection="1">
      <alignment horizontal="right"/>
    </xf>
    <xf numFmtId="37" fontId="5" fillId="0" borderId="28" xfId="0" applyNumberFormat="1" applyFont="1" applyFill="1" applyBorder="1" applyAlignment="1">
      <alignment horizontal="right"/>
    </xf>
    <xf numFmtId="37" fontId="5" fillId="0" borderId="13" xfId="0" applyNumberFormat="1" applyFont="1" applyFill="1" applyBorder="1" applyAlignment="1">
      <alignment horizontal="right"/>
    </xf>
    <xf numFmtId="37" fontId="5" fillId="16" borderId="21" xfId="0" applyNumberFormat="1" applyFont="1" applyFill="1" applyBorder="1" applyAlignment="1">
      <alignment horizontal="right"/>
    </xf>
    <xf numFmtId="168" fontId="5" fillId="0" borderId="21" xfId="0" applyNumberFormat="1" applyFont="1" applyFill="1" applyBorder="1" applyAlignment="1">
      <alignment horizontal="right"/>
    </xf>
    <xf numFmtId="177" fontId="5" fillId="0" borderId="13" xfId="0" applyNumberFormat="1" applyFont="1" applyFill="1" applyBorder="1" applyAlignment="1">
      <alignment horizontal="right"/>
    </xf>
    <xf numFmtId="177" fontId="14" fillId="0" borderId="13" xfId="0" applyNumberFormat="1" applyFont="1" applyFill="1" applyBorder="1" applyAlignment="1">
      <alignment horizontal="right"/>
    </xf>
    <xf numFmtId="164" fontId="6" fillId="0" borderId="13" xfId="63" applyNumberFormat="1" applyFont="1" applyFill="1" applyBorder="1" applyAlignment="1" applyProtection="1">
      <alignment horizontal="right"/>
    </xf>
    <xf numFmtId="9" fontId="19" fillId="0" borderId="13" xfId="63" applyFont="1" applyFill="1" applyBorder="1" applyAlignment="1">
      <alignment horizontal="right"/>
    </xf>
    <xf numFmtId="9" fontId="19" fillId="0" borderId="21" xfId="63" applyFont="1" applyFill="1" applyBorder="1" applyAlignment="1">
      <alignment horizontal="right"/>
    </xf>
    <xf numFmtId="171" fontId="6" fillId="0" borderId="13" xfId="0" applyNumberFormat="1" applyFont="1" applyFill="1" applyBorder="1"/>
    <xf numFmtId="171" fontId="51" fillId="0" borderId="13" xfId="0" applyNumberFormat="1" applyFont="1" applyFill="1" applyBorder="1" applyAlignment="1">
      <alignment horizontal="right"/>
    </xf>
    <xf numFmtId="171" fontId="5" fillId="16" borderId="28" xfId="0" applyNumberFormat="1" applyFont="1" applyFill="1" applyBorder="1" applyAlignment="1">
      <alignment horizontal="right"/>
    </xf>
    <xf numFmtId="164" fontId="5" fillId="16" borderId="13" xfId="0" applyNumberFormat="1" applyFont="1" applyFill="1" applyBorder="1" applyAlignment="1">
      <alignment horizontal="right"/>
    </xf>
    <xf numFmtId="168" fontId="16" fillId="16" borderId="13" xfId="0" applyNumberFormat="1" applyFont="1" applyFill="1" applyBorder="1" applyAlignment="1">
      <alignment horizontal="right"/>
    </xf>
    <xf numFmtId="37" fontId="5" fillId="16" borderId="13" xfId="0" applyNumberFormat="1" applyFont="1" applyFill="1" applyBorder="1" applyAlignment="1">
      <alignment horizontal="right"/>
    </xf>
    <xf numFmtId="171" fontId="5" fillId="16" borderId="21" xfId="0" applyNumberFormat="1" applyFont="1" applyFill="1" applyBorder="1" applyAlignment="1">
      <alignment horizontal="right"/>
    </xf>
    <xf numFmtId="171" fontId="5" fillId="16" borderId="29" xfId="37" applyNumberFormat="1" applyFont="1" applyFill="1" applyBorder="1" applyAlignment="1">
      <alignment horizontal="right"/>
    </xf>
    <xf numFmtId="171" fontId="5" fillId="16" borderId="30" xfId="37" applyNumberFormat="1" applyFont="1" applyFill="1" applyBorder="1" applyAlignment="1">
      <alignment horizontal="right"/>
    </xf>
    <xf numFmtId="171" fontId="5" fillId="16" borderId="31" xfId="37" applyNumberFormat="1" applyFont="1" applyFill="1" applyBorder="1" applyAlignment="1">
      <alignment horizontal="right"/>
    </xf>
    <xf numFmtId="7" fontId="5" fillId="0" borderId="21" xfId="39" applyNumberFormat="1" applyFont="1" applyFill="1" applyBorder="1" applyAlignment="1">
      <alignment horizontal="right"/>
    </xf>
    <xf numFmtId="7" fontId="5" fillId="0" borderId="14" xfId="39" applyNumberFormat="1" applyFont="1" applyFill="1" applyBorder="1" applyAlignment="1">
      <alignment horizontal="right"/>
    </xf>
    <xf numFmtId="7" fontId="5" fillId="0" borderId="32" xfId="39" applyNumberFormat="1" applyFont="1" applyFill="1" applyBorder="1" applyAlignment="1">
      <alignment horizontal="right"/>
    </xf>
    <xf numFmtId="168" fontId="19" fillId="0" borderId="27" xfId="0" applyNumberFormat="1" applyFont="1" applyFill="1" applyBorder="1" applyAlignment="1">
      <alignment horizontal="right"/>
    </xf>
    <xf numFmtId="168" fontId="19" fillId="0" borderId="13" xfId="0" applyNumberFormat="1" applyFont="1" applyFill="1" applyBorder="1" applyAlignment="1">
      <alignment horizontal="right"/>
    </xf>
    <xf numFmtId="164" fontId="5" fillId="16" borderId="28" xfId="63" applyNumberFormat="1" applyFont="1" applyFill="1" applyBorder="1" applyAlignment="1">
      <alignment horizontal="right"/>
    </xf>
    <xf numFmtId="164" fontId="5" fillId="16" borderId="13" xfId="63" applyNumberFormat="1" applyFont="1" applyFill="1" applyBorder="1" applyAlignment="1">
      <alignment horizontal="right"/>
    </xf>
    <xf numFmtId="164" fontId="5" fillId="16" borderId="21" xfId="63" applyNumberFormat="1" applyFont="1" applyFill="1" applyBorder="1" applyAlignment="1">
      <alignment horizontal="right"/>
    </xf>
    <xf numFmtId="43" fontId="5" fillId="0" borderId="0" xfId="37" applyFont="1" applyFill="1" applyAlignment="1">
      <alignment horizontal="right"/>
    </xf>
    <xf numFmtId="168" fontId="5" fillId="0" borderId="20" xfId="0" applyNumberFormat="1" applyFont="1" applyFill="1" applyBorder="1" applyAlignment="1">
      <alignment horizontal="right"/>
    </xf>
    <xf numFmtId="168" fontId="5" fillId="0" borderId="28" xfId="0" applyNumberFormat="1" applyFont="1" applyFill="1" applyBorder="1" applyAlignment="1">
      <alignment horizontal="right"/>
    </xf>
    <xf numFmtId="0" fontId="15" fillId="18" borderId="18" xfId="0" applyFont="1" applyFill="1" applyBorder="1"/>
    <xf numFmtId="0" fontId="6" fillId="0" borderId="0" xfId="0" applyFont="1" applyFill="1" applyBorder="1"/>
    <xf numFmtId="164" fontId="13" fillId="16" borderId="13" xfId="58" applyNumberFormat="1" applyFont="1" applyFill="1" applyBorder="1" applyAlignment="1">
      <alignment horizontal="left" indent="1"/>
    </xf>
    <xf numFmtId="0" fontId="6" fillId="0" borderId="0" xfId="0" applyFont="1" applyFill="1"/>
    <xf numFmtId="0" fontId="6" fillId="0" borderId="20" xfId="0" applyFont="1" applyBorder="1"/>
    <xf numFmtId="0" fontId="6" fillId="0" borderId="12" xfId="0" applyFont="1" applyBorder="1"/>
    <xf numFmtId="0" fontId="6" fillId="0" borderId="22" xfId="0" applyFont="1" applyBorder="1"/>
    <xf numFmtId="0" fontId="6" fillId="0" borderId="28" xfId="0" applyFont="1" applyBorder="1"/>
    <xf numFmtId="0" fontId="6" fillId="0" borderId="29" xfId="0" applyFont="1" applyBorder="1"/>
    <xf numFmtId="0" fontId="6" fillId="0" borderId="30" xfId="0" applyFont="1" applyBorder="1"/>
    <xf numFmtId="0" fontId="6" fillId="0" borderId="13" xfId="0" applyFont="1" applyBorder="1"/>
    <xf numFmtId="0" fontId="6" fillId="0" borderId="0" xfId="0" applyFont="1" applyBorder="1"/>
    <xf numFmtId="0" fontId="6" fillId="0" borderId="31" xfId="0" applyFont="1" applyBorder="1"/>
    <xf numFmtId="0" fontId="6" fillId="0" borderId="21" xfId="0" applyFont="1" applyBorder="1"/>
    <xf numFmtId="0" fontId="6" fillId="0" borderId="14" xfId="0" applyFont="1" applyBorder="1"/>
    <xf numFmtId="0" fontId="22" fillId="0" borderId="28" xfId="0" applyFont="1" applyBorder="1"/>
    <xf numFmtId="0" fontId="16" fillId="0" borderId="13" xfId="0" applyFont="1" applyBorder="1"/>
    <xf numFmtId="0" fontId="13" fillId="0" borderId="13" xfId="0" applyFont="1" applyBorder="1" applyAlignment="1">
      <alignment horizontal="left" indent="1"/>
    </xf>
    <xf numFmtId="0" fontId="23" fillId="0" borderId="13" xfId="0" applyFont="1" applyBorder="1"/>
    <xf numFmtId="0" fontId="13" fillId="0" borderId="21" xfId="0" applyFont="1" applyBorder="1" applyAlignment="1">
      <alignment horizontal="left" indent="1"/>
    </xf>
    <xf numFmtId="0" fontId="16" fillId="0" borderId="28" xfId="0" applyFont="1" applyBorder="1"/>
    <xf numFmtId="164" fontId="5" fillId="16" borderId="13" xfId="58" applyNumberFormat="1" applyFont="1" applyFill="1" applyBorder="1" applyAlignment="1">
      <alignment horizontal="left" indent="1"/>
    </xf>
    <xf numFmtId="0" fontId="6" fillId="0" borderId="16" xfId="0" applyFont="1" applyBorder="1"/>
    <xf numFmtId="0" fontId="6" fillId="0" borderId="19" xfId="0" applyFont="1" applyBorder="1"/>
    <xf numFmtId="0" fontId="6" fillId="0" borderId="33" xfId="0" applyFont="1" applyBorder="1"/>
    <xf numFmtId="0" fontId="16" fillId="0" borderId="18" xfId="0" applyFont="1" applyBorder="1"/>
    <xf numFmtId="164" fontId="6" fillId="0" borderId="13" xfId="63" applyNumberFormat="1" applyFont="1" applyBorder="1"/>
    <xf numFmtId="164" fontId="6" fillId="0" borderId="21" xfId="63" applyNumberFormat="1" applyFont="1" applyBorder="1"/>
    <xf numFmtId="164" fontId="6" fillId="0" borderId="13" xfId="0" applyNumberFormat="1" applyFont="1" applyBorder="1"/>
    <xf numFmtId="164" fontId="50" fillId="0" borderId="21" xfId="63" applyNumberFormat="1" applyFont="1" applyBorder="1"/>
    <xf numFmtId="171" fontId="16" fillId="0" borderId="13" xfId="0" applyNumberFormat="1" applyFont="1" applyBorder="1"/>
    <xf numFmtId="164" fontId="6" fillId="0" borderId="21" xfId="0" applyNumberFormat="1" applyFont="1" applyBorder="1"/>
    <xf numFmtId="171" fontId="6" fillId="0" borderId="28" xfId="0" applyNumberFormat="1" applyFont="1" applyBorder="1"/>
    <xf numFmtId="171" fontId="50" fillId="0" borderId="28" xfId="0" applyNumberFormat="1" applyFont="1" applyBorder="1"/>
    <xf numFmtId="171" fontId="50" fillId="0" borderId="13" xfId="0" applyNumberFormat="1" applyFont="1" applyBorder="1"/>
    <xf numFmtId="180" fontId="6" fillId="0" borderId="13" xfId="0" applyNumberFormat="1" applyFont="1" applyBorder="1"/>
    <xf numFmtId="164" fontId="6" fillId="0" borderId="0" xfId="63" applyNumberFormat="1" applyFont="1" applyBorder="1"/>
    <xf numFmtId="171" fontId="16" fillId="0" borderId="0" xfId="0" applyNumberFormat="1" applyFont="1" applyBorder="1"/>
    <xf numFmtId="164" fontId="6" fillId="0" borderId="14" xfId="63" applyNumberFormat="1" applyFont="1" applyBorder="1"/>
    <xf numFmtId="164" fontId="6" fillId="0" borderId="0" xfId="0" applyNumberFormat="1" applyFont="1" applyBorder="1"/>
    <xf numFmtId="164" fontId="50" fillId="0" borderId="14" xfId="63" applyNumberFormat="1" applyFont="1" applyBorder="1"/>
    <xf numFmtId="164" fontId="6" fillId="0" borderId="14" xfId="0" applyNumberFormat="1" applyFont="1" applyBorder="1"/>
    <xf numFmtId="171" fontId="6" fillId="0" borderId="12" xfId="0" applyNumberFormat="1" applyFont="1" applyBorder="1"/>
    <xf numFmtId="171" fontId="6" fillId="0" borderId="0" xfId="0" applyNumberFormat="1" applyFont="1" applyBorder="1"/>
    <xf numFmtId="171" fontId="50" fillId="0" borderId="29" xfId="0" applyNumberFormat="1" applyFont="1" applyBorder="1"/>
    <xf numFmtId="171" fontId="6" fillId="0" borderId="20" xfId="0" applyNumberFormat="1" applyFont="1" applyBorder="1"/>
    <xf numFmtId="171" fontId="6" fillId="0" borderId="29" xfId="0" applyNumberFormat="1" applyFont="1" applyBorder="1"/>
    <xf numFmtId="171" fontId="50" fillId="0" borderId="0" xfId="0" applyNumberFormat="1" applyFont="1" applyBorder="1"/>
    <xf numFmtId="43" fontId="6" fillId="0" borderId="0" xfId="37" applyFont="1"/>
    <xf numFmtId="164" fontId="6" fillId="0" borderId="12" xfId="63" applyNumberFormat="1" applyFont="1" applyBorder="1"/>
    <xf numFmtId="171" fontId="16" fillId="0" borderId="12" xfId="0" applyNumberFormat="1" applyFont="1" applyBorder="1"/>
    <xf numFmtId="164" fontId="6" fillId="0" borderId="22" xfId="63" applyNumberFormat="1" applyFont="1" applyBorder="1"/>
    <xf numFmtId="171" fontId="50" fillId="0" borderId="20" xfId="0" applyNumberFormat="1" applyFont="1" applyBorder="1"/>
    <xf numFmtId="171" fontId="50" fillId="0" borderId="12" xfId="0" applyNumberFormat="1" applyFont="1" applyBorder="1"/>
    <xf numFmtId="164" fontId="6" fillId="0" borderId="12" xfId="0" applyNumberFormat="1" applyFont="1" applyBorder="1"/>
    <xf numFmtId="164" fontId="50" fillId="0" borderId="22" xfId="63" applyNumberFormat="1" applyFont="1" applyBorder="1"/>
    <xf numFmtId="171" fontId="20" fillId="0" borderId="12" xfId="0" applyNumberFormat="1" applyFont="1" applyBorder="1"/>
    <xf numFmtId="164" fontId="6" fillId="0" borderId="22" xfId="0" applyNumberFormat="1" applyFont="1" applyBorder="1"/>
    <xf numFmtId="164" fontId="6" fillId="0" borderId="13" xfId="63" applyNumberFormat="1" applyFont="1" applyBorder="1" applyAlignment="1">
      <alignment horizontal="right"/>
    </xf>
    <xf numFmtId="164" fontId="6" fillId="0" borderId="0" xfId="63" applyNumberFormat="1" applyFont="1" applyBorder="1" applyAlignment="1">
      <alignment horizontal="right"/>
    </xf>
    <xf numFmtId="164" fontId="6" fillId="0" borderId="21" xfId="63" applyNumberFormat="1" applyFont="1" applyBorder="1" applyAlignment="1">
      <alignment horizontal="right"/>
    </xf>
    <xf numFmtId="164" fontId="6" fillId="0" borderId="14" xfId="63" applyNumberFormat="1" applyFont="1" applyBorder="1" applyAlignment="1">
      <alignment horizontal="right"/>
    </xf>
    <xf numFmtId="164" fontId="6" fillId="0" borderId="32" xfId="63" applyNumberFormat="1" applyFont="1" applyBorder="1" applyAlignment="1">
      <alignment horizontal="right"/>
    </xf>
    <xf numFmtId="180" fontId="6" fillId="0" borderId="0" xfId="0" applyNumberFormat="1" applyFont="1" applyBorder="1"/>
    <xf numFmtId="180" fontId="6" fillId="0" borderId="12" xfId="0" applyNumberFormat="1" applyFont="1" applyBorder="1"/>
    <xf numFmtId="0" fontId="13" fillId="0" borderId="13" xfId="0" applyFont="1" applyFill="1" applyBorder="1" applyAlignment="1">
      <alignment horizontal="left" indent="1"/>
    </xf>
    <xf numFmtId="0" fontId="6" fillId="0" borderId="13" xfId="0" applyFont="1" applyFill="1" applyBorder="1"/>
    <xf numFmtId="0" fontId="6" fillId="0" borderId="28" xfId="0" applyFont="1" applyFill="1" applyBorder="1"/>
    <xf numFmtId="0" fontId="13" fillId="0" borderId="21" xfId="0" applyFont="1" applyFill="1" applyBorder="1" applyAlignment="1">
      <alignment horizontal="left" indent="1"/>
    </xf>
    <xf numFmtId="0" fontId="13" fillId="0" borderId="0" xfId="0" applyFont="1" applyFill="1" applyBorder="1" applyAlignment="1">
      <alignment horizontal="left" indent="1"/>
    </xf>
    <xf numFmtId="164" fontId="50" fillId="0" borderId="0" xfId="63" applyNumberFormat="1" applyFont="1" applyFill="1" applyBorder="1"/>
    <xf numFmtId="164" fontId="6" fillId="0" borderId="0" xfId="0" applyNumberFormat="1" applyFont="1" applyFill="1" applyBorder="1"/>
    <xf numFmtId="164" fontId="6" fillId="0" borderId="0" xfId="63" applyNumberFormat="1" applyFont="1" applyFill="1" applyBorder="1"/>
    <xf numFmtId="0" fontId="6" fillId="0" borderId="29" xfId="0" applyFont="1" applyFill="1" applyBorder="1"/>
    <xf numFmtId="0" fontId="6" fillId="0" borderId="14" xfId="0" applyFont="1" applyFill="1" applyBorder="1"/>
    <xf numFmtId="164" fontId="6" fillId="0" borderId="14" xfId="63" applyNumberFormat="1" applyFont="1" applyFill="1" applyBorder="1"/>
    <xf numFmtId="0" fontId="6" fillId="0" borderId="12" xfId="0" applyFont="1" applyFill="1" applyBorder="1"/>
    <xf numFmtId="0" fontId="6" fillId="0" borderId="22" xfId="0" applyFont="1" applyFill="1" applyBorder="1"/>
    <xf numFmtId="164" fontId="6" fillId="0" borderId="13" xfId="0" applyNumberFormat="1" applyFont="1" applyFill="1" applyBorder="1"/>
    <xf numFmtId="164" fontId="6" fillId="0" borderId="31" xfId="63" applyNumberFormat="1" applyFont="1" applyFill="1" applyBorder="1"/>
    <xf numFmtId="164" fontId="6" fillId="0" borderId="21" xfId="0" applyNumberFormat="1" applyFont="1" applyFill="1" applyBorder="1"/>
    <xf numFmtId="164" fontId="6" fillId="0" borderId="32" xfId="63" applyNumberFormat="1" applyFont="1" applyFill="1" applyBorder="1"/>
    <xf numFmtId="171" fontId="6" fillId="0" borderId="20" xfId="0" applyNumberFormat="1" applyFont="1" applyFill="1" applyBorder="1"/>
    <xf numFmtId="171" fontId="16" fillId="0" borderId="12" xfId="0" applyNumberFormat="1" applyFont="1" applyFill="1" applyBorder="1"/>
    <xf numFmtId="164" fontId="6" fillId="0" borderId="12" xfId="63" applyNumberFormat="1" applyFont="1" applyFill="1" applyBorder="1"/>
    <xf numFmtId="164" fontId="6" fillId="0" borderId="22" xfId="63" applyNumberFormat="1" applyFont="1" applyFill="1" applyBorder="1"/>
    <xf numFmtId="171" fontId="6" fillId="0" borderId="28" xfId="0" applyNumberFormat="1" applyFont="1" applyFill="1" applyBorder="1"/>
    <xf numFmtId="171" fontId="6" fillId="0" borderId="30" xfId="63" applyNumberFormat="1" applyFont="1" applyFill="1" applyBorder="1"/>
    <xf numFmtId="171" fontId="16" fillId="0" borderId="13" xfId="0" applyNumberFormat="1" applyFont="1" applyFill="1" applyBorder="1"/>
    <xf numFmtId="171" fontId="16" fillId="0" borderId="0" xfId="63" applyNumberFormat="1" applyFont="1" applyFill="1" applyBorder="1"/>
    <xf numFmtId="171" fontId="16" fillId="0" borderId="31" xfId="63" applyNumberFormat="1" applyFont="1" applyFill="1" applyBorder="1"/>
    <xf numFmtId="0" fontId="16" fillId="0" borderId="18" xfId="0" applyFont="1" applyFill="1" applyBorder="1" applyAlignment="1"/>
    <xf numFmtId="0" fontId="6" fillId="0" borderId="16" xfId="0" applyFont="1" applyFill="1" applyBorder="1"/>
    <xf numFmtId="164" fontId="6" fillId="0" borderId="16" xfId="63" applyNumberFormat="1" applyFont="1" applyFill="1" applyBorder="1"/>
    <xf numFmtId="0" fontId="6" fillId="0" borderId="33" xfId="0" applyFont="1" applyFill="1" applyBorder="1"/>
    <xf numFmtId="164" fontId="6" fillId="0" borderId="33" xfId="63" applyNumberFormat="1" applyFont="1" applyFill="1" applyBorder="1"/>
    <xf numFmtId="164" fontId="6" fillId="0" borderId="32" xfId="63" applyNumberFormat="1" applyFont="1" applyBorder="1"/>
    <xf numFmtId="0" fontId="16" fillId="0" borderId="16" xfId="0" applyFont="1" applyBorder="1"/>
    <xf numFmtId="171" fontId="16" fillId="0" borderId="18" xfId="0" applyNumberFormat="1" applyFont="1" applyBorder="1"/>
    <xf numFmtId="171" fontId="16" fillId="0" borderId="0" xfId="0" applyNumberFormat="1" applyFont="1" applyFill="1" applyBorder="1"/>
    <xf numFmtId="171" fontId="5" fillId="0" borderId="0" xfId="0" applyNumberFormat="1" applyFont="1" applyBorder="1"/>
    <xf numFmtId="164" fontId="6" fillId="0" borderId="31" xfId="63" applyNumberFormat="1" applyFont="1" applyBorder="1"/>
    <xf numFmtId="171" fontId="5" fillId="0" borderId="31" xfId="0" applyNumberFormat="1" applyFont="1" applyBorder="1"/>
    <xf numFmtId="171" fontId="6" fillId="0" borderId="29" xfId="0" applyNumberFormat="1" applyFont="1" applyFill="1" applyBorder="1"/>
    <xf numFmtId="164" fontId="6" fillId="0" borderId="13" xfId="63" applyNumberFormat="1" applyFont="1" applyFill="1" applyBorder="1"/>
    <xf numFmtId="0" fontId="15" fillId="16" borderId="0" xfId="56" applyFont="1" applyFill="1" applyBorder="1" applyAlignment="1">
      <alignment horizontal="left"/>
    </xf>
    <xf numFmtId="170" fontId="54" fillId="16" borderId="0" xfId="56" applyNumberFormat="1" applyFont="1" applyFill="1" applyBorder="1" applyAlignment="1">
      <alignment horizontal="center"/>
    </xf>
    <xf numFmtId="9" fontId="54" fillId="16" borderId="0" xfId="56" applyNumberFormat="1" applyFont="1" applyFill="1" applyBorder="1" applyAlignment="1">
      <alignment horizontal="center"/>
    </xf>
    <xf numFmtId="164" fontId="54" fillId="16" borderId="0" xfId="56" applyNumberFormat="1" applyFont="1" applyFill="1" applyBorder="1" applyAlignment="1">
      <alignment horizontal="center"/>
    </xf>
    <xf numFmtId="0" fontId="11" fillId="0" borderId="0" xfId="56" applyFont="1"/>
    <xf numFmtId="164" fontId="11" fillId="0" borderId="0" xfId="63" applyNumberFormat="1" applyFont="1"/>
    <xf numFmtId="164" fontId="1" fillId="0" borderId="0" xfId="63" applyNumberFormat="1"/>
    <xf numFmtId="171" fontId="16" fillId="18" borderId="29" xfId="55" applyNumberFormat="1" applyFont="1" applyFill="1" applyBorder="1"/>
    <xf numFmtId="171" fontId="16" fillId="18" borderId="28" xfId="55" applyNumberFormat="1" applyFont="1" applyFill="1" applyBorder="1"/>
    <xf numFmtId="171" fontId="16" fillId="18" borderId="30" xfId="55" applyNumberFormat="1" applyFont="1" applyFill="1" applyBorder="1"/>
    <xf numFmtId="171" fontId="15" fillId="18" borderId="29" xfId="55" applyNumberFormat="1" applyFont="1" applyFill="1" applyBorder="1"/>
    <xf numFmtId="171" fontId="15" fillId="18" borderId="20" xfId="55" applyNumberFormat="1" applyFont="1" applyFill="1" applyBorder="1"/>
    <xf numFmtId="171" fontId="15" fillId="18" borderId="28" xfId="55" applyNumberFormat="1" applyFont="1" applyFill="1" applyBorder="1"/>
    <xf numFmtId="171" fontId="15" fillId="18" borderId="30" xfId="55" applyNumberFormat="1" applyFont="1" applyFill="1" applyBorder="1"/>
    <xf numFmtId="171" fontId="15" fillId="18" borderId="16" xfId="55" applyNumberFormat="1" applyFont="1" applyFill="1" applyBorder="1"/>
    <xf numFmtId="171" fontId="15" fillId="18" borderId="33" xfId="55" applyNumberFormat="1" applyFont="1" applyFill="1" applyBorder="1"/>
    <xf numFmtId="171" fontId="15" fillId="18" borderId="18" xfId="55" applyNumberFormat="1" applyFont="1" applyFill="1" applyBorder="1"/>
    <xf numFmtId="171" fontId="15" fillId="18" borderId="19" xfId="55" applyNumberFormat="1" applyFont="1" applyFill="1" applyBorder="1"/>
    <xf numFmtId="171" fontId="17" fillId="0" borderId="0" xfId="0" applyNumberFormat="1" applyFont="1" applyFill="1" applyAlignment="1" applyProtection="1">
      <alignment horizontal="left" indent="1"/>
    </xf>
    <xf numFmtId="0" fontId="15" fillId="18" borderId="28" xfId="0" applyFont="1" applyFill="1" applyBorder="1"/>
    <xf numFmtId="171" fontId="17" fillId="0" borderId="0" xfId="55" applyNumberFormat="1" applyFont="1" applyFill="1" applyBorder="1"/>
    <xf numFmtId="168" fontId="3" fillId="0" borderId="0" xfId="55" applyNumberFormat="1" applyFont="1" applyFill="1" applyBorder="1"/>
    <xf numFmtId="168" fontId="16" fillId="0" borderId="0" xfId="0" applyNumberFormat="1" applyFont="1" applyFill="1" applyBorder="1" applyAlignment="1">
      <alignment horizontal="right"/>
    </xf>
    <xf numFmtId="9" fontId="5" fillId="0" borderId="0" xfId="0" applyNumberFormat="1" applyFont="1" applyFill="1" applyBorder="1" applyAlignment="1">
      <alignment horizontal="right"/>
    </xf>
    <xf numFmtId="0" fontId="0" fillId="0" borderId="0" xfId="0" applyFill="1" applyBorder="1"/>
    <xf numFmtId="169" fontId="3" fillId="0" borderId="0" xfId="55" applyNumberFormat="1" applyFont="1" applyFill="1" applyBorder="1"/>
    <xf numFmtId="171" fontId="15" fillId="0" borderId="0" xfId="55" applyNumberFormat="1" applyFont="1" applyFill="1" applyBorder="1"/>
    <xf numFmtId="171" fontId="16" fillId="18" borderId="16" xfId="55" applyNumberFormat="1" applyFont="1" applyFill="1" applyBorder="1"/>
    <xf numFmtId="171" fontId="16" fillId="18" borderId="19" xfId="55" applyNumberFormat="1" applyFont="1" applyFill="1" applyBorder="1"/>
    <xf numFmtId="171" fontId="16" fillId="18" borderId="18" xfId="55" applyNumberFormat="1" applyFont="1" applyFill="1" applyBorder="1"/>
    <xf numFmtId="0" fontId="5" fillId="0" borderId="0" xfId="0" applyFont="1" applyBorder="1"/>
    <xf numFmtId="171" fontId="5" fillId="0" borderId="13" xfId="38" applyNumberFormat="1" applyFont="1" applyFill="1" applyBorder="1" applyAlignment="1">
      <alignment horizontal="right"/>
    </xf>
    <xf numFmtId="171" fontId="5" fillId="0" borderId="31" xfId="38" applyNumberFormat="1" applyFont="1" applyFill="1" applyBorder="1" applyAlignment="1">
      <alignment horizontal="right"/>
    </xf>
    <xf numFmtId="7" fontId="5" fillId="0" borderId="13" xfId="39" applyNumberFormat="1" applyFont="1" applyFill="1" applyBorder="1" applyAlignment="1">
      <alignment horizontal="right"/>
    </xf>
    <xf numFmtId="7" fontId="5" fillId="0" borderId="21" xfId="0" applyNumberFormat="1" applyFont="1" applyFill="1" applyBorder="1" applyAlignment="1">
      <alignment horizontal="right"/>
    </xf>
    <xf numFmtId="171" fontId="16" fillId="16" borderId="13" xfId="0" applyNumberFormat="1" applyFont="1" applyFill="1" applyBorder="1" applyAlignment="1">
      <alignment horizontal="right"/>
    </xf>
    <xf numFmtId="9" fontId="5" fillId="16" borderId="13" xfId="63" applyNumberFormat="1" applyFont="1" applyFill="1" applyBorder="1" applyAlignment="1">
      <alignment horizontal="right"/>
    </xf>
    <xf numFmtId="7" fontId="5" fillId="16" borderId="13" xfId="37" applyNumberFormat="1" applyFont="1" applyFill="1" applyBorder="1" applyAlignment="1">
      <alignment horizontal="right"/>
    </xf>
    <xf numFmtId="168" fontId="5" fillId="16" borderId="28" xfId="0" applyNumberFormat="1" applyFont="1" applyFill="1" applyBorder="1" applyAlignment="1">
      <alignment horizontal="right"/>
    </xf>
    <xf numFmtId="9" fontId="5" fillId="0" borderId="13" xfId="70" applyNumberFormat="1" applyFont="1" applyFill="1" applyBorder="1" applyProtection="1"/>
    <xf numFmtId="7" fontId="19" fillId="16" borderId="13" xfId="0" applyNumberFormat="1" applyFont="1" applyFill="1" applyBorder="1" applyAlignment="1">
      <alignment horizontal="right"/>
    </xf>
    <xf numFmtId="7" fontId="19" fillId="16" borderId="0" xfId="0" applyNumberFormat="1" applyFont="1" applyFill="1" applyBorder="1" applyAlignment="1">
      <alignment horizontal="right"/>
    </xf>
    <xf numFmtId="7" fontId="19" fillId="16" borderId="12" xfId="0" applyNumberFormat="1" applyFont="1" applyFill="1" applyBorder="1" applyAlignment="1">
      <alignment horizontal="right"/>
    </xf>
    <xf numFmtId="7" fontId="5" fillId="16" borderId="0" xfId="0" applyNumberFormat="1" applyFont="1" applyFill="1" applyBorder="1" applyAlignment="1">
      <alignment horizontal="right"/>
    </xf>
    <xf numFmtId="7" fontId="19" fillId="16" borderId="13" xfId="37" applyNumberFormat="1" applyFont="1" applyFill="1" applyBorder="1" applyAlignment="1">
      <alignment horizontal="right"/>
    </xf>
    <xf numFmtId="7" fontId="19" fillId="16" borderId="0" xfId="37" applyNumberFormat="1" applyFont="1" applyFill="1" applyBorder="1" applyAlignment="1">
      <alignment horizontal="right"/>
    </xf>
    <xf numFmtId="7" fontId="19" fillId="16" borderId="12" xfId="37" applyNumberFormat="1" applyFont="1" applyFill="1" applyBorder="1" applyAlignment="1">
      <alignment horizontal="right"/>
    </xf>
    <xf numFmtId="164" fontId="5" fillId="0" borderId="13" xfId="0" applyNumberFormat="1" applyFont="1" applyBorder="1"/>
    <xf numFmtId="164" fontId="5" fillId="0" borderId="0" xfId="0" applyNumberFormat="1" applyFont="1" applyBorder="1" applyAlignment="1">
      <alignment horizontal="right"/>
    </xf>
    <xf numFmtId="164" fontId="15" fillId="18" borderId="28" xfId="0" applyNumberFormat="1" applyFont="1" applyFill="1" applyBorder="1"/>
    <xf numFmtId="168" fontId="5" fillId="0" borderId="0" xfId="0" applyNumberFormat="1" applyFont="1" applyFill="1" applyAlignment="1" applyProtection="1"/>
    <xf numFmtId="168" fontId="5" fillId="0" borderId="27" xfId="0" applyNumberFormat="1" applyFont="1" applyFill="1" applyBorder="1" applyAlignment="1">
      <alignment horizontal="right"/>
    </xf>
    <xf numFmtId="171" fontId="5" fillId="0" borderId="0" xfId="0" applyNumberFormat="1" applyFont="1" applyFill="1" applyBorder="1" applyAlignment="1" applyProtection="1"/>
    <xf numFmtId="171" fontId="5" fillId="0" borderId="0" xfId="0" applyNumberFormat="1" applyFont="1" applyFill="1" applyAlignment="1" applyProtection="1"/>
    <xf numFmtId="171" fontId="16" fillId="0" borderId="0" xfId="0" applyNumberFormat="1" applyFont="1" applyFill="1" applyAlignment="1" applyProtection="1"/>
    <xf numFmtId="37" fontId="5" fillId="0" borderId="0" xfId="0" applyNumberFormat="1" applyFont="1" applyFill="1" applyBorder="1" applyAlignment="1" applyProtection="1"/>
    <xf numFmtId="168" fontId="5" fillId="0" borderId="0" xfId="0" applyNumberFormat="1" applyFont="1" applyFill="1" applyBorder="1" applyAlignment="1" applyProtection="1"/>
    <xf numFmtId="171" fontId="5" fillId="0" borderId="0" xfId="0" applyNumberFormat="1" applyFont="1" applyFill="1" applyBorder="1" applyAlignment="1" applyProtection="1">
      <alignment horizontal="left"/>
    </xf>
    <xf numFmtId="0" fontId="16" fillId="0" borderId="0" xfId="0" applyNumberFormat="1" applyFont="1" applyFill="1" applyBorder="1"/>
    <xf numFmtId="0" fontId="16" fillId="0" borderId="0" xfId="0" applyNumberFormat="1" applyFont="1" applyFill="1" applyBorder="1" applyAlignment="1">
      <alignment horizontal="center"/>
    </xf>
    <xf numFmtId="0" fontId="16" fillId="0" borderId="15" xfId="0" applyNumberFormat="1" applyFont="1" applyFill="1" applyBorder="1" applyAlignment="1">
      <alignment horizontal="center"/>
    </xf>
    <xf numFmtId="170" fontId="15" fillId="0" borderId="13" xfId="0" applyNumberFormat="1" applyFont="1" applyFill="1" applyBorder="1" applyAlignment="1">
      <alignment horizontal="center"/>
    </xf>
    <xf numFmtId="170" fontId="15" fillId="0" borderId="0" xfId="0" applyNumberFormat="1" applyFont="1" applyFill="1" applyBorder="1" applyAlignment="1">
      <alignment horizontal="center"/>
    </xf>
    <xf numFmtId="170" fontId="16" fillId="0" borderId="15" xfId="0" applyNumberFormat="1" applyFont="1" applyFill="1" applyBorder="1" applyAlignment="1">
      <alignment horizontal="center"/>
    </xf>
    <xf numFmtId="170" fontId="16" fillId="0" borderId="0" xfId="0" applyNumberFormat="1" applyFont="1" applyFill="1" applyBorder="1" applyAlignment="1">
      <alignment horizontal="center"/>
    </xf>
    <xf numFmtId="0" fontId="16" fillId="0" borderId="0" xfId="0" applyNumberFormat="1" applyFont="1" applyFill="1" applyBorder="1" applyAlignment="1">
      <alignment horizontal="right"/>
    </xf>
    <xf numFmtId="14" fontId="5" fillId="0" borderId="0" xfId="0" applyNumberFormat="1" applyFont="1" applyFill="1" applyBorder="1" applyAlignment="1" applyProtection="1"/>
    <xf numFmtId="10" fontId="19" fillId="0" borderId="0" xfId="63" applyNumberFormat="1" applyFont="1" applyFill="1" applyBorder="1" applyAlignment="1" applyProtection="1"/>
    <xf numFmtId="14" fontId="5" fillId="0" borderId="0" xfId="0" applyNumberFormat="1" applyFont="1" applyFill="1" applyBorder="1" applyAlignment="1" applyProtection="1">
      <alignment horizontal="right"/>
    </xf>
    <xf numFmtId="168" fontId="24" fillId="0" borderId="0" xfId="0" applyNumberFormat="1" applyFont="1" applyFill="1" applyBorder="1" applyAlignment="1" applyProtection="1"/>
    <xf numFmtId="0" fontId="24" fillId="0" borderId="0" xfId="0" applyFont="1"/>
    <xf numFmtId="166" fontId="14" fillId="0" borderId="0" xfId="37" applyNumberFormat="1" applyFont="1" applyFill="1" applyBorder="1" applyAlignment="1">
      <alignment horizontal="right"/>
    </xf>
    <xf numFmtId="168" fontId="25" fillId="0" borderId="0" xfId="0" applyNumberFormat="1" applyFont="1" applyFill="1" applyBorder="1" applyAlignment="1">
      <alignment horizontal="right"/>
    </xf>
    <xf numFmtId="43" fontId="55" fillId="0" borderId="0" xfId="37" applyFont="1"/>
    <xf numFmtId="0" fontId="55" fillId="0" borderId="0" xfId="0" applyFont="1"/>
    <xf numFmtId="171" fontId="5" fillId="0" borderId="34" xfId="0" applyNumberFormat="1" applyFont="1" applyFill="1" applyBorder="1" applyAlignment="1">
      <alignment horizontal="right"/>
    </xf>
    <xf numFmtId="171" fontId="17" fillId="0" borderId="12" xfId="55" applyNumberFormat="1" applyFont="1" applyFill="1" applyBorder="1"/>
    <xf numFmtId="171" fontId="6" fillId="0" borderId="30" xfId="0" applyNumberFormat="1" applyFont="1" applyBorder="1"/>
    <xf numFmtId="171" fontId="6" fillId="0" borderId="13" xfId="0" applyNumberFormat="1" applyFont="1" applyBorder="1"/>
    <xf numFmtId="171" fontId="6" fillId="0" borderId="31" xfId="0" applyNumberFormat="1" applyFont="1" applyBorder="1"/>
    <xf numFmtId="164" fontId="6" fillId="0" borderId="32" xfId="0" applyNumberFormat="1" applyFont="1" applyBorder="1" applyAlignment="1">
      <alignment horizontal="right"/>
    </xf>
    <xf numFmtId="168" fontId="50" fillId="0" borderId="12" xfId="0" applyNumberFormat="1" applyFont="1" applyFill="1" applyBorder="1"/>
    <xf numFmtId="168" fontId="6" fillId="0" borderId="13" xfId="0" applyNumberFormat="1" applyFont="1" applyFill="1" applyBorder="1"/>
    <xf numFmtId="168" fontId="6" fillId="0" borderId="0" xfId="0" applyNumberFormat="1" applyFont="1" applyFill="1" applyBorder="1"/>
    <xf numFmtId="168" fontId="6" fillId="0" borderId="12" xfId="0" applyNumberFormat="1" applyFont="1" applyFill="1" applyBorder="1"/>
    <xf numFmtId="9" fontId="16" fillId="16" borderId="28" xfId="63" applyFont="1" applyFill="1" applyBorder="1" applyAlignment="1">
      <alignment horizontal="center"/>
    </xf>
    <xf numFmtId="41" fontId="5" fillId="0" borderId="0" xfId="0" applyNumberFormat="1" applyFont="1" applyFill="1"/>
    <xf numFmtId="0" fontId="6" fillId="0" borderId="32" xfId="0" applyFont="1" applyBorder="1"/>
    <xf numFmtId="0" fontId="6" fillId="0" borderId="19" xfId="0" applyFont="1" applyFill="1" applyBorder="1"/>
    <xf numFmtId="0" fontId="6" fillId="0" borderId="0" xfId="0" applyFont="1" applyBorder="1" applyAlignment="1">
      <alignment horizontal="right"/>
    </xf>
    <xf numFmtId="0" fontId="50" fillId="0" borderId="0" xfId="0" applyFont="1" applyBorder="1"/>
    <xf numFmtId="164" fontId="6" fillId="0" borderId="12" xfId="63" applyNumberFormat="1" applyFont="1" applyBorder="1" applyAlignment="1">
      <alignment horizontal="right"/>
    </xf>
    <xf numFmtId="164" fontId="6" fillId="0" borderId="12" xfId="0" applyNumberFormat="1" applyFont="1" applyBorder="1" applyAlignment="1">
      <alignment horizontal="right"/>
    </xf>
    <xf numFmtId="164" fontId="6" fillId="0" borderId="22" xfId="63" applyNumberFormat="1" applyFont="1" applyBorder="1" applyAlignment="1">
      <alignment horizontal="right"/>
    </xf>
    <xf numFmtId="164" fontId="6" fillId="0" borderId="33" xfId="0" applyNumberFormat="1" applyFont="1" applyFill="1" applyBorder="1"/>
    <xf numFmtId="164" fontId="6" fillId="0" borderId="12" xfId="0" applyNumberFormat="1" applyFont="1" applyFill="1" applyBorder="1" applyAlignment="1">
      <alignment horizontal="right"/>
    </xf>
    <xf numFmtId="164" fontId="6" fillId="0" borderId="22" xfId="0" applyNumberFormat="1" applyFont="1" applyFill="1" applyBorder="1" applyAlignment="1">
      <alignment horizontal="right"/>
    </xf>
    <xf numFmtId="164" fontId="6" fillId="0" borderId="33" xfId="0" applyNumberFormat="1" applyFont="1" applyFill="1" applyBorder="1" applyAlignment="1">
      <alignment horizontal="right"/>
    </xf>
    <xf numFmtId="171" fontId="18" fillId="0" borderId="12" xfId="0" applyNumberFormat="1" applyFont="1" applyBorder="1"/>
    <xf numFmtId="0" fontId="16" fillId="0" borderId="0" xfId="0" applyFont="1" applyBorder="1"/>
    <xf numFmtId="0" fontId="16" fillId="0" borderId="31" xfId="0" applyFont="1" applyBorder="1"/>
    <xf numFmtId="164" fontId="16" fillId="0" borderId="20" xfId="63" applyNumberFormat="1" applyFont="1" applyBorder="1"/>
    <xf numFmtId="0" fontId="16" fillId="0" borderId="29" xfId="0" applyFont="1" applyBorder="1"/>
    <xf numFmtId="164" fontId="16" fillId="0" borderId="28" xfId="63" applyNumberFormat="1" applyFont="1" applyBorder="1"/>
    <xf numFmtId="164" fontId="16" fillId="0" borderId="29" xfId="63" applyNumberFormat="1" applyFont="1" applyBorder="1"/>
    <xf numFmtId="164" fontId="16" fillId="0" borderId="12" xfId="63" applyNumberFormat="1" applyFont="1" applyBorder="1"/>
    <xf numFmtId="164" fontId="16" fillId="0" borderId="13" xfId="63" applyNumberFormat="1" applyFont="1" applyBorder="1"/>
    <xf numFmtId="164" fontId="16" fillId="0" borderId="0" xfId="63" applyNumberFormat="1" applyFont="1" applyBorder="1"/>
    <xf numFmtId="0" fontId="16" fillId="0" borderId="20" xfId="0" applyFont="1" applyBorder="1"/>
    <xf numFmtId="164" fontId="16" fillId="0" borderId="12" xfId="0" applyNumberFormat="1" applyFont="1" applyBorder="1"/>
    <xf numFmtId="164" fontId="16" fillId="0" borderId="13" xfId="0" applyNumberFormat="1" applyFont="1" applyBorder="1"/>
    <xf numFmtId="164" fontId="16" fillId="0" borderId="0" xfId="0" applyNumberFormat="1" applyFont="1" applyBorder="1"/>
    <xf numFmtId="164" fontId="16" fillId="0" borderId="20" xfId="0" applyNumberFormat="1" applyFont="1" applyBorder="1"/>
    <xf numFmtId="164" fontId="16" fillId="0" borderId="12" xfId="0" applyNumberFormat="1" applyFont="1" applyBorder="1" applyAlignment="1">
      <alignment horizontal="right"/>
    </xf>
    <xf numFmtId="164" fontId="6" fillId="0" borderId="22" xfId="0" applyNumberFormat="1" applyFont="1" applyBorder="1" applyAlignment="1">
      <alignment horizontal="right"/>
    </xf>
    <xf numFmtId="164" fontId="16" fillId="0" borderId="20" xfId="0" applyNumberFormat="1" applyFont="1" applyBorder="1" applyAlignment="1">
      <alignment horizontal="right"/>
    </xf>
    <xf numFmtId="9" fontId="6" fillId="0" borderId="0" xfId="63" applyFont="1" applyBorder="1"/>
    <xf numFmtId="164" fontId="6" fillId="0" borderId="31" xfId="0" applyNumberFormat="1" applyFont="1" applyBorder="1"/>
    <xf numFmtId="164" fontId="50" fillId="0" borderId="12" xfId="63" applyNumberFormat="1" applyFont="1" applyBorder="1"/>
    <xf numFmtId="0" fontId="15" fillId="18" borderId="35" xfId="0" applyFont="1" applyFill="1" applyBorder="1"/>
    <xf numFmtId="0" fontId="2" fillId="18" borderId="35" xfId="0" applyFont="1" applyFill="1" applyBorder="1" applyAlignment="1">
      <alignment horizontal="center"/>
    </xf>
    <xf numFmtId="0" fontId="15" fillId="18" borderId="36" xfId="0" applyNumberFormat="1" applyFont="1" applyFill="1" applyBorder="1" applyAlignment="1">
      <alignment horizontal="center"/>
    </xf>
    <xf numFmtId="0" fontId="2" fillId="18" borderId="37" xfId="0" applyFont="1" applyFill="1" applyBorder="1" applyAlignment="1">
      <alignment horizontal="center"/>
    </xf>
    <xf numFmtId="0" fontId="16" fillId="0" borderId="0" xfId="0" applyFont="1"/>
    <xf numFmtId="0" fontId="16" fillId="16" borderId="22" xfId="0" applyNumberFormat="1" applyFont="1" applyFill="1" applyBorder="1" applyAlignment="1">
      <alignment horizontal="center"/>
    </xf>
    <xf numFmtId="0" fontId="17" fillId="0" borderId="14" xfId="0" applyFont="1" applyFill="1" applyBorder="1" applyAlignment="1">
      <alignment horizontal="center"/>
    </xf>
    <xf numFmtId="0" fontId="11" fillId="0" borderId="0" xfId="0" applyFont="1"/>
    <xf numFmtId="7" fontId="5" fillId="0" borderId="0" xfId="0" applyNumberFormat="1" applyFont="1"/>
    <xf numFmtId="0" fontId="5" fillId="0" borderId="0" xfId="0" applyFont="1" applyFill="1" applyBorder="1"/>
    <xf numFmtId="7" fontId="5" fillId="0" borderId="0" xfId="0" applyNumberFormat="1" applyFont="1" applyBorder="1"/>
    <xf numFmtId="7" fontId="5" fillId="0" borderId="22" xfId="0" applyNumberFormat="1" applyFont="1" applyFill="1" applyBorder="1" applyAlignment="1">
      <alignment horizontal="right"/>
    </xf>
    <xf numFmtId="7" fontId="19" fillId="0" borderId="14" xfId="0" applyNumberFormat="1" applyFont="1" applyFill="1" applyBorder="1" applyAlignment="1">
      <alignment horizontal="right"/>
    </xf>
    <xf numFmtId="7" fontId="5" fillId="0" borderId="0" xfId="0" applyNumberFormat="1" applyFont="1" applyFill="1" applyBorder="1" applyAlignment="1">
      <alignment horizontal="right"/>
    </xf>
    <xf numFmtId="7" fontId="19" fillId="0" borderId="0" xfId="0" applyNumberFormat="1" applyFont="1" applyFill="1" applyBorder="1" applyAlignment="1">
      <alignment horizontal="right"/>
    </xf>
    <xf numFmtId="7" fontId="5" fillId="0" borderId="13" xfId="0" applyNumberFormat="1" applyFont="1" applyFill="1" applyBorder="1" applyAlignment="1">
      <alignment horizontal="right"/>
    </xf>
    <xf numFmtId="7" fontId="13" fillId="0" borderId="0" xfId="55" applyNumberFormat="1" applyFont="1" applyFill="1" applyBorder="1"/>
    <xf numFmtId="7" fontId="13" fillId="0" borderId="12" xfId="55" applyNumberFormat="1" applyFont="1" applyFill="1" applyBorder="1"/>
    <xf numFmtId="39" fontId="19" fillId="16" borderId="0" xfId="0" applyNumberFormat="1" applyFont="1" applyFill="1" applyBorder="1" applyAlignment="1">
      <alignment horizontal="right"/>
    </xf>
    <xf numFmtId="164" fontId="59" fillId="0" borderId="0" xfId="0" applyNumberFormat="1" applyFont="1" applyFill="1" applyBorder="1"/>
    <xf numFmtId="164" fontId="59" fillId="0" borderId="13" xfId="0" applyNumberFormat="1" applyFont="1" applyFill="1" applyBorder="1"/>
    <xf numFmtId="171" fontId="49" fillId="0" borderId="0" xfId="0" applyNumberFormat="1" applyFont="1" applyFill="1" applyBorder="1" applyAlignment="1">
      <alignment horizontal="right"/>
    </xf>
    <xf numFmtId="171" fontId="49" fillId="0" borderId="13" xfId="0" applyNumberFormat="1" applyFont="1" applyFill="1" applyBorder="1" applyAlignment="1">
      <alignment horizontal="right"/>
    </xf>
    <xf numFmtId="9" fontId="49" fillId="0" borderId="13" xfId="63" applyFont="1" applyFill="1" applyBorder="1" applyAlignment="1">
      <alignment horizontal="right"/>
    </xf>
    <xf numFmtId="9" fontId="49" fillId="0" borderId="0" xfId="63" applyFont="1" applyFill="1" applyBorder="1" applyAlignment="1">
      <alignment horizontal="right"/>
    </xf>
    <xf numFmtId="9" fontId="49" fillId="0" borderId="21" xfId="63" applyFont="1" applyFill="1" applyBorder="1" applyAlignment="1">
      <alignment horizontal="right"/>
    </xf>
    <xf numFmtId="9" fontId="49" fillId="0" borderId="14" xfId="63" applyFont="1" applyFill="1" applyBorder="1" applyAlignment="1">
      <alignment horizontal="right"/>
    </xf>
    <xf numFmtId="171" fontId="49" fillId="0" borderId="0" xfId="0" applyNumberFormat="1" applyFont="1" applyFill="1" applyAlignment="1">
      <alignment horizontal="right"/>
    </xf>
    <xf numFmtId="168" fontId="49" fillId="0" borderId="0" xfId="0" applyNumberFormat="1" applyFont="1" applyFill="1" applyAlignment="1">
      <alignment horizontal="right"/>
    </xf>
    <xf numFmtId="168" fontId="49" fillId="0" borderId="13" xfId="0" applyNumberFormat="1" applyFont="1" applyFill="1" applyBorder="1" applyAlignment="1">
      <alignment horizontal="right"/>
    </xf>
    <xf numFmtId="164" fontId="49" fillId="16" borderId="0" xfId="63" applyNumberFormat="1" applyFont="1" applyFill="1" applyBorder="1" applyAlignment="1">
      <alignment horizontal="right"/>
    </xf>
    <xf numFmtId="168" fontId="49" fillId="16" borderId="0" xfId="0" applyNumberFormat="1" applyFont="1" applyFill="1" applyBorder="1" applyAlignment="1">
      <alignment horizontal="right"/>
    </xf>
    <xf numFmtId="164" fontId="49" fillId="16" borderId="13" xfId="63" applyNumberFormat="1" applyFont="1" applyFill="1" applyBorder="1" applyAlignment="1">
      <alignment horizontal="right"/>
    </xf>
    <xf numFmtId="168" fontId="49" fillId="16" borderId="13" xfId="0" applyNumberFormat="1" applyFont="1" applyFill="1" applyBorder="1" applyAlignment="1">
      <alignment horizontal="right"/>
    </xf>
    <xf numFmtId="0" fontId="11" fillId="0" borderId="0" xfId="0" applyFont="1" applyFill="1" applyBorder="1"/>
    <xf numFmtId="0" fontId="16" fillId="0" borderId="0" xfId="0" applyFont="1" applyFill="1" applyBorder="1"/>
    <xf numFmtId="0" fontId="11" fillId="16" borderId="14" xfId="0" applyFont="1" applyFill="1" applyBorder="1"/>
    <xf numFmtId="49" fontId="0" fillId="0" borderId="0" xfId="0" applyNumberFormat="1"/>
    <xf numFmtId="171" fontId="5" fillId="16" borderId="22" xfId="55" applyNumberFormat="1" applyFont="1" applyFill="1" applyBorder="1"/>
    <xf numFmtId="168" fontId="17" fillId="16" borderId="22" xfId="55" applyNumberFormat="1" applyFont="1" applyFill="1" applyBorder="1"/>
    <xf numFmtId="168" fontId="5" fillId="16" borderId="22" xfId="55" applyNumberFormat="1" applyFont="1" applyFill="1" applyBorder="1"/>
    <xf numFmtId="168" fontId="17" fillId="16" borderId="14" xfId="55" applyNumberFormat="1" applyFont="1" applyFill="1" applyBorder="1"/>
    <xf numFmtId="168" fontId="5" fillId="16" borderId="21" xfId="55" applyNumberFormat="1" applyFont="1" applyFill="1" applyBorder="1"/>
    <xf numFmtId="168" fontId="17" fillId="16" borderId="21" xfId="55" applyNumberFormat="1" applyFont="1" applyFill="1" applyBorder="1"/>
    <xf numFmtId="171" fontId="50" fillId="0" borderId="31" xfId="0" applyNumberFormat="1" applyFont="1" applyBorder="1"/>
    <xf numFmtId="171" fontId="5" fillId="0" borderId="31" xfId="0" applyNumberFormat="1" applyFont="1" applyFill="1" applyBorder="1" applyAlignment="1">
      <alignment horizontal="right"/>
    </xf>
    <xf numFmtId="0" fontId="5" fillId="16" borderId="12" xfId="37" applyNumberFormat="1" applyFont="1" applyFill="1" applyBorder="1" applyAlignment="1">
      <alignment horizontal="right"/>
    </xf>
    <xf numFmtId="168" fontId="17" fillId="16" borderId="32" xfId="55" applyNumberFormat="1" applyFont="1" applyFill="1" applyBorder="1"/>
    <xf numFmtId="43" fontId="24" fillId="0" borderId="0" xfId="37" applyFont="1"/>
    <xf numFmtId="0" fontId="16" fillId="0" borderId="21" xfId="0" applyFont="1" applyBorder="1"/>
    <xf numFmtId="0" fontId="16" fillId="0" borderId="14" xfId="0" applyFont="1" applyBorder="1"/>
    <xf numFmtId="0" fontId="16" fillId="0" borderId="22" xfId="0" applyFont="1" applyBorder="1"/>
    <xf numFmtId="0" fontId="24" fillId="0" borderId="0" xfId="70" applyFont="1" applyFill="1" applyBorder="1" applyProtection="1"/>
    <xf numFmtId="43" fontId="14" fillId="0" borderId="0" xfId="37" applyFont="1"/>
    <xf numFmtId="43" fontId="14" fillId="0" borderId="0" xfId="37" applyFont="1" applyFill="1" applyAlignment="1">
      <alignment horizontal="right"/>
    </xf>
    <xf numFmtId="43" fontId="14" fillId="0" borderId="0" xfId="37" applyFont="1" applyFill="1" applyBorder="1" applyAlignment="1">
      <alignment horizontal="right"/>
    </xf>
    <xf numFmtId="171" fontId="16" fillId="0" borderId="0" xfId="0" applyNumberFormat="1" applyFont="1" applyFill="1" applyBorder="1" applyAlignment="1" applyProtection="1"/>
    <xf numFmtId="171" fontId="24" fillId="0" borderId="0" xfId="0" applyNumberFormat="1" applyFont="1" applyFill="1" applyBorder="1" applyAlignment="1" applyProtection="1"/>
    <xf numFmtId="43" fontId="14" fillId="0" borderId="12" xfId="37" applyFont="1" applyFill="1" applyBorder="1" applyAlignment="1">
      <alignment horizontal="right"/>
    </xf>
    <xf numFmtId="43" fontId="14" fillId="0" borderId="13" xfId="37" applyFont="1" applyFill="1" applyBorder="1" applyAlignment="1">
      <alignment horizontal="right"/>
    </xf>
    <xf numFmtId="43" fontId="14" fillId="0" borderId="38" xfId="37" applyFont="1" applyFill="1" applyBorder="1" applyAlignment="1">
      <alignment horizontal="right"/>
    </xf>
    <xf numFmtId="43" fontId="14" fillId="0" borderId="27" xfId="37" applyFont="1" applyFill="1" applyBorder="1" applyAlignment="1">
      <alignment horizontal="right"/>
    </xf>
    <xf numFmtId="43" fontId="0" fillId="0" borderId="0" xfId="37" applyFont="1"/>
    <xf numFmtId="177" fontId="2" fillId="18" borderId="0" xfId="0" applyNumberFormat="1" applyFont="1" applyFill="1" applyBorder="1" applyAlignment="1">
      <alignment horizontal="center"/>
    </xf>
    <xf numFmtId="170" fontId="15" fillId="18" borderId="36" xfId="0" applyNumberFormat="1" applyFont="1" applyFill="1" applyBorder="1" applyAlignment="1">
      <alignment horizontal="center"/>
    </xf>
    <xf numFmtId="171" fontId="20" fillId="0" borderId="28" xfId="0" applyNumberFormat="1" applyFont="1" applyBorder="1"/>
    <xf numFmtId="171" fontId="20" fillId="0" borderId="29" xfId="0" applyNumberFormat="1" applyFont="1" applyBorder="1"/>
    <xf numFmtId="171" fontId="20" fillId="0" borderId="30" xfId="0" applyNumberFormat="1" applyFont="1" applyBorder="1"/>
    <xf numFmtId="164" fontId="6" fillId="0" borderId="18" xfId="63" applyNumberFormat="1" applyFont="1" applyFill="1" applyBorder="1"/>
    <xf numFmtId="164" fontId="16" fillId="0" borderId="18" xfId="63" applyNumberFormat="1" applyFont="1" applyBorder="1"/>
    <xf numFmtId="164" fontId="16" fillId="0" borderId="16" xfId="63" applyNumberFormat="1" applyFont="1" applyBorder="1"/>
    <xf numFmtId="164" fontId="16" fillId="0" borderId="19" xfId="63" applyNumberFormat="1" applyFont="1" applyBorder="1"/>
    <xf numFmtId="171" fontId="16" fillId="0" borderId="31" xfId="0" applyNumberFormat="1" applyFont="1" applyBorder="1"/>
    <xf numFmtId="171" fontId="16" fillId="0" borderId="28" xfId="0" applyNumberFormat="1" applyFont="1" applyBorder="1"/>
    <xf numFmtId="171" fontId="16" fillId="0" borderId="29" xfId="0" applyNumberFormat="1" applyFont="1" applyBorder="1"/>
    <xf numFmtId="171" fontId="16" fillId="0" borderId="30" xfId="0" applyNumberFormat="1" applyFont="1" applyBorder="1"/>
    <xf numFmtId="171" fontId="50" fillId="0" borderId="30" xfId="0" applyNumberFormat="1" applyFont="1" applyBorder="1"/>
    <xf numFmtId="164" fontId="50" fillId="0" borderId="13" xfId="63" applyNumberFormat="1" applyFont="1" applyBorder="1"/>
    <xf numFmtId="164" fontId="50" fillId="0" borderId="0" xfId="63" applyNumberFormat="1" applyFont="1" applyBorder="1"/>
    <xf numFmtId="164" fontId="6" fillId="0" borderId="31" xfId="63" applyNumberFormat="1" applyFont="1" applyBorder="1" applyAlignment="1">
      <alignment horizontal="right"/>
    </xf>
    <xf numFmtId="164" fontId="50" fillId="0" borderId="13" xfId="0" applyNumberFormat="1" applyFont="1" applyBorder="1"/>
    <xf numFmtId="164" fontId="50" fillId="0" borderId="0" xfId="0" applyNumberFormat="1" applyFont="1" applyBorder="1"/>
    <xf numFmtId="164" fontId="6" fillId="0" borderId="31" xfId="0" applyNumberFormat="1" applyFont="1" applyBorder="1" applyAlignment="1">
      <alignment horizontal="right"/>
    </xf>
    <xf numFmtId="164" fontId="6" fillId="0" borderId="13" xfId="0" applyNumberFormat="1" applyFont="1" applyBorder="1" applyAlignment="1">
      <alignment horizontal="right"/>
    </xf>
    <xf numFmtId="164" fontId="6" fillId="0" borderId="0" xfId="0" applyNumberFormat="1" applyFont="1" applyBorder="1" applyAlignment="1">
      <alignment horizontal="right"/>
    </xf>
    <xf numFmtId="164" fontId="6" fillId="0" borderId="18" xfId="63" applyNumberFormat="1" applyFont="1" applyFill="1" applyBorder="1" applyAlignment="1">
      <alignment horizontal="right"/>
    </xf>
    <xf numFmtId="164" fontId="6" fillId="0" borderId="16" xfId="63" applyNumberFormat="1" applyFont="1" applyFill="1" applyBorder="1" applyAlignment="1">
      <alignment horizontal="right"/>
    </xf>
    <xf numFmtId="180" fontId="6" fillId="0" borderId="31" xfId="0" applyNumberFormat="1" applyFont="1" applyBorder="1"/>
    <xf numFmtId="7" fontId="5" fillId="16" borderId="12" xfId="0" applyNumberFormat="1" applyFont="1" applyFill="1" applyBorder="1" applyAlignment="1">
      <alignment horizontal="right"/>
    </xf>
    <xf numFmtId="171" fontId="19" fillId="16" borderId="31" xfId="0" applyNumberFormat="1" applyFont="1" applyFill="1" applyBorder="1" applyAlignment="1">
      <alignment horizontal="right"/>
    </xf>
    <xf numFmtId="168" fontId="19" fillId="16" borderId="31" xfId="0" applyNumberFormat="1" applyFont="1" applyFill="1" applyBorder="1" applyAlignment="1">
      <alignment horizontal="right"/>
    </xf>
    <xf numFmtId="7" fontId="19" fillId="16" borderId="31" xfId="37" applyNumberFormat="1" applyFont="1" applyFill="1" applyBorder="1" applyAlignment="1">
      <alignment horizontal="right"/>
    </xf>
    <xf numFmtId="171" fontId="19" fillId="0" borderId="15" xfId="0" applyNumberFormat="1" applyFont="1" applyFill="1" applyBorder="1" applyAlignment="1">
      <alignment horizontal="right"/>
    </xf>
    <xf numFmtId="0" fontId="50" fillId="0" borderId="20" xfId="0" applyFont="1" applyBorder="1" applyAlignment="1">
      <alignment horizontal="right"/>
    </xf>
    <xf numFmtId="0" fontId="50" fillId="0" borderId="28" xfId="0" applyFont="1" applyBorder="1" applyAlignment="1">
      <alignment horizontal="right"/>
    </xf>
    <xf numFmtId="0" fontId="50" fillId="0" borderId="29" xfId="0" applyFont="1" applyBorder="1" applyAlignment="1">
      <alignment horizontal="right"/>
    </xf>
    <xf numFmtId="0" fontId="50" fillId="0" borderId="30" xfId="0" applyFont="1" applyBorder="1" applyAlignment="1">
      <alignment horizontal="right"/>
    </xf>
    <xf numFmtId="0" fontId="6" fillId="0" borderId="12" xfId="0" applyFont="1" applyBorder="1" applyAlignment="1">
      <alignment horizontal="right"/>
    </xf>
    <xf numFmtId="0" fontId="50" fillId="0" borderId="13" xfId="0" applyFont="1" applyBorder="1" applyAlignment="1">
      <alignment horizontal="right"/>
    </xf>
    <xf numFmtId="0" fontId="50" fillId="0" borderId="0" xfId="0" applyFont="1" applyBorder="1" applyAlignment="1">
      <alignment horizontal="right"/>
    </xf>
    <xf numFmtId="0" fontId="50" fillId="0" borderId="31" xfId="0" applyFont="1" applyBorder="1" applyAlignment="1">
      <alignment horizontal="right"/>
    </xf>
    <xf numFmtId="173" fontId="50" fillId="0" borderId="0" xfId="0" applyNumberFormat="1" applyFont="1" applyBorder="1" applyAlignment="1">
      <alignment horizontal="right"/>
    </xf>
    <xf numFmtId="0" fontId="50" fillId="0" borderId="21" xfId="0" applyFont="1" applyBorder="1" applyAlignment="1">
      <alignment horizontal="right"/>
    </xf>
    <xf numFmtId="0" fontId="50" fillId="0" borderId="14" xfId="0" applyFont="1" applyBorder="1" applyAlignment="1">
      <alignment horizontal="right"/>
    </xf>
    <xf numFmtId="0" fontId="50" fillId="0" borderId="22" xfId="0" applyFont="1" applyBorder="1" applyAlignment="1">
      <alignment horizontal="right"/>
    </xf>
    <xf numFmtId="164" fontId="6" fillId="0" borderId="20" xfId="63" applyNumberFormat="1" applyFont="1" applyBorder="1" applyAlignment="1">
      <alignment horizontal="right"/>
    </xf>
    <xf numFmtId="164" fontId="6" fillId="0" borderId="20" xfId="63" applyNumberFormat="1" applyFont="1" applyBorder="1"/>
    <xf numFmtId="171" fontId="16" fillId="0" borderId="20" xfId="0" applyNumberFormat="1" applyFont="1" applyBorder="1"/>
    <xf numFmtId="0" fontId="23" fillId="0" borderId="28" xfId="0" applyFont="1" applyBorder="1"/>
    <xf numFmtId="0" fontId="0" fillId="0" borderId="20" xfId="0" applyBorder="1"/>
    <xf numFmtId="0" fontId="0" fillId="0" borderId="12" xfId="0" applyBorder="1"/>
    <xf numFmtId="0" fontId="16" fillId="0" borderId="12" xfId="0" applyFont="1" applyBorder="1"/>
    <xf numFmtId="0" fontId="0" fillId="0" borderId="22" xfId="0" applyBorder="1"/>
    <xf numFmtId="177" fontId="2" fillId="18" borderId="29" xfId="0" applyNumberFormat="1" applyFont="1" applyFill="1" applyBorder="1" applyAlignment="1">
      <alignment horizontal="center"/>
    </xf>
    <xf numFmtId="164" fontId="6" fillId="0" borderId="33" xfId="63" applyNumberFormat="1" applyFont="1" applyBorder="1"/>
    <xf numFmtId="164" fontId="16" fillId="0" borderId="33" xfId="63" applyNumberFormat="1" applyFont="1" applyBorder="1"/>
    <xf numFmtId="0" fontId="50" fillId="0" borderId="12" xfId="0" applyFont="1" applyBorder="1" applyAlignment="1">
      <alignment horizontal="right"/>
    </xf>
    <xf numFmtId="171" fontId="20" fillId="0" borderId="20" xfId="0" applyNumberFormat="1" applyFont="1" applyBorder="1"/>
    <xf numFmtId="0" fontId="6" fillId="0" borderId="39" xfId="0" applyFont="1" applyBorder="1"/>
    <xf numFmtId="171" fontId="6" fillId="0" borderId="39" xfId="0" applyNumberFormat="1" applyFont="1" applyBorder="1"/>
    <xf numFmtId="0" fontId="13" fillId="0" borderId="0" xfId="0" applyFont="1" applyBorder="1" applyAlignment="1">
      <alignment horizontal="left" indent="1"/>
    </xf>
    <xf numFmtId="164" fontId="50" fillId="0" borderId="12" xfId="0" applyNumberFormat="1" applyFont="1" applyBorder="1"/>
    <xf numFmtId="171" fontId="18" fillId="16" borderId="13" xfId="0" applyNumberFormat="1" applyFont="1" applyFill="1" applyBorder="1" applyAlignment="1">
      <alignment horizontal="right"/>
    </xf>
    <xf numFmtId="171" fontId="18" fillId="16" borderId="0" xfId="0" applyNumberFormat="1" applyFont="1" applyFill="1" applyBorder="1" applyAlignment="1">
      <alignment horizontal="right"/>
    </xf>
    <xf numFmtId="0" fontId="50" fillId="0" borderId="20" xfId="0" applyFont="1" applyBorder="1"/>
    <xf numFmtId="164" fontId="50" fillId="0" borderId="13" xfId="63" applyNumberFormat="1" applyFont="1" applyBorder="1" applyAlignment="1">
      <alignment horizontal="right"/>
    </xf>
    <xf numFmtId="164" fontId="50" fillId="0" borderId="0" xfId="63" applyNumberFormat="1" applyFont="1" applyBorder="1" applyAlignment="1">
      <alignment horizontal="right"/>
    </xf>
    <xf numFmtId="164" fontId="50" fillId="0" borderId="13" xfId="0" applyNumberFormat="1" applyFont="1" applyBorder="1" applyAlignment="1">
      <alignment horizontal="right"/>
    </xf>
    <xf numFmtId="164" fontId="50" fillId="0" borderId="0" xfId="0" applyNumberFormat="1" applyFont="1" applyBorder="1" applyAlignment="1">
      <alignment horizontal="right"/>
    </xf>
    <xf numFmtId="164" fontId="16" fillId="0" borderId="28" xfId="0" applyNumberFormat="1" applyFont="1" applyBorder="1"/>
    <xf numFmtId="164" fontId="16" fillId="0" borderId="29" xfId="0" applyNumberFormat="1" applyFont="1" applyBorder="1"/>
    <xf numFmtId="164" fontId="16" fillId="0" borderId="30" xfId="0" applyNumberFormat="1" applyFont="1" applyBorder="1"/>
    <xf numFmtId="164" fontId="16" fillId="0" borderId="31" xfId="0" applyNumberFormat="1" applyFont="1" applyBorder="1"/>
    <xf numFmtId="164" fontId="6" fillId="0" borderId="32" xfId="0" applyNumberFormat="1" applyFont="1" applyBorder="1"/>
    <xf numFmtId="164" fontId="16" fillId="0" borderId="30" xfId="0" applyNumberFormat="1" applyFont="1" applyBorder="1" applyAlignment="1">
      <alignment horizontal="right"/>
    </xf>
    <xf numFmtId="14" fontId="0" fillId="0" borderId="0" xfId="0" applyNumberFormat="1"/>
    <xf numFmtId="9" fontId="0" fillId="0" borderId="0" xfId="63" applyFont="1"/>
    <xf numFmtId="43" fontId="24" fillId="0" borderId="14" xfId="37" applyFont="1" applyBorder="1"/>
    <xf numFmtId="164" fontId="13" fillId="0" borderId="12" xfId="63" applyNumberFormat="1" applyFont="1" applyBorder="1"/>
    <xf numFmtId="164" fontId="13" fillId="0" borderId="22" xfId="63" applyNumberFormat="1" applyFont="1" applyBorder="1"/>
    <xf numFmtId="37" fontId="16" fillId="0" borderId="12" xfId="0" applyNumberFormat="1" applyFont="1" applyBorder="1"/>
    <xf numFmtId="37" fontId="6" fillId="0" borderId="0" xfId="0" applyNumberFormat="1" applyFont="1"/>
    <xf numFmtId="37" fontId="24" fillId="0" borderId="0" xfId="37" applyNumberFormat="1" applyFont="1"/>
    <xf numFmtId="191" fontId="14" fillId="16" borderId="0" xfId="0" applyNumberFormat="1" applyFont="1" applyFill="1"/>
    <xf numFmtId="168" fontId="5" fillId="16" borderId="22" xfId="0" applyNumberFormat="1" applyFont="1" applyFill="1" applyBorder="1" applyAlignment="1">
      <alignment horizontal="right"/>
    </xf>
    <xf numFmtId="171" fontId="14" fillId="16" borderId="0" xfId="0" applyNumberFormat="1" applyFont="1" applyFill="1"/>
    <xf numFmtId="43" fontId="24" fillId="0" borderId="20" xfId="37" applyFont="1" applyBorder="1"/>
    <xf numFmtId="43" fontId="24" fillId="0" borderId="12" xfId="37" applyFont="1" applyBorder="1"/>
    <xf numFmtId="164" fontId="6" fillId="16" borderId="0" xfId="63" applyNumberFormat="1" applyFont="1" applyFill="1" applyBorder="1"/>
    <xf numFmtId="0" fontId="6" fillId="16" borderId="0" xfId="0" applyFont="1" applyFill="1" applyBorder="1"/>
    <xf numFmtId="0" fontId="5" fillId="0" borderId="0" xfId="55" applyFont="1" applyFill="1" applyBorder="1"/>
    <xf numFmtId="164" fontId="5" fillId="0" borderId="0" xfId="63" applyNumberFormat="1" applyFont="1" applyBorder="1"/>
    <xf numFmtId="164" fontId="5" fillId="0" borderId="0" xfId="0" applyNumberFormat="1" applyFont="1" applyBorder="1"/>
    <xf numFmtId="43" fontId="5" fillId="0" borderId="0" xfId="37" applyFont="1" applyBorder="1"/>
    <xf numFmtId="0" fontId="16" fillId="0" borderId="0" xfId="55" applyFont="1" applyFill="1" applyBorder="1" applyAlignment="1">
      <alignment horizontal="center"/>
    </xf>
    <xf numFmtId="170" fontId="63" fillId="18" borderId="18" xfId="0" applyNumberFormat="1" applyFont="1" applyFill="1" applyBorder="1" applyAlignment="1">
      <alignment horizontal="center"/>
    </xf>
    <xf numFmtId="0" fontId="5" fillId="0" borderId="12" xfId="0" applyFont="1" applyFill="1" applyBorder="1"/>
    <xf numFmtId="168" fontId="16" fillId="0" borderId="0" xfId="55" applyNumberFormat="1" applyFont="1" applyFill="1" applyBorder="1"/>
    <xf numFmtId="171" fontId="16" fillId="0" borderId="0" xfId="55" applyNumberFormat="1" applyFont="1" applyFill="1" applyBorder="1"/>
    <xf numFmtId="0" fontId="16" fillId="0" borderId="12" xfId="0" applyFont="1" applyFill="1" applyBorder="1"/>
    <xf numFmtId="0" fontId="13" fillId="0" borderId="0" xfId="0" applyFont="1"/>
    <xf numFmtId="9" fontId="5" fillId="0" borderId="0" xfId="55" applyNumberFormat="1" applyFont="1" applyFill="1" applyBorder="1"/>
    <xf numFmtId="175" fontId="6" fillId="0" borderId="12" xfId="37" applyNumberFormat="1" applyFont="1" applyBorder="1"/>
    <xf numFmtId="0" fontId="13" fillId="0" borderId="0" xfId="0" applyFont="1" applyBorder="1"/>
    <xf numFmtId="164" fontId="6" fillId="19" borderId="12" xfId="0" applyNumberFormat="1" applyFont="1" applyFill="1" applyBorder="1"/>
    <xf numFmtId="9" fontId="6" fillId="0" borderId="0" xfId="0" applyNumberFormat="1" applyFont="1" applyFill="1"/>
    <xf numFmtId="171" fontId="6" fillId="0" borderId="0" xfId="0" applyNumberFormat="1" applyFont="1" applyFill="1"/>
    <xf numFmtId="9" fontId="50" fillId="0" borderId="13" xfId="0" applyNumberFormat="1" applyFont="1" applyFill="1" applyBorder="1" applyAlignment="1">
      <alignment horizontal="right"/>
    </xf>
    <xf numFmtId="9" fontId="50" fillId="0" borderId="0" xfId="0" applyNumberFormat="1" applyFont="1" applyFill="1" applyBorder="1" applyAlignment="1">
      <alignment horizontal="right"/>
    </xf>
    <xf numFmtId="9" fontId="50" fillId="0" borderId="12" xfId="0" applyNumberFormat="1" applyFont="1" applyFill="1" applyBorder="1" applyAlignment="1">
      <alignment horizontal="right"/>
    </xf>
    <xf numFmtId="9" fontId="6" fillId="0" borderId="0" xfId="0" applyNumberFormat="1" applyFont="1" applyFill="1" applyBorder="1"/>
    <xf numFmtId="164" fontId="6" fillId="0" borderId="13" xfId="0" applyNumberFormat="1" applyFont="1" applyFill="1" applyBorder="1" applyAlignment="1">
      <alignment horizontal="right"/>
    </xf>
    <xf numFmtId="164" fontId="6" fillId="0" borderId="0" xfId="0" applyNumberFormat="1" applyFont="1" applyFill="1" applyBorder="1" applyAlignment="1">
      <alignment horizontal="right"/>
    </xf>
    <xf numFmtId="164" fontId="6" fillId="0" borderId="12" xfId="0" applyNumberFormat="1" applyFont="1" applyFill="1" applyBorder="1"/>
    <xf numFmtId="164" fontId="18" fillId="0" borderId="12" xfId="63" applyNumberFormat="1" applyFont="1" applyFill="1" applyBorder="1"/>
    <xf numFmtId="175" fontId="6" fillId="0" borderId="0" xfId="37" applyNumberFormat="1" applyFont="1" applyFill="1" applyBorder="1" applyAlignment="1">
      <alignment horizontal="right"/>
    </xf>
    <xf numFmtId="171" fontId="5" fillId="0" borderId="12" xfId="0" applyNumberFormat="1" applyFont="1" applyFill="1" applyBorder="1"/>
    <xf numFmtId="171" fontId="6" fillId="0" borderId="0" xfId="0" applyNumberFormat="1" applyFont="1" applyFill="1" applyBorder="1" applyAlignment="1">
      <alignment horizontal="right"/>
    </xf>
    <xf numFmtId="0" fontId="24" fillId="0" borderId="0" xfId="0" applyFont="1" applyFill="1"/>
    <xf numFmtId="0" fontId="13" fillId="0" borderId="0" xfId="0" applyFont="1" applyFill="1"/>
    <xf numFmtId="171" fontId="67" fillId="16" borderId="0" xfId="0" applyNumberFormat="1" applyFont="1" applyFill="1" applyBorder="1" applyAlignment="1">
      <alignment horizontal="right"/>
    </xf>
    <xf numFmtId="43" fontId="24" fillId="0" borderId="28" xfId="37" applyFont="1" applyBorder="1"/>
    <xf numFmtId="43" fontId="24" fillId="0" borderId="13" xfId="37" applyFont="1" applyBorder="1"/>
    <xf numFmtId="168" fontId="5" fillId="0" borderId="31" xfId="0" applyNumberFormat="1" applyFont="1" applyFill="1" applyBorder="1" applyAlignment="1">
      <alignment horizontal="right"/>
    </xf>
    <xf numFmtId="171" fontId="67" fillId="0" borderId="0" xfId="0" applyNumberFormat="1" applyFont="1" applyFill="1" applyBorder="1" applyAlignment="1">
      <alignment horizontal="right"/>
    </xf>
    <xf numFmtId="171" fontId="67" fillId="0" borderId="0" xfId="0" applyNumberFormat="1" applyFont="1" applyFill="1" applyAlignment="1">
      <alignment horizontal="right"/>
    </xf>
    <xf numFmtId="171" fontId="67" fillId="0" borderId="34" xfId="0" applyNumberFormat="1" applyFont="1" applyFill="1" applyBorder="1" applyAlignment="1">
      <alignment horizontal="right"/>
    </xf>
    <xf numFmtId="7" fontId="67" fillId="0" borderId="0" xfId="0" applyNumberFormat="1" applyFont="1" applyFill="1" applyBorder="1" applyAlignment="1">
      <alignment horizontal="right"/>
    </xf>
    <xf numFmtId="171" fontId="67" fillId="16" borderId="13" xfId="0" applyNumberFormat="1" applyFont="1" applyFill="1" applyBorder="1" applyAlignment="1">
      <alignment horizontal="right"/>
    </xf>
    <xf numFmtId="7" fontId="67" fillId="0" borderId="13" xfId="0" applyNumberFormat="1" applyFont="1" applyFill="1" applyBorder="1" applyAlignment="1">
      <alignment horizontal="right"/>
    </xf>
    <xf numFmtId="9" fontId="5" fillId="16" borderId="21" xfId="63" applyFont="1" applyFill="1" applyBorder="1"/>
    <xf numFmtId="9" fontId="5" fillId="0" borderId="21" xfId="63" applyFont="1" applyFill="1" applyBorder="1" applyAlignment="1">
      <alignment horizontal="right"/>
    </xf>
    <xf numFmtId="0" fontId="16" fillId="0" borderId="0" xfId="0" applyFont="1" applyFill="1" applyBorder="1" applyAlignment="1">
      <alignment horizontal="center"/>
    </xf>
    <xf numFmtId="168" fontId="5" fillId="0" borderId="14" xfId="63" applyNumberFormat="1" applyFont="1" applyFill="1" applyBorder="1" applyAlignment="1">
      <alignment horizontal="right"/>
    </xf>
    <xf numFmtId="0" fontId="16" fillId="0" borderId="0" xfId="52" applyFont="1" applyFill="1" applyBorder="1" applyAlignment="1" applyProtection="1">
      <alignment horizontal="left"/>
    </xf>
    <xf numFmtId="0" fontId="16" fillId="0" borderId="0" xfId="0" applyFont="1" applyFill="1"/>
    <xf numFmtId="164" fontId="71" fillId="0" borderId="0" xfId="63" applyNumberFormat="1" applyFont="1"/>
    <xf numFmtId="0" fontId="71" fillId="0" borderId="0" xfId="0" applyFont="1"/>
    <xf numFmtId="201" fontId="6" fillId="0" borderId="0" xfId="0" applyNumberFormat="1" applyFont="1"/>
    <xf numFmtId="164" fontId="72" fillId="0" borderId="13" xfId="0" applyNumberFormat="1" applyFont="1" applyBorder="1"/>
    <xf numFmtId="37" fontId="23" fillId="0" borderId="12" xfId="0" applyNumberFormat="1" applyFont="1" applyBorder="1"/>
    <xf numFmtId="37" fontId="13" fillId="0" borderId="0" xfId="0" applyNumberFormat="1" applyFont="1"/>
    <xf numFmtId="0" fontId="13" fillId="0" borderId="14" xfId="0" applyFont="1" applyBorder="1"/>
    <xf numFmtId="164" fontId="51" fillId="0" borderId="12" xfId="63" applyNumberFormat="1" applyFont="1" applyFill="1" applyBorder="1"/>
    <xf numFmtId="43" fontId="24" fillId="0" borderId="12" xfId="37" applyFont="1" applyFill="1" applyBorder="1"/>
    <xf numFmtId="37" fontId="16" fillId="0" borderId="12" xfId="0" applyNumberFormat="1" applyFont="1" applyFill="1" applyBorder="1"/>
    <xf numFmtId="37" fontId="23" fillId="0" borderId="12" xfId="0" applyNumberFormat="1" applyFont="1" applyFill="1" applyBorder="1"/>
    <xf numFmtId="164" fontId="19" fillId="0" borderId="12" xfId="63" applyNumberFormat="1" applyFont="1" applyFill="1" applyBorder="1"/>
    <xf numFmtId="164" fontId="19" fillId="0" borderId="12" xfId="63" applyNumberFormat="1" applyFont="1" applyBorder="1"/>
    <xf numFmtId="164" fontId="74" fillId="0" borderId="12" xfId="63" applyNumberFormat="1" applyFont="1" applyBorder="1"/>
    <xf numFmtId="0" fontId="3" fillId="0" borderId="0" xfId="52" applyFont="1" applyFill="1" applyBorder="1" applyAlignment="1" applyProtection="1">
      <alignment horizontal="left"/>
    </xf>
    <xf numFmtId="0" fontId="12" fillId="0" borderId="11" xfId="52" applyFont="1" applyFill="1" applyBorder="1" applyAlignment="1" applyProtection="1">
      <alignment horizontal="left"/>
    </xf>
    <xf numFmtId="4" fontId="13" fillId="0" borderId="0" xfId="52" applyNumberFormat="1" applyFont="1" applyFill="1" applyBorder="1" applyAlignment="1" applyProtection="1">
      <alignment horizontal="left"/>
    </xf>
    <xf numFmtId="194" fontId="20" fillId="0" borderId="20" xfId="0" applyNumberFormat="1" applyFont="1" applyFill="1" applyBorder="1" applyAlignment="1" applyProtection="1">
      <alignment horizontal="center"/>
    </xf>
    <xf numFmtId="0" fontId="16" fillId="0" borderId="0" xfId="55" applyFont="1" applyFill="1" applyBorder="1" applyAlignment="1" applyProtection="1">
      <alignment horizontal="center"/>
    </xf>
    <xf numFmtId="196" fontId="20" fillId="0" borderId="0" xfId="0" applyNumberFormat="1" applyFont="1" applyFill="1" applyBorder="1" applyAlignment="1" applyProtection="1">
      <alignment horizontal="right"/>
    </xf>
    <xf numFmtId="197" fontId="20" fillId="0" borderId="20" xfId="0" applyNumberFormat="1" applyFont="1" applyFill="1" applyBorder="1" applyAlignment="1" applyProtection="1">
      <alignment horizontal="center"/>
    </xf>
    <xf numFmtId="41" fontId="5" fillId="16" borderId="0" xfId="55" applyNumberFormat="1" applyFont="1" applyFill="1" applyBorder="1"/>
    <xf numFmtId="0" fontId="17" fillId="0" borderId="0" xfId="0" applyFont="1" applyFill="1" applyBorder="1" applyAlignment="1">
      <alignment horizontal="center"/>
    </xf>
    <xf numFmtId="0" fontId="16" fillId="16" borderId="12" xfId="55" applyFont="1" applyFill="1" applyBorder="1" applyAlignment="1">
      <alignment horizontal="center"/>
    </xf>
    <xf numFmtId="194" fontId="20" fillId="0" borderId="28" xfId="0" applyNumberFormat="1" applyFont="1" applyFill="1" applyBorder="1" applyAlignment="1" applyProtection="1">
      <alignment horizontal="centerContinuous"/>
    </xf>
    <xf numFmtId="195" fontId="20" fillId="0" borderId="29" xfId="0" applyNumberFormat="1" applyFont="1" applyFill="1" applyBorder="1" applyAlignment="1" applyProtection="1">
      <alignment horizontal="centerContinuous"/>
    </xf>
    <xf numFmtId="0" fontId="20" fillId="0" borderId="0" xfId="0" applyFont="1" applyFill="1" applyBorder="1" applyAlignment="1">
      <alignment horizontal="center"/>
    </xf>
    <xf numFmtId="195" fontId="20" fillId="0" borderId="30" xfId="0" applyNumberFormat="1" applyFont="1" applyFill="1" applyBorder="1" applyAlignment="1" applyProtection="1">
      <alignment horizontal="centerContinuous"/>
    </xf>
    <xf numFmtId="0" fontId="17" fillId="16" borderId="14" xfId="0" applyFont="1" applyFill="1" applyBorder="1" applyAlignment="1">
      <alignment horizontal="center"/>
    </xf>
    <xf numFmtId="170" fontId="15" fillId="18" borderId="21" xfId="0" applyNumberFormat="1" applyFont="1" applyFill="1" applyBorder="1" applyAlignment="1">
      <alignment horizontal="center"/>
    </xf>
    <xf numFmtId="0" fontId="3" fillId="16" borderId="14" xfId="0" applyFont="1" applyFill="1" applyBorder="1" applyAlignment="1">
      <alignment horizontal="center"/>
    </xf>
    <xf numFmtId="0" fontId="16" fillId="16" borderId="14" xfId="0" applyFont="1" applyFill="1" applyBorder="1" applyAlignment="1">
      <alignment horizontal="center"/>
    </xf>
    <xf numFmtId="0" fontId="0" fillId="0" borderId="0" xfId="0" applyAlignment="1">
      <alignment horizontal="center"/>
    </xf>
    <xf numFmtId="170" fontId="16" fillId="16" borderId="18" xfId="0" applyNumberFormat="1" applyFont="1" applyFill="1" applyBorder="1" applyAlignment="1">
      <alignment horizontal="center"/>
    </xf>
    <xf numFmtId="170" fontId="16" fillId="16" borderId="16" xfId="0" applyNumberFormat="1" applyFont="1" applyFill="1" applyBorder="1" applyAlignment="1">
      <alignment horizontal="center"/>
    </xf>
    <xf numFmtId="170" fontId="16" fillId="16" borderId="19" xfId="0" applyNumberFormat="1" applyFont="1" applyFill="1" applyBorder="1" applyAlignment="1">
      <alignment horizontal="center"/>
    </xf>
    <xf numFmtId="170" fontId="15" fillId="18" borderId="18" xfId="0" applyNumberFormat="1" applyFont="1" applyFill="1" applyBorder="1" applyAlignment="1">
      <alignment horizontal="center"/>
    </xf>
    <xf numFmtId="170" fontId="15" fillId="18" borderId="19" xfId="0" applyNumberFormat="1" applyFont="1" applyFill="1" applyBorder="1" applyAlignment="1">
      <alignment horizontal="center"/>
    </xf>
    <xf numFmtId="164" fontId="75" fillId="18" borderId="13" xfId="0" applyNumberFormat="1" applyFont="1" applyFill="1" applyBorder="1"/>
    <xf numFmtId="171" fontId="15" fillId="18" borderId="0" xfId="55" applyNumberFormat="1" applyFont="1" applyFill="1" applyBorder="1"/>
    <xf numFmtId="171" fontId="15" fillId="18" borderId="12" xfId="55" applyNumberFormat="1" applyFont="1" applyFill="1" applyBorder="1"/>
    <xf numFmtId="171" fontId="15" fillId="18" borderId="13" xfId="55" applyNumberFormat="1" applyFont="1" applyFill="1" applyBorder="1"/>
    <xf numFmtId="171" fontId="15" fillId="18" borderId="31" xfId="55" applyNumberFormat="1" applyFont="1" applyFill="1" applyBorder="1"/>
    <xf numFmtId="171" fontId="16" fillId="0" borderId="31" xfId="55" applyNumberFormat="1" applyFont="1" applyFill="1" applyBorder="1"/>
    <xf numFmtId="171" fontId="16" fillId="0" borderId="12" xfId="55" applyNumberFormat="1" applyFont="1" applyFill="1" applyBorder="1"/>
    <xf numFmtId="168" fontId="3" fillId="0" borderId="12" xfId="55" applyNumberFormat="1" applyFont="1" applyFill="1" applyBorder="1"/>
    <xf numFmtId="168" fontId="16" fillId="0" borderId="12" xfId="55" applyNumberFormat="1" applyFont="1" applyFill="1" applyBorder="1"/>
    <xf numFmtId="168" fontId="16" fillId="0" borderId="0" xfId="38" applyNumberFormat="1" applyFont="1" applyFill="1" applyBorder="1" applyAlignment="1">
      <alignment horizontal="right"/>
    </xf>
    <xf numFmtId="168" fontId="16" fillId="0" borderId="31" xfId="38" applyNumberFormat="1" applyFont="1" applyFill="1" applyBorder="1" applyAlignment="1">
      <alignment horizontal="right"/>
    </xf>
    <xf numFmtId="168" fontId="16" fillId="0" borderId="13" xfId="38" applyNumberFormat="1" applyFont="1" applyFill="1" applyBorder="1" applyAlignment="1">
      <alignment horizontal="right"/>
    </xf>
    <xf numFmtId="171" fontId="5" fillId="0" borderId="13" xfId="55" applyNumberFormat="1" applyFont="1" applyFill="1" applyBorder="1"/>
    <xf numFmtId="0" fontId="20" fillId="0" borderId="0" xfId="0" applyFont="1" applyFill="1" applyBorder="1"/>
    <xf numFmtId="0" fontId="5" fillId="0" borderId="12" xfId="0" applyFont="1" applyBorder="1"/>
    <xf numFmtId="0" fontId="5" fillId="0" borderId="13" xfId="0" applyFont="1" applyBorder="1"/>
    <xf numFmtId="164" fontId="5" fillId="0" borderId="12" xfId="63" applyNumberFormat="1" applyFont="1" applyBorder="1"/>
    <xf numFmtId="164" fontId="5" fillId="0" borderId="13" xfId="63" applyNumberFormat="1" applyFont="1" applyBorder="1"/>
    <xf numFmtId="164" fontId="19" fillId="0" borderId="0" xfId="63" applyNumberFormat="1" applyFont="1" applyBorder="1"/>
    <xf numFmtId="164" fontId="19" fillId="0" borderId="13" xfId="63" applyNumberFormat="1" applyFont="1" applyBorder="1"/>
    <xf numFmtId="171" fontId="18" fillId="0" borderId="28" xfId="0" applyNumberFormat="1" applyFont="1" applyBorder="1"/>
    <xf numFmtId="171" fontId="18" fillId="0" borderId="29" xfId="0" applyNumberFormat="1" applyFont="1" applyBorder="1"/>
    <xf numFmtId="0" fontId="16" fillId="19" borderId="28" xfId="0" applyFont="1" applyFill="1" applyBorder="1"/>
    <xf numFmtId="0" fontId="6" fillId="19" borderId="29" xfId="0" applyFont="1" applyFill="1" applyBorder="1"/>
    <xf numFmtId="0" fontId="6" fillId="19" borderId="20" xfId="0" applyFont="1" applyFill="1" applyBorder="1"/>
    <xf numFmtId="0" fontId="6" fillId="19" borderId="28" xfId="0" applyFont="1" applyFill="1" applyBorder="1"/>
    <xf numFmtId="171" fontId="16" fillId="19" borderId="20" xfId="0" applyNumberFormat="1" applyFont="1" applyFill="1" applyBorder="1"/>
    <xf numFmtId="171" fontId="16" fillId="19" borderId="28" xfId="0" applyNumberFormat="1" applyFont="1" applyFill="1" applyBorder="1"/>
    <xf numFmtId="171" fontId="16" fillId="19" borderId="29" xfId="0" applyNumberFormat="1" applyFont="1" applyFill="1" applyBorder="1"/>
    <xf numFmtId="0" fontId="13" fillId="19" borderId="13" xfId="0" applyFont="1" applyFill="1" applyBorder="1" applyAlignment="1">
      <alignment horizontal="left" indent="1"/>
    </xf>
    <xf numFmtId="0" fontId="6" fillId="19" borderId="0" xfId="0" applyFont="1" applyFill="1" applyBorder="1"/>
    <xf numFmtId="0" fontId="6" fillId="19" borderId="12" xfId="0" applyFont="1" applyFill="1" applyBorder="1"/>
    <xf numFmtId="0" fontId="6" fillId="19" borderId="13" xfId="0" applyFont="1" applyFill="1" applyBorder="1"/>
    <xf numFmtId="164" fontId="6" fillId="19" borderId="12" xfId="63" applyNumberFormat="1" applyFont="1" applyFill="1" applyBorder="1"/>
    <xf numFmtId="164" fontId="6" fillId="19" borderId="0" xfId="63" applyNumberFormat="1" applyFont="1" applyFill="1" applyBorder="1" applyAlignment="1">
      <alignment horizontal="right"/>
    </xf>
    <xf numFmtId="164" fontId="6" fillId="19" borderId="13" xfId="63" applyNumberFormat="1" applyFont="1" applyFill="1" applyBorder="1"/>
    <xf numFmtId="164" fontId="6" fillId="19" borderId="0" xfId="63" applyNumberFormat="1" applyFont="1" applyFill="1" applyBorder="1"/>
    <xf numFmtId="164" fontId="50" fillId="19" borderId="13" xfId="0" applyNumberFormat="1" applyFont="1" applyFill="1" applyBorder="1" applyAlignment="1">
      <alignment horizontal="right"/>
    </xf>
    <xf numFmtId="164" fontId="50" fillId="19" borderId="0" xfId="0" applyNumberFormat="1" applyFont="1" applyFill="1" applyBorder="1" applyAlignment="1">
      <alignment horizontal="right"/>
    </xf>
    <xf numFmtId="164" fontId="6" fillId="19" borderId="0" xfId="0" applyNumberFormat="1" applyFont="1" applyFill="1" applyBorder="1" applyAlignment="1">
      <alignment horizontal="right"/>
    </xf>
    <xf numFmtId="164" fontId="6" fillId="19" borderId="13" xfId="0" applyNumberFormat="1" applyFont="1" applyFill="1" applyBorder="1"/>
    <xf numFmtId="164" fontId="6" fillId="19" borderId="0" xfId="0" applyNumberFormat="1" applyFont="1" applyFill="1" applyBorder="1"/>
    <xf numFmtId="0" fontId="13" fillId="19" borderId="21" xfId="0" applyFont="1" applyFill="1" applyBorder="1" applyAlignment="1">
      <alignment horizontal="left" indent="1"/>
    </xf>
    <xf numFmtId="0" fontId="6" fillId="19" borderId="14" xfId="0" applyFont="1" applyFill="1" applyBorder="1"/>
    <xf numFmtId="0" fontId="6" fillId="19" borderId="22" xfId="0" applyFont="1" applyFill="1" applyBorder="1"/>
    <xf numFmtId="164" fontId="50" fillId="19" borderId="22" xfId="63" applyNumberFormat="1" applyFont="1" applyFill="1" applyBorder="1"/>
    <xf numFmtId="164" fontId="6" fillId="19" borderId="14" xfId="63" applyNumberFormat="1" applyFont="1" applyFill="1" applyBorder="1" applyAlignment="1">
      <alignment horizontal="right"/>
    </xf>
    <xf numFmtId="164" fontId="50" fillId="19" borderId="21" xfId="0" applyNumberFormat="1" applyFont="1" applyFill="1" applyBorder="1"/>
    <xf numFmtId="164" fontId="50" fillId="19" borderId="14" xfId="63" applyNumberFormat="1" applyFont="1" applyFill="1" applyBorder="1"/>
    <xf numFmtId="164" fontId="6" fillId="19" borderId="14" xfId="63" applyNumberFormat="1" applyFont="1" applyFill="1" applyBorder="1"/>
    <xf numFmtId="164" fontId="50" fillId="19" borderId="21" xfId="63" applyNumberFormat="1" applyFont="1" applyFill="1" applyBorder="1"/>
    <xf numFmtId="164" fontId="6" fillId="19" borderId="22" xfId="63" applyNumberFormat="1" applyFont="1" applyFill="1" applyBorder="1"/>
    <xf numFmtId="171" fontId="5" fillId="0" borderId="12" xfId="0" applyNumberFormat="1" applyFont="1" applyBorder="1"/>
    <xf numFmtId="164" fontId="50" fillId="19" borderId="0" xfId="63" applyNumberFormat="1" applyFont="1" applyFill="1" applyBorder="1"/>
    <xf numFmtId="164" fontId="50" fillId="19" borderId="0" xfId="0" applyNumberFormat="1" applyFont="1" applyFill="1" applyBorder="1"/>
    <xf numFmtId="164" fontId="64" fillId="0" borderId="0" xfId="63" applyNumberFormat="1" applyFont="1" applyBorder="1"/>
    <xf numFmtId="164" fontId="64" fillId="0" borderId="13" xfId="63" applyNumberFormat="1" applyFont="1" applyBorder="1"/>
    <xf numFmtId="0" fontId="57" fillId="18" borderId="0" xfId="0" applyFont="1" applyFill="1"/>
    <xf numFmtId="43" fontId="57" fillId="18" borderId="0" xfId="37" applyFont="1" applyFill="1"/>
    <xf numFmtId="201" fontId="57" fillId="18" borderId="0" xfId="0" applyNumberFormat="1" applyFont="1" applyFill="1"/>
    <xf numFmtId="0" fontId="16" fillId="19" borderId="18" xfId="0" applyFont="1" applyFill="1" applyBorder="1"/>
    <xf numFmtId="0" fontId="6" fillId="19" borderId="16" xfId="0" applyFont="1" applyFill="1" applyBorder="1"/>
    <xf numFmtId="0" fontId="6" fillId="19" borderId="33" xfId="0" applyFont="1" applyFill="1" applyBorder="1"/>
    <xf numFmtId="37" fontId="2" fillId="18" borderId="33" xfId="0" applyNumberFormat="1" applyFont="1" applyFill="1" applyBorder="1"/>
    <xf numFmtId="177" fontId="2" fillId="18" borderId="18" xfId="0" applyNumberFormat="1" applyFont="1" applyFill="1" applyBorder="1" applyAlignment="1">
      <alignment horizontal="center"/>
    </xf>
    <xf numFmtId="37" fontId="24" fillId="0" borderId="13" xfId="37" applyNumberFormat="1" applyFont="1" applyBorder="1"/>
    <xf numFmtId="43" fontId="24" fillId="0" borderId="21" xfId="37" applyFont="1" applyBorder="1"/>
    <xf numFmtId="177" fontId="2" fillId="18" borderId="33" xfId="0" applyNumberFormat="1" applyFont="1" applyFill="1" applyBorder="1" applyAlignment="1">
      <alignment horizontal="center"/>
    </xf>
    <xf numFmtId="43" fontId="24" fillId="0" borderId="22" xfId="37" applyFont="1" applyBorder="1"/>
    <xf numFmtId="0" fontId="16" fillId="19" borderId="29" xfId="0" applyFont="1" applyFill="1" applyBorder="1"/>
    <xf numFmtId="171" fontId="16" fillId="19" borderId="30" xfId="0" applyNumberFormat="1" applyFont="1" applyFill="1" applyBorder="1"/>
    <xf numFmtId="0" fontId="6" fillId="19" borderId="30" xfId="0" applyFont="1" applyFill="1" applyBorder="1"/>
    <xf numFmtId="171" fontId="16" fillId="19" borderId="13" xfId="0" applyNumberFormat="1" applyFont="1" applyFill="1" applyBorder="1"/>
    <xf numFmtId="171" fontId="16" fillId="19" borderId="0" xfId="0" applyNumberFormat="1" applyFont="1" applyFill="1" applyBorder="1"/>
    <xf numFmtId="171" fontId="16" fillId="19" borderId="12" xfId="0" applyNumberFormat="1" applyFont="1" applyFill="1" applyBorder="1"/>
    <xf numFmtId="164" fontId="6" fillId="19" borderId="13" xfId="63" applyNumberFormat="1" applyFont="1" applyFill="1" applyBorder="1" applyAlignment="1">
      <alignment horizontal="right"/>
    </xf>
    <xf numFmtId="164" fontId="50" fillId="19" borderId="31" xfId="63" applyNumberFormat="1" applyFont="1" applyFill="1" applyBorder="1"/>
    <xf numFmtId="0" fontId="6" fillId="19" borderId="31" xfId="0" applyFont="1" applyFill="1" applyBorder="1"/>
    <xf numFmtId="164" fontId="6" fillId="19" borderId="12" xfId="0" applyNumberFormat="1" applyFont="1" applyFill="1" applyBorder="1" applyAlignment="1">
      <alignment horizontal="right"/>
    </xf>
    <xf numFmtId="164" fontId="50" fillId="19" borderId="31" xfId="0" applyNumberFormat="1" applyFont="1" applyFill="1" applyBorder="1"/>
    <xf numFmtId="164" fontId="6" fillId="19" borderId="22" xfId="0" applyNumberFormat="1" applyFont="1" applyFill="1" applyBorder="1" applyAlignment="1">
      <alignment horizontal="right"/>
    </xf>
    <xf numFmtId="164" fontId="6" fillId="19" borderId="21" xfId="63" applyNumberFormat="1" applyFont="1" applyFill="1" applyBorder="1" applyAlignment="1">
      <alignment horizontal="right"/>
    </xf>
    <xf numFmtId="0" fontId="6" fillId="19" borderId="32" xfId="0" applyFont="1" applyFill="1" applyBorder="1"/>
    <xf numFmtId="164" fontId="6" fillId="19" borderId="32" xfId="63" applyNumberFormat="1" applyFont="1" applyFill="1" applyBorder="1" applyAlignment="1">
      <alignment horizontal="right"/>
    </xf>
    <xf numFmtId="171" fontId="16" fillId="19" borderId="33" xfId="0" applyNumberFormat="1" applyFont="1" applyFill="1" applyBorder="1"/>
    <xf numFmtId="0" fontId="16" fillId="19" borderId="16" xfId="0" applyFont="1" applyFill="1" applyBorder="1"/>
    <xf numFmtId="171" fontId="16" fillId="19" borderId="18" xfId="0" applyNumberFormat="1" applyFont="1" applyFill="1" applyBorder="1"/>
    <xf numFmtId="171" fontId="16" fillId="19" borderId="16" xfId="0" applyNumberFormat="1" applyFont="1" applyFill="1" applyBorder="1"/>
    <xf numFmtId="171" fontId="16" fillId="19" borderId="19" xfId="0" applyNumberFormat="1" applyFont="1" applyFill="1" applyBorder="1"/>
    <xf numFmtId="0" fontId="6" fillId="19" borderId="19" xfId="0" applyFont="1" applyFill="1" applyBorder="1"/>
    <xf numFmtId="164" fontId="5" fillId="16" borderId="21" xfId="58" applyNumberFormat="1" applyFont="1" applyFill="1" applyBorder="1" applyAlignment="1">
      <alignment horizontal="left" indent="1"/>
    </xf>
    <xf numFmtId="0" fontId="23" fillId="0" borderId="13" xfId="0" applyFont="1" applyBorder="1" applyAlignment="1">
      <alignment horizontal="left" indent="1"/>
    </xf>
    <xf numFmtId="171" fontId="19" fillId="0" borderId="30" xfId="0" applyNumberFormat="1" applyFont="1" applyBorder="1"/>
    <xf numFmtId="171" fontId="5" fillId="0" borderId="20" xfId="0" applyNumberFormat="1" applyFont="1" applyBorder="1"/>
    <xf numFmtId="0" fontId="16" fillId="0" borderId="30" xfId="0" applyFont="1" applyBorder="1"/>
    <xf numFmtId="0" fontId="2" fillId="18" borderId="29" xfId="0" applyFont="1" applyFill="1" applyBorder="1"/>
    <xf numFmtId="0" fontId="2" fillId="18" borderId="20" xfId="0" applyFont="1" applyFill="1" applyBorder="1"/>
    <xf numFmtId="0" fontId="2" fillId="18" borderId="28" xfId="0" applyFont="1" applyFill="1" applyBorder="1"/>
    <xf numFmtId="0" fontId="2" fillId="18" borderId="30" xfId="0" applyFont="1" applyFill="1" applyBorder="1"/>
    <xf numFmtId="0" fontId="15" fillId="16" borderId="0" xfId="56" applyFont="1" applyFill="1" applyBorder="1" applyAlignment="1">
      <alignment horizontal="center"/>
    </xf>
    <xf numFmtId="0" fontId="71" fillId="16" borderId="0" xfId="0" applyFont="1" applyFill="1"/>
    <xf numFmtId="164" fontId="1" fillId="16" borderId="0" xfId="63" applyNumberFormat="1" applyFill="1"/>
    <xf numFmtId="0" fontId="61" fillId="0" borderId="14" xfId="52" applyFont="1" applyFill="1" applyBorder="1" applyAlignment="1" applyProtection="1">
      <alignment horizontal="left"/>
    </xf>
    <xf numFmtId="0" fontId="53" fillId="16" borderId="14" xfId="52" applyFont="1" applyFill="1" applyBorder="1" applyAlignment="1" applyProtection="1">
      <alignment horizontal="left"/>
    </xf>
    <xf numFmtId="0" fontId="0" fillId="16" borderId="14" xfId="0" applyFill="1" applyBorder="1"/>
    <xf numFmtId="171" fontId="5" fillId="16" borderId="28" xfId="56" applyNumberFormat="1" applyFont="1" applyFill="1" applyBorder="1" applyAlignment="1">
      <alignment horizontal="left"/>
    </xf>
    <xf numFmtId="171" fontId="5" fillId="16" borderId="29" xfId="56" applyNumberFormat="1" applyFont="1" applyFill="1" applyBorder="1" applyAlignment="1">
      <alignment horizontal="left"/>
    </xf>
    <xf numFmtId="164" fontId="5" fillId="16" borderId="20" xfId="56" applyNumberFormat="1" applyFont="1" applyFill="1" applyBorder="1" applyAlignment="1">
      <alignment horizontal="center"/>
    </xf>
    <xf numFmtId="164" fontId="5" fillId="16" borderId="29" xfId="56" applyNumberFormat="1" applyFont="1" applyFill="1" applyBorder="1" applyAlignment="1">
      <alignment horizontal="center"/>
    </xf>
    <xf numFmtId="164" fontId="76" fillId="16" borderId="28" xfId="56" applyNumberFormat="1" applyFont="1" applyFill="1" applyBorder="1" applyAlignment="1">
      <alignment horizontal="center"/>
    </xf>
    <xf numFmtId="164" fontId="76" fillId="16" borderId="29" xfId="56" applyNumberFormat="1" applyFont="1" applyFill="1" applyBorder="1" applyAlignment="1">
      <alignment horizontal="center"/>
    </xf>
    <xf numFmtId="164" fontId="76" fillId="16" borderId="30" xfId="56" applyNumberFormat="1" applyFont="1" applyFill="1" applyBorder="1" applyAlignment="1">
      <alignment horizontal="center"/>
    </xf>
    <xf numFmtId="164" fontId="76" fillId="16" borderId="20" xfId="56" applyNumberFormat="1" applyFont="1" applyFill="1" applyBorder="1" applyAlignment="1">
      <alignment horizontal="center"/>
    </xf>
    <xf numFmtId="0" fontId="11" fillId="0" borderId="29" xfId="0" applyFont="1" applyBorder="1"/>
    <xf numFmtId="171" fontId="5" fillId="16" borderId="13" xfId="56" applyNumberFormat="1" applyFont="1" applyFill="1" applyBorder="1" applyAlignment="1">
      <alignment horizontal="left"/>
    </xf>
    <xf numFmtId="171" fontId="5" fillId="16" borderId="0" xfId="56" applyNumberFormat="1" applyFont="1" applyFill="1" applyBorder="1" applyAlignment="1">
      <alignment horizontal="left"/>
    </xf>
    <xf numFmtId="164" fontId="5" fillId="16" borderId="12" xfId="56" applyNumberFormat="1" applyFont="1" applyFill="1" applyBorder="1" applyAlignment="1">
      <alignment horizontal="center"/>
    </xf>
    <xf numFmtId="164" fontId="5" fillId="16" borderId="0" xfId="56" applyNumberFormat="1" applyFont="1" applyFill="1" applyBorder="1" applyAlignment="1">
      <alignment horizontal="center"/>
    </xf>
    <xf numFmtId="164" fontId="76" fillId="16" borderId="13" xfId="56" applyNumberFormat="1" applyFont="1" applyFill="1" applyBorder="1" applyAlignment="1">
      <alignment horizontal="center"/>
    </xf>
    <xf numFmtId="164" fontId="76" fillId="16" borderId="0" xfId="56" applyNumberFormat="1" applyFont="1" applyFill="1" applyBorder="1" applyAlignment="1">
      <alignment horizontal="center"/>
    </xf>
    <xf numFmtId="164" fontId="76" fillId="16" borderId="31" xfId="56" applyNumberFormat="1" applyFont="1" applyFill="1" applyBorder="1" applyAlignment="1">
      <alignment horizontal="center"/>
    </xf>
    <xf numFmtId="164" fontId="76" fillId="16" borderId="12" xfId="56" applyNumberFormat="1" applyFont="1" applyFill="1" applyBorder="1" applyAlignment="1">
      <alignment horizontal="center"/>
    </xf>
    <xf numFmtId="0" fontId="11" fillId="0" borderId="0" xfId="0" applyFont="1" applyBorder="1"/>
    <xf numFmtId="0" fontId="2" fillId="16" borderId="0" xfId="56" applyFont="1" applyFill="1" applyBorder="1" applyAlignment="1">
      <alignment horizontal="left"/>
    </xf>
    <xf numFmtId="164" fontId="5" fillId="16" borderId="12" xfId="63" applyNumberFormat="1" applyFont="1" applyFill="1" applyBorder="1" applyAlignment="1">
      <alignment horizontal="center"/>
    </xf>
    <xf numFmtId="164" fontId="5" fillId="16" borderId="0" xfId="63" applyNumberFormat="1" applyFont="1" applyFill="1" applyBorder="1" applyAlignment="1">
      <alignment horizontal="center"/>
    </xf>
    <xf numFmtId="164" fontId="5" fillId="16" borderId="31" xfId="56" applyNumberFormat="1" applyFont="1" applyFill="1" applyBorder="1" applyAlignment="1">
      <alignment horizontal="center"/>
    </xf>
    <xf numFmtId="164" fontId="76" fillId="16" borderId="12" xfId="63" applyNumberFormat="1" applyFont="1" applyFill="1" applyBorder="1" applyAlignment="1">
      <alignment horizontal="center"/>
    </xf>
    <xf numFmtId="164" fontId="76" fillId="16" borderId="0" xfId="63" applyNumberFormat="1" applyFont="1" applyFill="1" applyBorder="1" applyAlignment="1">
      <alignment horizontal="center"/>
    </xf>
    <xf numFmtId="164" fontId="76" fillId="16" borderId="30" xfId="63" applyNumberFormat="1" applyFont="1" applyFill="1" applyBorder="1" applyAlignment="1">
      <alignment horizontal="center"/>
    </xf>
    <xf numFmtId="164" fontId="76" fillId="16" borderId="20" xfId="63" applyNumberFormat="1" applyFont="1" applyFill="1" applyBorder="1" applyAlignment="1">
      <alignment horizontal="center"/>
    </xf>
    <xf numFmtId="164" fontId="76" fillId="16" borderId="31" xfId="63" applyNumberFormat="1" applyFont="1" applyFill="1" applyBorder="1" applyAlignment="1">
      <alignment horizontal="center"/>
    </xf>
    <xf numFmtId="164" fontId="5" fillId="0" borderId="12" xfId="63" applyNumberFormat="1" applyFont="1" applyFill="1" applyBorder="1" applyAlignment="1">
      <alignment horizontal="center"/>
    </xf>
    <xf numFmtId="171" fontId="5" fillId="16" borderId="13" xfId="0" applyNumberFormat="1" applyFont="1" applyFill="1" applyBorder="1"/>
    <xf numFmtId="171" fontId="5" fillId="16" borderId="0" xfId="0" applyNumberFormat="1" applyFont="1" applyFill="1" applyBorder="1"/>
    <xf numFmtId="164" fontId="19" fillId="16" borderId="0" xfId="56" applyNumberFormat="1" applyFont="1" applyFill="1" applyBorder="1" applyAlignment="1">
      <alignment horizontal="center"/>
    </xf>
    <xf numFmtId="164" fontId="19" fillId="16" borderId="12" xfId="63" applyNumberFormat="1" applyFont="1" applyFill="1" applyBorder="1" applyAlignment="1">
      <alignment horizontal="center"/>
    </xf>
    <xf numFmtId="164" fontId="19" fillId="16" borderId="0" xfId="63" applyNumberFormat="1" applyFont="1" applyFill="1" applyBorder="1" applyAlignment="1">
      <alignment horizontal="center"/>
    </xf>
    <xf numFmtId="0" fontId="9" fillId="18" borderId="0" xfId="56" applyFont="1" applyFill="1"/>
    <xf numFmtId="0" fontId="9" fillId="18" borderId="0" xfId="0" applyFont="1" applyFill="1"/>
    <xf numFmtId="164" fontId="76" fillId="16" borderId="13" xfId="63" applyNumberFormat="1" applyFont="1" applyFill="1" applyBorder="1" applyAlignment="1">
      <alignment horizontal="center"/>
    </xf>
    <xf numFmtId="0" fontId="15" fillId="18" borderId="21" xfId="56" applyFont="1" applyFill="1" applyBorder="1" applyAlignment="1">
      <alignment horizontal="left"/>
    </xf>
    <xf numFmtId="0" fontId="15" fillId="18" borderId="14" xfId="56" applyFont="1" applyFill="1" applyBorder="1" applyAlignment="1">
      <alignment horizontal="left"/>
    </xf>
    <xf numFmtId="0" fontId="15" fillId="18" borderId="22" xfId="56" applyFont="1" applyFill="1" applyBorder="1" applyAlignment="1">
      <alignment horizontal="center"/>
    </xf>
    <xf numFmtId="0" fontId="15" fillId="18" borderId="14" xfId="56" applyFont="1" applyFill="1" applyBorder="1" applyAlignment="1">
      <alignment horizontal="center"/>
    </xf>
    <xf numFmtId="0" fontId="15" fillId="18" borderId="32" xfId="56" applyFont="1" applyFill="1" applyBorder="1" applyAlignment="1">
      <alignment horizontal="center"/>
    </xf>
    <xf numFmtId="0" fontId="15" fillId="18" borderId="21" xfId="56" applyFont="1" applyFill="1" applyBorder="1" applyAlignment="1">
      <alignment horizontal="center"/>
    </xf>
    <xf numFmtId="0" fontId="11" fillId="0" borderId="0" xfId="56" applyBorder="1"/>
    <xf numFmtId="0" fontId="16" fillId="19" borderId="21" xfId="56" applyFont="1" applyFill="1" applyBorder="1" applyAlignment="1">
      <alignment horizontal="left"/>
    </xf>
    <xf numFmtId="0" fontId="16" fillId="19" borderId="14" xfId="56" applyFont="1" applyFill="1" applyBorder="1" applyAlignment="1">
      <alignment horizontal="left"/>
    </xf>
    <xf numFmtId="164" fontId="16" fillId="19" borderId="22" xfId="63" applyNumberFormat="1" applyFont="1" applyFill="1" applyBorder="1" applyAlignment="1">
      <alignment horizontal="center"/>
    </xf>
    <xf numFmtId="164" fontId="16" fillId="19" borderId="14" xfId="63" applyNumberFormat="1" applyFont="1" applyFill="1" applyBorder="1" applyAlignment="1">
      <alignment horizontal="center"/>
    </xf>
    <xf numFmtId="164" fontId="16" fillId="19" borderId="14" xfId="56" applyNumberFormat="1" applyFont="1" applyFill="1" applyBorder="1" applyAlignment="1">
      <alignment horizontal="center"/>
    </xf>
    <xf numFmtId="164" fontId="66" fillId="19" borderId="22" xfId="63" applyNumberFormat="1" applyFont="1" applyFill="1" applyBorder="1" applyAlignment="1">
      <alignment horizontal="center"/>
    </xf>
    <xf numFmtId="164" fontId="66" fillId="19" borderId="14" xfId="63" applyNumberFormat="1" applyFont="1" applyFill="1" applyBorder="1" applyAlignment="1">
      <alignment horizontal="center"/>
    </xf>
    <xf numFmtId="164" fontId="66" fillId="19" borderId="14" xfId="56" applyNumberFormat="1" applyFont="1" applyFill="1" applyBorder="1" applyAlignment="1">
      <alignment horizontal="center"/>
    </xf>
    <xf numFmtId="164" fontId="66" fillId="19" borderId="32" xfId="63" applyNumberFormat="1" applyFont="1" applyFill="1" applyBorder="1" applyAlignment="1">
      <alignment horizontal="center"/>
    </xf>
    <xf numFmtId="0" fontId="0" fillId="19" borderId="14" xfId="0" applyFill="1" applyBorder="1"/>
    <xf numFmtId="164" fontId="66" fillId="19" borderId="21" xfId="63" applyNumberFormat="1" applyFont="1" applyFill="1" applyBorder="1" applyAlignment="1">
      <alignment horizontal="center"/>
    </xf>
    <xf numFmtId="0" fontId="11" fillId="19" borderId="14" xfId="56" applyFill="1" applyBorder="1"/>
    <xf numFmtId="164" fontId="18" fillId="19" borderId="14" xfId="56" applyNumberFormat="1" applyFont="1" applyFill="1" applyBorder="1" applyAlignment="1">
      <alignment horizontal="center"/>
    </xf>
    <xf numFmtId="164" fontId="18" fillId="19" borderId="22" xfId="63" applyNumberFormat="1" applyFont="1" applyFill="1" applyBorder="1" applyAlignment="1">
      <alignment horizontal="center"/>
    </xf>
    <xf numFmtId="164" fontId="18" fillId="19" borderId="14" xfId="63" applyNumberFormat="1" applyFont="1" applyFill="1" applyBorder="1" applyAlignment="1">
      <alignment horizontal="center"/>
    </xf>
    <xf numFmtId="164" fontId="18" fillId="19" borderId="32" xfId="63" applyNumberFormat="1" applyFont="1" applyFill="1" applyBorder="1" applyAlignment="1">
      <alignment horizontal="center"/>
    </xf>
    <xf numFmtId="0" fontId="71" fillId="0" borderId="0" xfId="0" applyFont="1" applyBorder="1"/>
    <xf numFmtId="0" fontId="16" fillId="16" borderId="0" xfId="0" applyFont="1" applyFill="1" applyBorder="1" applyAlignment="1" applyProtection="1">
      <alignment horizontal="left"/>
    </xf>
    <xf numFmtId="168" fontId="16" fillId="16" borderId="14" xfId="0" applyNumberFormat="1" applyFont="1" applyFill="1" applyBorder="1" applyAlignment="1" applyProtection="1">
      <alignment horizontal="left"/>
    </xf>
    <xf numFmtId="168" fontId="16" fillId="16" borderId="14" xfId="0" applyNumberFormat="1" applyFont="1" applyFill="1" applyBorder="1" applyAlignment="1">
      <alignment horizontal="right"/>
    </xf>
    <xf numFmtId="168" fontId="16" fillId="16" borderId="40" xfId="0" applyNumberFormat="1" applyFont="1" applyFill="1" applyBorder="1" applyAlignment="1">
      <alignment horizontal="right"/>
    </xf>
    <xf numFmtId="168" fontId="16" fillId="16" borderId="41" xfId="0" applyNumberFormat="1" applyFont="1" applyFill="1" applyBorder="1" applyAlignment="1">
      <alignment horizontal="right"/>
    </xf>
    <xf numFmtId="168" fontId="16" fillId="16" borderId="42" xfId="0" applyNumberFormat="1" applyFont="1" applyFill="1" applyBorder="1" applyAlignment="1">
      <alignment horizontal="right"/>
    </xf>
    <xf numFmtId="168" fontId="16" fillId="0" borderId="40" xfId="0" applyNumberFormat="1" applyFont="1" applyFill="1" applyBorder="1" applyAlignment="1">
      <alignment horizontal="right"/>
    </xf>
    <xf numFmtId="168" fontId="16" fillId="0" borderId="14" xfId="0" applyNumberFormat="1" applyFont="1" applyFill="1" applyBorder="1" applyAlignment="1">
      <alignment horizontal="right"/>
    </xf>
    <xf numFmtId="168" fontId="16" fillId="16" borderId="21" xfId="0" applyNumberFormat="1" applyFont="1" applyFill="1" applyBorder="1" applyAlignment="1">
      <alignment horizontal="right"/>
    </xf>
    <xf numFmtId="168" fontId="16" fillId="0" borderId="21" xfId="0" applyNumberFormat="1" applyFont="1" applyFill="1" applyBorder="1" applyAlignment="1">
      <alignment horizontal="right"/>
    </xf>
    <xf numFmtId="171" fontId="5" fillId="16" borderId="43" xfId="0" applyNumberFormat="1" applyFont="1" applyFill="1" applyBorder="1" applyAlignment="1">
      <alignment horizontal="right"/>
    </xf>
    <xf numFmtId="41" fontId="24" fillId="16" borderId="0" xfId="0" applyNumberFormat="1" applyFont="1" applyFill="1" applyBorder="1" applyAlignment="1" applyProtection="1">
      <alignment horizontal="left"/>
    </xf>
    <xf numFmtId="174" fontId="25" fillId="16" borderId="0" xfId="0" applyNumberFormat="1" applyFont="1" applyFill="1" applyAlignment="1">
      <alignment horizontal="right"/>
    </xf>
    <xf numFmtId="41" fontId="25" fillId="16" borderId="0" xfId="0" applyNumberFormat="1" applyFont="1" applyFill="1" applyAlignment="1">
      <alignment horizontal="right"/>
    </xf>
    <xf numFmtId="171" fontId="17" fillId="17" borderId="43" xfId="0" applyNumberFormat="1" applyFont="1" applyFill="1" applyBorder="1" applyAlignment="1" applyProtection="1"/>
    <xf numFmtId="168" fontId="5" fillId="16" borderId="44" xfId="0" applyNumberFormat="1" applyFont="1" applyFill="1" applyBorder="1" applyAlignment="1">
      <alignment horizontal="right"/>
    </xf>
    <xf numFmtId="168" fontId="5" fillId="16" borderId="43" xfId="0" applyNumberFormat="1" applyFont="1" applyFill="1" applyBorder="1" applyAlignment="1">
      <alignment horizontal="right"/>
    </xf>
    <xf numFmtId="168" fontId="5" fillId="16" borderId="45" xfId="0" applyNumberFormat="1" applyFont="1" applyFill="1" applyBorder="1" applyAlignment="1">
      <alignment horizontal="right"/>
    </xf>
    <xf numFmtId="168" fontId="5" fillId="16" borderId="46" xfId="0" applyNumberFormat="1" applyFont="1" applyFill="1" applyBorder="1" applyAlignment="1">
      <alignment horizontal="right"/>
    </xf>
    <xf numFmtId="168" fontId="5" fillId="0" borderId="44" xfId="0" applyNumberFormat="1" applyFont="1" applyFill="1" applyBorder="1" applyAlignment="1">
      <alignment horizontal="right"/>
    </xf>
    <xf numFmtId="168" fontId="5" fillId="0" borderId="43" xfId="0" applyNumberFormat="1" applyFont="1" applyFill="1" applyBorder="1" applyAlignment="1">
      <alignment horizontal="right"/>
    </xf>
    <xf numFmtId="168" fontId="5" fillId="16" borderId="47" xfId="0" applyNumberFormat="1" applyFont="1" applyFill="1" applyBorder="1" applyAlignment="1">
      <alignment horizontal="right"/>
    </xf>
    <xf numFmtId="168" fontId="5" fillId="0" borderId="47" xfId="0" applyNumberFormat="1" applyFont="1" applyFill="1" applyBorder="1" applyAlignment="1">
      <alignment horizontal="right"/>
    </xf>
    <xf numFmtId="171" fontId="17" fillId="17" borderId="48" xfId="0" applyNumberFormat="1" applyFont="1" applyFill="1" applyBorder="1" applyAlignment="1" applyProtection="1"/>
    <xf numFmtId="171" fontId="5" fillId="16" borderId="48" xfId="0" applyNumberFormat="1" applyFont="1" applyFill="1" applyBorder="1" applyAlignment="1">
      <alignment horizontal="right"/>
    </xf>
    <xf numFmtId="171" fontId="5" fillId="0" borderId="49" xfId="0" applyNumberFormat="1" applyFont="1" applyFill="1" applyBorder="1" applyAlignment="1">
      <alignment horizontal="right"/>
    </xf>
    <xf numFmtId="171" fontId="5" fillId="0" borderId="48" xfId="0" applyNumberFormat="1" applyFont="1" applyFill="1" applyBorder="1" applyAlignment="1">
      <alignment horizontal="right"/>
    </xf>
    <xf numFmtId="171" fontId="5" fillId="0" borderId="50" xfId="0" applyNumberFormat="1" applyFont="1" applyFill="1" applyBorder="1" applyAlignment="1">
      <alignment horizontal="right"/>
    </xf>
    <xf numFmtId="168" fontId="16" fillId="16" borderId="0" xfId="0" applyNumberFormat="1" applyFont="1" applyFill="1" applyBorder="1" applyAlignment="1" applyProtection="1">
      <alignment horizontal="left"/>
    </xf>
    <xf numFmtId="168" fontId="16" fillId="16" borderId="15" xfId="0" applyNumberFormat="1" applyFont="1" applyFill="1" applyBorder="1" applyAlignment="1">
      <alignment horizontal="right"/>
    </xf>
    <xf numFmtId="168" fontId="16" fillId="16" borderId="23" xfId="0" applyNumberFormat="1" applyFont="1" applyFill="1" applyBorder="1" applyAlignment="1">
      <alignment horizontal="right"/>
    </xf>
    <xf numFmtId="168" fontId="16" fillId="16" borderId="24" xfId="0" applyNumberFormat="1" applyFont="1" applyFill="1" applyBorder="1" applyAlignment="1">
      <alignment horizontal="right"/>
    </xf>
    <xf numFmtId="168" fontId="16" fillId="0" borderId="15" xfId="0" applyNumberFormat="1" applyFont="1" applyFill="1" applyBorder="1" applyAlignment="1">
      <alignment horizontal="right"/>
    </xf>
    <xf numFmtId="168" fontId="16" fillId="0" borderId="13" xfId="0" applyNumberFormat="1" applyFont="1" applyFill="1" applyBorder="1" applyAlignment="1">
      <alignment horizontal="right"/>
    </xf>
    <xf numFmtId="0" fontId="3" fillId="0" borderId="14" xfId="52" applyFont="1" applyFill="1" applyBorder="1" applyAlignment="1" applyProtection="1">
      <alignment horizontal="left"/>
    </xf>
    <xf numFmtId="0" fontId="12" fillId="0" borderId="0" xfId="52" applyFont="1" applyFill="1" applyBorder="1" applyAlignment="1" applyProtection="1">
      <alignment horizontal="left"/>
    </xf>
    <xf numFmtId="0" fontId="16" fillId="0" borderId="0" xfId="0" applyFont="1" applyFill="1" applyBorder="1" applyAlignment="1" applyProtection="1">
      <alignment horizontal="left"/>
    </xf>
    <xf numFmtId="168" fontId="3" fillId="0" borderId="14" xfId="0" applyNumberFormat="1" applyFont="1" applyFill="1" applyBorder="1" applyAlignment="1" applyProtection="1"/>
    <xf numFmtId="168" fontId="16" fillId="0" borderId="51" xfId="0" applyNumberFormat="1" applyFont="1" applyFill="1" applyBorder="1" applyAlignment="1">
      <alignment horizontal="right"/>
    </xf>
    <xf numFmtId="168" fontId="16" fillId="0" borderId="14" xfId="0" applyNumberFormat="1" applyFont="1" applyFill="1" applyBorder="1"/>
    <xf numFmtId="171" fontId="52" fillId="0" borderId="0" xfId="0" applyNumberFormat="1" applyFont="1" applyFill="1" applyBorder="1" applyAlignment="1" applyProtection="1"/>
    <xf numFmtId="171" fontId="5" fillId="0" borderId="52" xfId="0" applyNumberFormat="1" applyFont="1" applyFill="1" applyBorder="1" applyAlignment="1">
      <alignment horizontal="right"/>
    </xf>
    <xf numFmtId="168" fontId="24" fillId="16" borderId="0" xfId="0" applyNumberFormat="1" applyFont="1" applyFill="1" applyBorder="1" applyAlignment="1" applyProtection="1"/>
    <xf numFmtId="43" fontId="14" fillId="16" borderId="0" xfId="37" applyFont="1" applyFill="1" applyBorder="1" applyAlignment="1">
      <alignment horizontal="right"/>
    </xf>
    <xf numFmtId="43" fontId="25" fillId="16" borderId="0" xfId="37" applyFont="1" applyFill="1" applyBorder="1" applyAlignment="1">
      <alignment horizontal="right"/>
    </xf>
    <xf numFmtId="171" fontId="17" fillId="19" borderId="28" xfId="0" applyNumberFormat="1" applyFont="1" applyFill="1" applyBorder="1" applyAlignment="1" applyProtection="1"/>
    <xf numFmtId="171" fontId="5" fillId="19" borderId="29" xfId="0" applyNumberFormat="1" applyFont="1" applyFill="1" applyBorder="1" applyAlignment="1">
      <alignment horizontal="right"/>
    </xf>
    <xf numFmtId="171" fontId="19" fillId="19" borderId="53" xfId="0" applyNumberFormat="1" applyFont="1" applyFill="1" applyBorder="1" applyAlignment="1">
      <alignment horizontal="right"/>
    </xf>
    <xf numFmtId="171" fontId="5" fillId="19" borderId="53" xfId="0" applyNumberFormat="1" applyFont="1" applyFill="1" applyBorder="1" applyAlignment="1">
      <alignment horizontal="right"/>
    </xf>
    <xf numFmtId="171" fontId="5" fillId="19" borderId="28" xfId="0" applyNumberFormat="1" applyFont="1" applyFill="1" applyBorder="1" applyAlignment="1">
      <alignment horizontal="right"/>
    </xf>
    <xf numFmtId="171" fontId="5" fillId="19" borderId="54" xfId="0" applyNumberFormat="1" applyFont="1" applyFill="1" applyBorder="1" applyAlignment="1">
      <alignment horizontal="right"/>
    </xf>
    <xf numFmtId="171" fontId="5" fillId="19" borderId="55" xfId="0" applyNumberFormat="1" applyFont="1" applyFill="1" applyBorder="1" applyAlignment="1">
      <alignment horizontal="right"/>
    </xf>
    <xf numFmtId="171" fontId="19" fillId="19" borderId="13" xfId="0" applyNumberFormat="1" applyFont="1" applyFill="1" applyBorder="1" applyAlignment="1">
      <alignment horizontal="right"/>
    </xf>
    <xf numFmtId="171" fontId="19" fillId="19" borderId="0" xfId="0" applyNumberFormat="1" applyFont="1" applyFill="1" applyBorder="1" applyAlignment="1">
      <alignment horizontal="right"/>
    </xf>
    <xf numFmtId="171" fontId="5" fillId="19" borderId="15" xfId="0" applyNumberFormat="1" applyFont="1" applyFill="1" applyBorder="1" applyAlignment="1">
      <alignment horizontal="right"/>
    </xf>
    <xf numFmtId="171" fontId="49" fillId="19" borderId="0" xfId="0" applyNumberFormat="1" applyFont="1" applyFill="1" applyBorder="1" applyAlignment="1">
      <alignment horizontal="right"/>
    </xf>
    <xf numFmtId="171" fontId="49" fillId="19" borderId="13" xfId="0" applyNumberFormat="1" applyFont="1" applyFill="1" applyBorder="1" applyAlignment="1">
      <alignment horizontal="right"/>
    </xf>
    <xf numFmtId="171" fontId="5" fillId="19" borderId="56" xfId="0" applyNumberFormat="1" applyFont="1" applyFill="1" applyBorder="1" applyAlignment="1">
      <alignment horizontal="right"/>
    </xf>
    <xf numFmtId="168" fontId="3" fillId="19" borderId="21" xfId="0" applyNumberFormat="1" applyFont="1" applyFill="1" applyBorder="1" applyAlignment="1" applyProtection="1"/>
    <xf numFmtId="168" fontId="16" fillId="19" borderId="14" xfId="0" applyNumberFormat="1" applyFont="1" applyFill="1" applyBorder="1" applyAlignment="1">
      <alignment horizontal="right"/>
    </xf>
    <xf numFmtId="168" fontId="16" fillId="19" borderId="51" xfId="0" applyNumberFormat="1" applyFont="1" applyFill="1" applyBorder="1" applyAlignment="1">
      <alignment horizontal="right"/>
    </xf>
    <xf numFmtId="171" fontId="17" fillId="19" borderId="13" xfId="0" applyNumberFormat="1" applyFont="1" applyFill="1" applyBorder="1" applyAlignment="1" applyProtection="1"/>
    <xf numFmtId="171" fontId="5" fillId="19" borderId="0" xfId="0" applyNumberFormat="1" applyFont="1" applyFill="1" applyBorder="1" applyAlignment="1">
      <alignment horizontal="right"/>
    </xf>
    <xf numFmtId="171" fontId="19" fillId="19" borderId="27" xfId="0" applyNumberFormat="1" applyFont="1" applyFill="1" applyBorder="1" applyAlignment="1">
      <alignment horizontal="right"/>
    </xf>
    <xf numFmtId="171" fontId="5" fillId="19" borderId="27" xfId="0" applyNumberFormat="1" applyFont="1" applyFill="1" applyBorder="1" applyAlignment="1">
      <alignment horizontal="right"/>
    </xf>
    <xf numFmtId="168" fontId="16" fillId="19" borderId="21" xfId="0" applyNumberFormat="1" applyFont="1" applyFill="1" applyBorder="1" applyAlignment="1">
      <alignment horizontal="right"/>
    </xf>
    <xf numFmtId="168" fontId="16" fillId="19" borderId="40" xfId="0" applyNumberFormat="1" applyFont="1" applyFill="1" applyBorder="1" applyAlignment="1">
      <alignment horizontal="right"/>
    </xf>
    <xf numFmtId="168" fontId="16" fillId="19" borderId="57" xfId="0" applyNumberFormat="1" applyFont="1" applyFill="1" applyBorder="1" applyAlignment="1">
      <alignment horizontal="right"/>
    </xf>
    <xf numFmtId="171" fontId="3" fillId="17" borderId="0" xfId="0" applyNumberFormat="1" applyFont="1" applyFill="1" applyBorder="1" applyAlignment="1" applyProtection="1"/>
    <xf numFmtId="168" fontId="16" fillId="16" borderId="27" xfId="0" applyNumberFormat="1" applyFont="1" applyFill="1" applyBorder="1" applyAlignment="1">
      <alignment horizontal="right"/>
    </xf>
    <xf numFmtId="171" fontId="3" fillId="17" borderId="14" xfId="0" applyNumberFormat="1" applyFont="1" applyFill="1" applyBorder="1" applyAlignment="1" applyProtection="1"/>
    <xf numFmtId="171" fontId="16" fillId="16" borderId="14" xfId="0" applyNumberFormat="1" applyFont="1" applyFill="1" applyBorder="1" applyAlignment="1">
      <alignment horizontal="right"/>
    </xf>
    <xf numFmtId="168" fontId="16" fillId="16" borderId="51" xfId="0" applyNumberFormat="1" applyFont="1" applyFill="1" applyBorder="1" applyAlignment="1">
      <alignment horizontal="right"/>
    </xf>
    <xf numFmtId="168" fontId="16" fillId="16" borderId="58" xfId="0" applyNumberFormat="1" applyFont="1" applyFill="1" applyBorder="1" applyAlignment="1">
      <alignment horizontal="right"/>
    </xf>
    <xf numFmtId="41" fontId="5" fillId="16" borderId="0" xfId="0" applyNumberFormat="1" applyFont="1" applyFill="1"/>
    <xf numFmtId="168" fontId="3" fillId="0" borderId="0" xfId="0" applyNumberFormat="1" applyFont="1" applyFill="1" applyAlignment="1" applyProtection="1"/>
    <xf numFmtId="168" fontId="16" fillId="0" borderId="0" xfId="0" applyNumberFormat="1" applyFont="1" applyFill="1" applyAlignment="1">
      <alignment horizontal="right"/>
    </xf>
    <xf numFmtId="168" fontId="18" fillId="0" borderId="27" xfId="0" applyNumberFormat="1" applyFont="1" applyFill="1" applyBorder="1" applyAlignment="1">
      <alignment horizontal="right"/>
    </xf>
    <xf numFmtId="168" fontId="18" fillId="0" borderId="15" xfId="0" applyNumberFormat="1" applyFont="1" applyFill="1" applyBorder="1" applyAlignment="1">
      <alignment horizontal="right"/>
    </xf>
    <xf numFmtId="0" fontId="12" fillId="16" borderId="29" xfId="0" quotePrefix="1" applyFont="1" applyFill="1" applyBorder="1" applyAlignment="1" applyProtection="1">
      <alignment horizontal="left"/>
    </xf>
    <xf numFmtId="37" fontId="5" fillId="16" borderId="29" xfId="0" applyNumberFormat="1" applyFont="1" applyFill="1" applyBorder="1" applyAlignment="1">
      <alignment horizontal="right"/>
    </xf>
    <xf numFmtId="0" fontId="77" fillId="16" borderId="0" xfId="0" applyFont="1" applyFill="1" applyBorder="1"/>
    <xf numFmtId="41" fontId="77" fillId="16" borderId="0" xfId="0" applyNumberFormat="1" applyFont="1" applyFill="1" applyBorder="1"/>
    <xf numFmtId="14" fontId="77" fillId="16" borderId="0" xfId="0" applyNumberFormat="1" applyFont="1" applyFill="1" applyBorder="1"/>
    <xf numFmtId="41" fontId="5" fillId="16" borderId="0" xfId="0" applyNumberFormat="1" applyFont="1" applyFill="1" applyBorder="1"/>
    <xf numFmtId="41" fontId="19" fillId="16" borderId="0" xfId="0" applyNumberFormat="1" applyFont="1" applyFill="1" applyBorder="1"/>
    <xf numFmtId="170" fontId="15" fillId="0" borderId="28" xfId="0" applyNumberFormat="1" applyFont="1" applyFill="1" applyBorder="1" applyAlignment="1">
      <alignment horizontal="center"/>
    </xf>
    <xf numFmtId="37" fontId="5" fillId="16" borderId="0" xfId="0" applyNumberFormat="1" applyFont="1" applyFill="1" applyBorder="1"/>
    <xf numFmtId="0" fontId="20" fillId="0" borderId="0" xfId="52" applyFont="1" applyFill="1" applyBorder="1" applyAlignment="1" applyProtection="1">
      <alignment horizontal="left"/>
    </xf>
    <xf numFmtId="0" fontId="61" fillId="0" borderId="14" xfId="53" applyFont="1" applyFill="1" applyBorder="1" applyAlignment="1" applyProtection="1">
      <alignment horizontal="left"/>
    </xf>
    <xf numFmtId="0" fontId="16" fillId="0" borderId="55" xfId="0" applyNumberFormat="1" applyFont="1" applyFill="1" applyBorder="1" applyAlignment="1">
      <alignment horizontal="center"/>
    </xf>
    <xf numFmtId="171" fontId="16" fillId="0" borderId="59" xfId="0" applyNumberFormat="1" applyFont="1" applyFill="1" applyBorder="1" applyAlignment="1" applyProtection="1">
      <alignment horizontal="left"/>
    </xf>
    <xf numFmtId="171" fontId="16" fillId="0" borderId="43" xfId="0" applyNumberFormat="1" applyFont="1" applyFill="1" applyBorder="1" applyAlignment="1" applyProtection="1">
      <alignment horizontal="left"/>
    </xf>
    <xf numFmtId="171" fontId="5" fillId="0" borderId="43" xfId="0" applyNumberFormat="1" applyFont="1" applyFill="1" applyBorder="1" applyAlignment="1">
      <alignment horizontal="right"/>
    </xf>
    <xf numFmtId="171" fontId="16" fillId="0" borderId="60" xfId="0" applyNumberFormat="1" applyFont="1" applyFill="1" applyBorder="1" applyAlignment="1">
      <alignment horizontal="right"/>
    </xf>
    <xf numFmtId="171" fontId="16" fillId="0" borderId="47" xfId="0" applyNumberFormat="1" applyFont="1" applyFill="1" applyBorder="1" applyAlignment="1">
      <alignment horizontal="right"/>
    </xf>
    <xf numFmtId="171" fontId="16" fillId="0" borderId="43" xfId="0" applyNumberFormat="1" applyFont="1" applyFill="1" applyBorder="1" applyAlignment="1">
      <alignment horizontal="right"/>
    </xf>
    <xf numFmtId="171" fontId="16" fillId="0" borderId="44" xfId="0" applyNumberFormat="1" applyFont="1" applyFill="1" applyBorder="1" applyAlignment="1">
      <alignment horizontal="right"/>
    </xf>
    <xf numFmtId="171" fontId="16" fillId="16" borderId="43" xfId="0" applyNumberFormat="1" applyFont="1" applyFill="1" applyBorder="1" applyAlignment="1">
      <alignment horizontal="right"/>
    </xf>
    <xf numFmtId="171" fontId="16" fillId="16" borderId="44" xfId="0" applyNumberFormat="1" applyFont="1" applyFill="1" applyBorder="1" applyAlignment="1">
      <alignment horizontal="right"/>
    </xf>
    <xf numFmtId="171" fontId="16" fillId="0" borderId="59" xfId="0" applyNumberFormat="1" applyFont="1" applyFill="1" applyBorder="1" applyAlignment="1">
      <alignment horizontal="right"/>
    </xf>
    <xf numFmtId="171" fontId="16" fillId="0" borderId="59" xfId="0" applyNumberFormat="1" applyFont="1" applyFill="1" applyBorder="1" applyAlignment="1" applyProtection="1"/>
    <xf numFmtId="171" fontId="16" fillId="0" borderId="43" xfId="0" applyNumberFormat="1" applyFont="1" applyFill="1" applyBorder="1" applyAlignment="1" applyProtection="1"/>
    <xf numFmtId="171" fontId="5" fillId="0" borderId="48" xfId="0" applyNumberFormat="1" applyFont="1" applyFill="1" applyBorder="1" applyAlignment="1" applyProtection="1"/>
    <xf numFmtId="171" fontId="19" fillId="0" borderId="61" xfId="0" applyNumberFormat="1" applyFont="1" applyFill="1" applyBorder="1" applyAlignment="1">
      <alignment horizontal="right"/>
    </xf>
    <xf numFmtId="171" fontId="19" fillId="0" borderId="50" xfId="0" applyNumberFormat="1" applyFont="1" applyFill="1" applyBorder="1" applyAlignment="1">
      <alignment horizontal="right"/>
    </xf>
    <xf numFmtId="171" fontId="19" fillId="0" borderId="48" xfId="0" applyNumberFormat="1" applyFont="1" applyFill="1" applyBorder="1" applyAlignment="1">
      <alignment horizontal="right"/>
    </xf>
    <xf numFmtId="171" fontId="68" fillId="0" borderId="48" xfId="0" applyNumberFormat="1" applyFont="1" applyFill="1" applyBorder="1" applyAlignment="1">
      <alignment horizontal="right"/>
    </xf>
    <xf numFmtId="171" fontId="68" fillId="0" borderId="62" xfId="0" applyNumberFormat="1" applyFont="1" applyFill="1" applyBorder="1" applyAlignment="1">
      <alignment horizontal="right"/>
    </xf>
    <xf numFmtId="171" fontId="5" fillId="0" borderId="63" xfId="0" applyNumberFormat="1" applyFont="1" applyFill="1" applyBorder="1" applyAlignment="1">
      <alignment horizontal="right"/>
    </xf>
    <xf numFmtId="171" fontId="16" fillId="0" borderId="63" xfId="0" applyNumberFormat="1" applyFont="1" applyFill="1" applyBorder="1" applyAlignment="1">
      <alignment horizontal="right"/>
    </xf>
    <xf numFmtId="171" fontId="5" fillId="0" borderId="64" xfId="0" applyNumberFormat="1" applyFont="1" applyFill="1" applyBorder="1" applyAlignment="1">
      <alignment horizontal="right"/>
    </xf>
    <xf numFmtId="171" fontId="5" fillId="0" borderId="38" xfId="0" applyNumberFormat="1" applyFont="1" applyFill="1" applyBorder="1" applyAlignment="1">
      <alignment horizontal="right"/>
    </xf>
    <xf numFmtId="168" fontId="16" fillId="19" borderId="14" xfId="0" applyNumberFormat="1" applyFont="1" applyFill="1" applyBorder="1"/>
    <xf numFmtId="171" fontId="5" fillId="19" borderId="14" xfId="0" applyNumberFormat="1" applyFont="1" applyFill="1" applyBorder="1" applyAlignment="1">
      <alignment horizontal="right"/>
    </xf>
    <xf numFmtId="168" fontId="16" fillId="19" borderId="29" xfId="0" applyNumberFormat="1" applyFont="1" applyFill="1" applyBorder="1"/>
    <xf numFmtId="168" fontId="16" fillId="19" borderId="29" xfId="0" applyNumberFormat="1" applyFont="1" applyFill="1" applyBorder="1" applyAlignment="1">
      <alignment horizontal="right"/>
    </xf>
    <xf numFmtId="168" fontId="5" fillId="19" borderId="21" xfId="0" applyNumberFormat="1" applyFont="1" applyFill="1" applyBorder="1"/>
    <xf numFmtId="168" fontId="5" fillId="19" borderId="28" xfId="0" applyNumberFormat="1" applyFont="1" applyFill="1" applyBorder="1"/>
    <xf numFmtId="168" fontId="5" fillId="19" borderId="29" xfId="0" applyNumberFormat="1" applyFont="1" applyFill="1" applyBorder="1" applyAlignment="1">
      <alignment horizontal="right"/>
    </xf>
    <xf numFmtId="0" fontId="62" fillId="0" borderId="0" xfId="0" applyFont="1"/>
    <xf numFmtId="168" fontId="19" fillId="16" borderId="0" xfId="0" applyNumberFormat="1" applyFont="1" applyFill="1" applyAlignment="1">
      <alignment horizontal="right"/>
    </xf>
    <xf numFmtId="171" fontId="16" fillId="16" borderId="0" xfId="0" applyNumberFormat="1" applyFont="1" applyFill="1" applyAlignment="1">
      <alignment horizontal="right"/>
    </xf>
    <xf numFmtId="171" fontId="79" fillId="0" borderId="14" xfId="55" applyNumberFormat="1" applyFont="1" applyFill="1" applyBorder="1"/>
    <xf numFmtId="171" fontId="79" fillId="0" borderId="32" xfId="55" applyNumberFormat="1" applyFont="1" applyFill="1" applyBorder="1"/>
    <xf numFmtId="171" fontId="79" fillId="0" borderId="21" xfId="55" applyNumberFormat="1" applyFont="1" applyFill="1" applyBorder="1"/>
    <xf numFmtId="171" fontId="50" fillId="0" borderId="12" xfId="55" applyNumberFormat="1" applyFont="1" applyFill="1" applyBorder="1"/>
    <xf numFmtId="171" fontId="50" fillId="0" borderId="13" xfId="37" applyNumberFormat="1" applyFont="1" applyFill="1" applyBorder="1"/>
    <xf numFmtId="171" fontId="50" fillId="0" borderId="0" xfId="37" applyNumberFormat="1" applyFont="1" applyFill="1" applyBorder="1"/>
    <xf numFmtId="171" fontId="50" fillId="0" borderId="0" xfId="55" applyNumberFormat="1" applyFont="1" applyFill="1" applyBorder="1"/>
    <xf numFmtId="171" fontId="50" fillId="0" borderId="31" xfId="55" applyNumberFormat="1" applyFont="1" applyFill="1" applyBorder="1"/>
    <xf numFmtId="0" fontId="11" fillId="0" borderId="0" xfId="0" applyFont="1" applyFill="1"/>
    <xf numFmtId="171" fontId="50" fillId="0" borderId="13" xfId="55" applyNumberFormat="1" applyFont="1" applyFill="1" applyBorder="1"/>
    <xf numFmtId="171" fontId="50" fillId="0" borderId="0" xfId="38" applyNumberFormat="1" applyFont="1" applyFill="1" applyBorder="1" applyAlignment="1">
      <alignment horizontal="right"/>
    </xf>
    <xf numFmtId="171" fontId="50" fillId="0" borderId="31" xfId="38" applyNumberFormat="1" applyFont="1" applyFill="1" applyBorder="1" applyAlignment="1">
      <alignment horizontal="right"/>
    </xf>
    <xf numFmtId="171" fontId="50" fillId="0" borderId="13" xfId="38" applyNumberFormat="1" applyFont="1" applyFill="1" applyBorder="1" applyAlignment="1">
      <alignment horizontal="right"/>
    </xf>
    <xf numFmtId="43" fontId="50" fillId="0" borderId="20" xfId="37" applyFont="1" applyBorder="1" applyAlignment="1">
      <alignment horizontal="center"/>
    </xf>
    <xf numFmtId="43" fontId="50" fillId="0" borderId="28" xfId="37" applyFont="1" applyBorder="1" applyAlignment="1">
      <alignment horizontal="center"/>
    </xf>
    <xf numFmtId="43" fontId="50" fillId="0" borderId="29" xfId="37" applyFont="1" applyBorder="1" applyAlignment="1">
      <alignment horizontal="center"/>
    </xf>
    <xf numFmtId="43" fontId="50" fillId="0" borderId="30" xfId="37" applyFont="1" applyBorder="1" applyAlignment="1">
      <alignment horizontal="center"/>
    </xf>
    <xf numFmtId="170" fontId="63" fillId="18" borderId="21" xfId="0" applyNumberFormat="1" applyFont="1" applyFill="1" applyBorder="1" applyAlignment="1">
      <alignment horizontal="center"/>
    </xf>
    <xf numFmtId="0" fontId="63" fillId="16" borderId="22" xfId="0" applyNumberFormat="1" applyFont="1" applyFill="1" applyBorder="1" applyAlignment="1">
      <alignment horizontal="center"/>
    </xf>
    <xf numFmtId="0" fontId="57" fillId="16" borderId="14" xfId="0" applyFont="1" applyFill="1" applyBorder="1" applyAlignment="1">
      <alignment horizontal="center"/>
    </xf>
    <xf numFmtId="0" fontId="63" fillId="16" borderId="14" xfId="0" applyFont="1" applyFill="1" applyBorder="1" applyAlignment="1">
      <alignment horizontal="center"/>
    </xf>
    <xf numFmtId="170" fontId="63" fillId="18" borderId="19" xfId="0" applyNumberFormat="1" applyFont="1" applyFill="1" applyBorder="1" applyAlignment="1">
      <alignment horizontal="center"/>
    </xf>
    <xf numFmtId="7" fontId="80" fillId="0" borderId="12" xfId="55" applyNumberFormat="1" applyFont="1" applyFill="1" applyBorder="1" applyAlignment="1">
      <alignment horizontal="right"/>
    </xf>
    <xf numFmtId="7" fontId="80" fillId="0" borderId="0" xfId="55" applyNumberFormat="1" applyFont="1" applyFill="1" applyBorder="1"/>
    <xf numFmtId="171" fontId="76" fillId="0" borderId="0" xfId="55" applyNumberFormat="1" applyFont="1" applyFill="1" applyBorder="1"/>
    <xf numFmtId="171" fontId="76" fillId="0" borderId="0" xfId="55" applyNumberFormat="1" applyFont="1" applyFill="1" applyBorder="1" applyAlignment="1">
      <alignment horizontal="right"/>
    </xf>
    <xf numFmtId="171" fontId="76" fillId="0" borderId="12" xfId="55" applyNumberFormat="1" applyFont="1" applyFill="1" applyBorder="1"/>
    <xf numFmtId="7" fontId="80" fillId="0" borderId="13" xfId="55" applyNumberFormat="1" applyFont="1" applyFill="1" applyBorder="1"/>
    <xf numFmtId="7" fontId="80" fillId="0" borderId="31" xfId="55" applyNumberFormat="1" applyFont="1" applyFill="1" applyBorder="1"/>
    <xf numFmtId="7" fontId="80" fillId="0" borderId="12" xfId="55" applyNumberFormat="1" applyFont="1" applyFill="1" applyBorder="1"/>
    <xf numFmtId="194" fontId="16" fillId="0" borderId="20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Alignment="1">
      <alignment horizontal="center"/>
    </xf>
    <xf numFmtId="194" fontId="16" fillId="0" borderId="28" xfId="0" applyNumberFormat="1" applyFont="1" applyFill="1" applyBorder="1" applyAlignment="1" applyProtection="1">
      <alignment horizontal="centerContinuous"/>
    </xf>
    <xf numFmtId="195" fontId="16" fillId="0" borderId="29" xfId="0" applyNumberFormat="1" applyFont="1" applyFill="1" applyBorder="1" applyAlignment="1" applyProtection="1">
      <alignment horizontal="centerContinuous"/>
    </xf>
    <xf numFmtId="196" fontId="16" fillId="0" borderId="0" xfId="0" applyNumberFormat="1" applyFont="1" applyFill="1" applyBorder="1" applyAlignment="1" applyProtection="1">
      <alignment horizontal="right"/>
    </xf>
    <xf numFmtId="197" fontId="16" fillId="0" borderId="28" xfId="0" applyNumberFormat="1" applyFont="1" applyFill="1" applyBorder="1" applyAlignment="1" applyProtection="1">
      <alignment horizontal="centerContinuous"/>
    </xf>
    <xf numFmtId="197" fontId="16" fillId="0" borderId="20" xfId="0" applyNumberFormat="1" applyFont="1" applyFill="1" applyBorder="1" applyAlignment="1" applyProtection="1">
      <alignment horizontal="center"/>
    </xf>
    <xf numFmtId="171" fontId="76" fillId="0" borderId="0" xfId="38" applyNumberFormat="1" applyFont="1" applyFill="1" applyBorder="1" applyAlignment="1">
      <alignment horizontal="right"/>
    </xf>
    <xf numFmtId="171" fontId="76" fillId="0" borderId="31" xfId="38" applyNumberFormat="1" applyFont="1" applyFill="1" applyBorder="1" applyAlignment="1">
      <alignment horizontal="right"/>
    </xf>
    <xf numFmtId="171" fontId="76" fillId="0" borderId="13" xfId="38" applyNumberFormat="1" applyFont="1" applyFill="1" applyBorder="1" applyAlignment="1">
      <alignment horizontal="right"/>
    </xf>
    <xf numFmtId="171" fontId="60" fillId="0" borderId="20" xfId="0" applyNumberFormat="1" applyFont="1" applyBorder="1"/>
    <xf numFmtId="171" fontId="60" fillId="0" borderId="29" xfId="0" applyNumberFormat="1" applyFont="1" applyBorder="1"/>
    <xf numFmtId="171" fontId="60" fillId="0" borderId="28" xfId="0" applyNumberFormat="1" applyFont="1" applyBorder="1"/>
    <xf numFmtId="164" fontId="50" fillId="0" borderId="31" xfId="63" applyNumberFormat="1" applyFont="1" applyBorder="1"/>
    <xf numFmtId="164" fontId="50" fillId="0" borderId="12" xfId="63" applyNumberFormat="1" applyFont="1" applyFill="1" applyBorder="1"/>
    <xf numFmtId="166" fontId="74" fillId="0" borderId="13" xfId="37" applyNumberFormat="1" applyFont="1" applyBorder="1"/>
    <xf numFmtId="164" fontId="74" fillId="0" borderId="22" xfId="63" applyNumberFormat="1" applyFont="1" applyBorder="1"/>
    <xf numFmtId="171" fontId="60" fillId="0" borderId="12" xfId="0" applyNumberFormat="1" applyFont="1" applyBorder="1"/>
    <xf numFmtId="2" fontId="66" fillId="19" borderId="28" xfId="0" applyNumberFormat="1" applyFont="1" applyFill="1" applyBorder="1"/>
    <xf numFmtId="2" fontId="66" fillId="19" borderId="29" xfId="0" applyNumberFormat="1" applyFont="1" applyFill="1" applyBorder="1"/>
    <xf numFmtId="171" fontId="64" fillId="0" borderId="20" xfId="0" applyNumberFormat="1" applyFont="1" applyFill="1" applyBorder="1"/>
    <xf numFmtId="0" fontId="64" fillId="0" borderId="29" xfId="0" applyFont="1" applyFill="1" applyBorder="1"/>
    <xf numFmtId="171" fontId="64" fillId="0" borderId="12" xfId="0" applyNumberFormat="1" applyFont="1" applyFill="1" applyBorder="1"/>
    <xf numFmtId="0" fontId="64" fillId="0" borderId="0" xfId="0" applyFont="1" applyFill="1" applyBorder="1"/>
    <xf numFmtId="171" fontId="64" fillId="0" borderId="28" xfId="0" applyNumberFormat="1" applyFont="1" applyFill="1" applyBorder="1"/>
    <xf numFmtId="171" fontId="64" fillId="0" borderId="29" xfId="63" applyNumberFormat="1" applyFont="1" applyFill="1" applyBorder="1"/>
    <xf numFmtId="171" fontId="64" fillId="0" borderId="13" xfId="0" applyNumberFormat="1" applyFont="1" applyFill="1" applyBorder="1"/>
    <xf numFmtId="171" fontId="64" fillId="0" borderId="0" xfId="63" applyNumberFormat="1" applyFont="1" applyFill="1" applyBorder="1"/>
    <xf numFmtId="171" fontId="64" fillId="0" borderId="30" xfId="63" applyNumberFormat="1" applyFont="1" applyFill="1" applyBorder="1"/>
    <xf numFmtId="171" fontId="64" fillId="0" borderId="31" xfId="63" applyNumberFormat="1" applyFont="1" applyFill="1" applyBorder="1"/>
    <xf numFmtId="164" fontId="66" fillId="19" borderId="21" xfId="56" applyNumberFormat="1" applyFont="1" applyFill="1" applyBorder="1" applyAlignment="1">
      <alignment horizontal="center"/>
    </xf>
    <xf numFmtId="171" fontId="5" fillId="16" borderId="12" xfId="0" applyNumberFormat="1" applyFont="1" applyFill="1" applyBorder="1"/>
    <xf numFmtId="0" fontId="16" fillId="19" borderId="22" xfId="56" applyFont="1" applyFill="1" applyBorder="1" applyAlignment="1">
      <alignment horizontal="left"/>
    </xf>
    <xf numFmtId="164" fontId="19" fillId="16" borderId="13" xfId="56" applyNumberFormat="1" applyFont="1" applyFill="1" applyBorder="1" applyAlignment="1">
      <alignment horizontal="center"/>
    </xf>
    <xf numFmtId="164" fontId="18" fillId="19" borderId="21" xfId="56" applyNumberFormat="1" applyFont="1" applyFill="1" applyBorder="1" applyAlignment="1">
      <alignment horizontal="center"/>
    </xf>
    <xf numFmtId="164" fontId="5" fillId="16" borderId="28" xfId="56" applyNumberFormat="1" applyFont="1" applyFill="1" applyBorder="1" applyAlignment="1">
      <alignment horizontal="center"/>
    </xf>
    <xf numFmtId="164" fontId="5" fillId="16" borderId="13" xfId="56" applyNumberFormat="1" applyFont="1" applyFill="1" applyBorder="1" applyAlignment="1">
      <alignment horizontal="center"/>
    </xf>
    <xf numFmtId="164" fontId="16" fillId="19" borderId="21" xfId="56" applyNumberFormat="1" applyFont="1" applyFill="1" applyBorder="1" applyAlignment="1">
      <alignment horizontal="center"/>
    </xf>
    <xf numFmtId="164" fontId="16" fillId="0" borderId="12" xfId="63" applyNumberFormat="1" applyFont="1" applyFill="1" applyBorder="1"/>
    <xf numFmtId="168" fontId="76" fillId="0" borderId="0" xfId="0" applyNumberFormat="1" applyFont="1" applyFill="1" applyBorder="1" applyAlignment="1">
      <alignment horizontal="right"/>
    </xf>
    <xf numFmtId="168" fontId="76" fillId="0" borderId="13" xfId="0" applyNumberFormat="1" applyFont="1" applyFill="1" applyBorder="1" applyAlignment="1">
      <alignment horizontal="right"/>
    </xf>
    <xf numFmtId="177" fontId="5" fillId="18" borderId="16" xfId="0" applyNumberFormat="1" applyFont="1" applyFill="1" applyBorder="1" applyAlignment="1">
      <alignment horizontal="right"/>
    </xf>
    <xf numFmtId="37" fontId="5" fillId="18" borderId="19" xfId="0" applyNumberFormat="1" applyFont="1" applyFill="1" applyBorder="1" applyAlignment="1">
      <alignment horizontal="right"/>
    </xf>
    <xf numFmtId="171" fontId="76" fillId="0" borderId="12" xfId="0" applyNumberFormat="1" applyFont="1" applyFill="1" applyBorder="1" applyAlignment="1">
      <alignment horizontal="right"/>
    </xf>
    <xf numFmtId="171" fontId="76" fillId="0" borderId="0" xfId="0" applyNumberFormat="1" applyFont="1" applyFill="1" applyBorder="1" applyAlignment="1">
      <alignment horizontal="right"/>
    </xf>
    <xf numFmtId="171" fontId="76" fillId="0" borderId="13" xfId="0" applyNumberFormat="1" applyFont="1" applyFill="1" applyBorder="1" applyAlignment="1">
      <alignment horizontal="right"/>
    </xf>
    <xf numFmtId="168" fontId="50" fillId="16" borderId="23" xfId="0" applyNumberFormat="1" applyFont="1" applyFill="1" applyBorder="1" applyAlignment="1">
      <alignment horizontal="right"/>
    </xf>
    <xf numFmtId="168" fontId="50" fillId="16" borderId="0" xfId="0" applyNumberFormat="1" applyFont="1" applyFill="1" applyBorder="1" applyAlignment="1">
      <alignment horizontal="right"/>
    </xf>
    <xf numFmtId="168" fontId="50" fillId="16" borderId="24" xfId="0" applyNumberFormat="1" applyFont="1" applyFill="1" applyBorder="1" applyAlignment="1">
      <alignment horizontal="right"/>
    </xf>
    <xf numFmtId="171" fontId="50" fillId="16" borderId="23" xfId="0" applyNumberFormat="1" applyFont="1" applyFill="1" applyBorder="1" applyAlignment="1">
      <alignment horizontal="right"/>
    </xf>
    <xf numFmtId="171" fontId="50" fillId="16" borderId="0" xfId="0" applyNumberFormat="1" applyFont="1" applyFill="1" applyBorder="1" applyAlignment="1">
      <alignment horizontal="right"/>
    </xf>
    <xf numFmtId="171" fontId="50" fillId="16" borderId="24" xfId="0" applyNumberFormat="1" applyFont="1" applyFill="1" applyBorder="1" applyAlignment="1">
      <alignment horizontal="right"/>
    </xf>
    <xf numFmtId="168" fontId="50" fillId="16" borderId="13" xfId="0" applyNumberFormat="1" applyFont="1" applyFill="1" applyBorder="1" applyAlignment="1">
      <alignment horizontal="right"/>
    </xf>
    <xf numFmtId="171" fontId="50" fillId="16" borderId="13" xfId="0" applyNumberFormat="1" applyFont="1" applyFill="1" applyBorder="1" applyAlignment="1">
      <alignment horizontal="right"/>
    </xf>
    <xf numFmtId="168" fontId="50" fillId="16" borderId="15" xfId="0" applyNumberFormat="1" applyFont="1" applyFill="1" applyBorder="1" applyAlignment="1">
      <alignment horizontal="right"/>
    </xf>
    <xf numFmtId="171" fontId="50" fillId="16" borderId="15" xfId="0" applyNumberFormat="1" applyFont="1" applyFill="1" applyBorder="1" applyAlignment="1">
      <alignment horizontal="right"/>
    </xf>
    <xf numFmtId="171" fontId="50" fillId="16" borderId="49" xfId="0" applyNumberFormat="1" applyFont="1" applyFill="1" applyBorder="1" applyAlignment="1">
      <alignment horizontal="right"/>
    </xf>
    <xf numFmtId="171" fontId="50" fillId="16" borderId="65" xfId="0" applyNumberFormat="1" applyFont="1" applyFill="1" applyBorder="1" applyAlignment="1">
      <alignment horizontal="right"/>
    </xf>
    <xf numFmtId="171" fontId="50" fillId="16" borderId="48" xfId="0" applyNumberFormat="1" applyFont="1" applyFill="1" applyBorder="1" applyAlignment="1">
      <alignment horizontal="right"/>
    </xf>
    <xf numFmtId="171" fontId="50" fillId="16" borderId="66" xfId="0" applyNumberFormat="1" applyFont="1" applyFill="1" applyBorder="1" applyAlignment="1">
      <alignment horizontal="right"/>
    </xf>
    <xf numFmtId="171" fontId="50" fillId="16" borderId="50" xfId="0" applyNumberFormat="1" applyFont="1" applyFill="1" applyBorder="1" applyAlignment="1">
      <alignment horizontal="right"/>
    </xf>
    <xf numFmtId="171" fontId="50" fillId="0" borderId="12" xfId="0" applyNumberFormat="1" applyFont="1" applyFill="1" applyBorder="1" applyAlignment="1">
      <alignment horizontal="right"/>
    </xf>
    <xf numFmtId="171" fontId="50" fillId="0" borderId="13" xfId="0" applyNumberFormat="1" applyFont="1" applyFill="1" applyBorder="1" applyAlignment="1">
      <alignment horizontal="right"/>
    </xf>
    <xf numFmtId="171" fontId="50" fillId="0" borderId="0" xfId="0" applyNumberFormat="1" applyFont="1" applyFill="1" applyBorder="1" applyAlignment="1">
      <alignment horizontal="right"/>
    </xf>
    <xf numFmtId="164" fontId="50" fillId="0" borderId="0" xfId="0" applyNumberFormat="1" applyFont="1" applyFill="1" applyBorder="1" applyAlignment="1">
      <alignment horizontal="right"/>
    </xf>
    <xf numFmtId="164" fontId="50" fillId="0" borderId="13" xfId="0" applyNumberFormat="1" applyFont="1" applyFill="1" applyBorder="1" applyAlignment="1">
      <alignment horizontal="right"/>
    </xf>
    <xf numFmtId="168" fontId="50" fillId="0" borderId="31" xfId="0" applyNumberFormat="1" applyFont="1" applyFill="1" applyBorder="1" applyAlignment="1">
      <alignment horizontal="right"/>
    </xf>
    <xf numFmtId="168" fontId="50" fillId="0" borderId="12" xfId="0" applyNumberFormat="1" applyFont="1" applyFill="1" applyBorder="1" applyAlignment="1">
      <alignment horizontal="right"/>
    </xf>
    <xf numFmtId="168" fontId="50" fillId="0" borderId="0" xfId="0" applyNumberFormat="1" applyFont="1" applyFill="1" applyBorder="1" applyAlignment="1">
      <alignment horizontal="right"/>
    </xf>
    <xf numFmtId="9" fontId="50" fillId="0" borderId="0" xfId="63" applyFont="1" applyFill="1" applyBorder="1" applyAlignment="1">
      <alignment horizontal="right"/>
    </xf>
    <xf numFmtId="9" fontId="50" fillId="0" borderId="13" xfId="63" applyFont="1" applyFill="1" applyBorder="1" applyAlignment="1">
      <alignment horizontal="right"/>
    </xf>
    <xf numFmtId="171" fontId="76" fillId="16" borderId="0" xfId="0" applyNumberFormat="1" applyFont="1" applyFill="1" applyBorder="1" applyAlignment="1">
      <alignment horizontal="right"/>
    </xf>
    <xf numFmtId="171" fontId="76" fillId="16" borderId="12" xfId="0" applyNumberFormat="1" applyFont="1" applyFill="1" applyBorder="1" applyAlignment="1">
      <alignment horizontal="right"/>
    </xf>
    <xf numFmtId="9" fontId="76" fillId="0" borderId="12" xfId="0" applyNumberFormat="1" applyFont="1" applyFill="1" applyBorder="1" applyAlignment="1">
      <alignment horizontal="right"/>
    </xf>
    <xf numFmtId="9" fontId="76" fillId="0" borderId="0" xfId="0" applyNumberFormat="1" applyFont="1" applyFill="1" applyBorder="1" applyAlignment="1">
      <alignment horizontal="right"/>
    </xf>
    <xf numFmtId="171" fontId="76" fillId="16" borderId="12" xfId="0" quotePrefix="1" applyNumberFormat="1" applyFont="1" applyFill="1" applyBorder="1" applyAlignment="1">
      <alignment horizontal="right"/>
    </xf>
    <xf numFmtId="171" fontId="76" fillId="16" borderId="13" xfId="0" applyNumberFormat="1" applyFont="1" applyFill="1" applyBorder="1" applyAlignment="1">
      <alignment horizontal="right"/>
    </xf>
    <xf numFmtId="9" fontId="76" fillId="0" borderId="13" xfId="0" applyNumberFormat="1" applyFont="1" applyFill="1" applyBorder="1" applyAlignment="1">
      <alignment horizontal="right"/>
    </xf>
    <xf numFmtId="171" fontId="76" fillId="16" borderId="0" xfId="0" quotePrefix="1" applyNumberFormat="1" applyFont="1" applyFill="1" applyBorder="1" applyAlignment="1">
      <alignment horizontal="right"/>
    </xf>
    <xf numFmtId="171" fontId="76" fillId="0" borderId="12" xfId="0" applyNumberFormat="1" applyFont="1" applyBorder="1" applyAlignment="1">
      <alignment horizontal="right"/>
    </xf>
    <xf numFmtId="171" fontId="76" fillId="0" borderId="0" xfId="0" applyNumberFormat="1" applyFont="1" applyBorder="1" applyAlignment="1">
      <alignment horizontal="right"/>
    </xf>
    <xf numFmtId="171" fontId="76" fillId="0" borderId="13" xfId="0" applyNumberFormat="1" applyFont="1" applyBorder="1" applyAlignment="1">
      <alignment horizontal="right"/>
    </xf>
    <xf numFmtId="168" fontId="76" fillId="0" borderId="0" xfId="0" applyNumberFormat="1" applyFont="1" applyBorder="1" applyAlignment="1">
      <alignment horizontal="right"/>
    </xf>
    <xf numFmtId="168" fontId="76" fillId="16" borderId="0" xfId="0" applyNumberFormat="1" applyFont="1" applyFill="1" applyBorder="1" applyAlignment="1">
      <alignment horizontal="right"/>
    </xf>
    <xf numFmtId="164" fontId="76" fillId="0" borderId="12" xfId="0" applyNumberFormat="1" applyFont="1" applyBorder="1" applyAlignment="1">
      <alignment horizontal="right"/>
    </xf>
    <xf numFmtId="164" fontId="76" fillId="0" borderId="0" xfId="0" applyNumberFormat="1" applyFont="1" applyBorder="1" applyAlignment="1">
      <alignment horizontal="right"/>
    </xf>
    <xf numFmtId="164" fontId="76" fillId="0" borderId="13" xfId="0" applyNumberFormat="1" applyFont="1" applyBorder="1" applyAlignment="1">
      <alignment horizontal="right"/>
    </xf>
    <xf numFmtId="164" fontId="76" fillId="16" borderId="0" xfId="0" applyNumberFormat="1" applyFont="1" applyFill="1" applyBorder="1" applyAlignment="1">
      <alignment horizontal="right"/>
    </xf>
    <xf numFmtId="164" fontId="76" fillId="0" borderId="22" xfId="0" applyNumberFormat="1" applyFont="1" applyBorder="1" applyAlignment="1">
      <alignment horizontal="right"/>
    </xf>
    <xf numFmtId="164" fontId="76" fillId="0" borderId="14" xfId="0" applyNumberFormat="1" applyFont="1" applyBorder="1" applyAlignment="1">
      <alignment horizontal="right"/>
    </xf>
    <xf numFmtId="164" fontId="76" fillId="0" borderId="21" xfId="0" applyNumberFormat="1" applyFont="1" applyBorder="1" applyAlignment="1">
      <alignment horizontal="right"/>
    </xf>
    <xf numFmtId="164" fontId="76" fillId="16" borderId="14" xfId="0" applyNumberFormat="1" applyFont="1" applyFill="1" applyBorder="1" applyAlignment="1">
      <alignment horizontal="right"/>
    </xf>
    <xf numFmtId="164" fontId="5" fillId="16" borderId="21" xfId="0" applyNumberFormat="1" applyFont="1" applyFill="1" applyBorder="1" applyAlignment="1">
      <alignment horizontal="right"/>
    </xf>
    <xf numFmtId="171" fontId="19" fillId="0" borderId="34" xfId="0" applyNumberFormat="1" applyFont="1" applyFill="1" applyBorder="1" applyAlignment="1">
      <alignment horizontal="right"/>
    </xf>
    <xf numFmtId="171" fontId="76" fillId="19" borderId="51" xfId="0" applyNumberFormat="1" applyFont="1" applyFill="1" applyBorder="1" applyAlignment="1">
      <alignment horizontal="right"/>
    </xf>
    <xf numFmtId="171" fontId="76" fillId="19" borderId="14" xfId="0" applyNumberFormat="1" applyFont="1" applyFill="1" applyBorder="1" applyAlignment="1">
      <alignment horizontal="right"/>
    </xf>
    <xf numFmtId="171" fontId="76" fillId="19" borderId="21" xfId="0" applyNumberFormat="1" applyFont="1" applyFill="1" applyBorder="1" applyAlignment="1">
      <alignment horizontal="right"/>
    </xf>
    <xf numFmtId="171" fontId="76" fillId="19" borderId="40" xfId="0" applyNumberFormat="1" applyFont="1" applyFill="1" applyBorder="1" applyAlignment="1">
      <alignment horizontal="right"/>
    </xf>
    <xf numFmtId="171" fontId="64" fillId="0" borderId="20" xfId="0" applyNumberFormat="1" applyFont="1" applyBorder="1"/>
    <xf numFmtId="0" fontId="64" fillId="0" borderId="29" xfId="0" applyFont="1" applyBorder="1"/>
    <xf numFmtId="171" fontId="64" fillId="0" borderId="28" xfId="0" applyNumberFormat="1" applyFont="1" applyBorder="1"/>
    <xf numFmtId="171" fontId="64" fillId="0" borderId="29" xfId="0" applyNumberFormat="1" applyFont="1" applyBorder="1"/>
    <xf numFmtId="171" fontId="64" fillId="0" borderId="30" xfId="0" applyNumberFormat="1" applyFont="1" applyBorder="1"/>
    <xf numFmtId="171" fontId="64" fillId="0" borderId="12" xfId="0" applyNumberFormat="1" applyFont="1" applyBorder="1"/>
    <xf numFmtId="0" fontId="64" fillId="0" borderId="0" xfId="0" applyFont="1" applyBorder="1"/>
    <xf numFmtId="171" fontId="64" fillId="0" borderId="13" xfId="0" applyNumberFormat="1" applyFont="1" applyBorder="1"/>
    <xf numFmtId="171" fontId="64" fillId="0" borderId="0" xfId="0" applyNumberFormat="1" applyFont="1" applyBorder="1"/>
    <xf numFmtId="171" fontId="64" fillId="0" borderId="31" xfId="0" applyNumberFormat="1" applyFont="1" applyBorder="1"/>
    <xf numFmtId="0" fontId="81" fillId="0" borderId="0" xfId="0" applyFont="1"/>
    <xf numFmtId="195" fontId="16" fillId="0" borderId="30" xfId="0" applyNumberFormat="1" applyFont="1" applyFill="1" applyBorder="1" applyAlignment="1" applyProtection="1">
      <alignment horizontal="centerContinuous"/>
    </xf>
    <xf numFmtId="168" fontId="18" fillId="16" borderId="13" xfId="0" applyNumberFormat="1" applyFont="1" applyFill="1" applyBorder="1" applyAlignment="1">
      <alignment horizontal="right"/>
    </xf>
    <xf numFmtId="175" fontId="14" fillId="16" borderId="0" xfId="37" applyNumberFormat="1" applyFont="1" applyFill="1" applyBorder="1" applyAlignment="1">
      <alignment horizontal="right"/>
    </xf>
    <xf numFmtId="43" fontId="74" fillId="0" borderId="0" xfId="37" applyFont="1"/>
    <xf numFmtId="0" fontId="50" fillId="0" borderId="0" xfId="0" applyFont="1"/>
    <xf numFmtId="43" fontId="74" fillId="0" borderId="13" xfId="37" applyFont="1" applyBorder="1"/>
    <xf numFmtId="0" fontId="74" fillId="0" borderId="0" xfId="0" applyFont="1"/>
    <xf numFmtId="0" fontId="50" fillId="0" borderId="13" xfId="0" applyFont="1" applyBorder="1"/>
    <xf numFmtId="171" fontId="5" fillId="16" borderId="49" xfId="0" applyNumberFormat="1" applyFont="1" applyFill="1" applyBorder="1" applyAlignment="1">
      <alignment horizontal="right"/>
    </xf>
    <xf numFmtId="177" fontId="5" fillId="16" borderId="22" xfId="0" applyNumberFormat="1" applyFont="1" applyFill="1" applyBorder="1" applyAlignment="1">
      <alignment horizontal="right"/>
    </xf>
    <xf numFmtId="177" fontId="5" fillId="16" borderId="14" xfId="0" applyNumberFormat="1" applyFont="1" applyFill="1" applyBorder="1" applyAlignment="1">
      <alignment horizontal="right"/>
    </xf>
    <xf numFmtId="9" fontId="5" fillId="16" borderId="14" xfId="63" applyFont="1" applyFill="1" applyBorder="1" applyAlignment="1">
      <alignment horizontal="right"/>
    </xf>
    <xf numFmtId="9" fontId="5" fillId="16" borderId="21" xfId="63" applyFont="1" applyFill="1" applyBorder="1" applyAlignment="1">
      <alignment horizontal="right"/>
    </xf>
    <xf numFmtId="168" fontId="18" fillId="16" borderId="0" xfId="0" applyNumberFormat="1" applyFont="1" applyFill="1" applyAlignment="1">
      <alignment horizontal="right"/>
    </xf>
    <xf numFmtId="168" fontId="16" fillId="16" borderId="0" xfId="0" applyNumberFormat="1" applyFont="1" applyFill="1" applyAlignment="1">
      <alignment horizontal="right"/>
    </xf>
    <xf numFmtId="171" fontId="16" fillId="16" borderId="15" xfId="0" applyNumberFormat="1" applyFont="1" applyFill="1" applyBorder="1" applyAlignment="1">
      <alignment horizontal="right"/>
    </xf>
    <xf numFmtId="171" fontId="5" fillId="16" borderId="15" xfId="63" applyNumberFormat="1" applyFont="1" applyFill="1" applyBorder="1" applyAlignment="1">
      <alignment horizontal="right"/>
    </xf>
    <xf numFmtId="164" fontId="14" fillId="0" borderId="0" xfId="63" applyNumberFormat="1" applyFont="1" applyFill="1" applyBorder="1" applyAlignment="1">
      <alignment horizontal="right"/>
    </xf>
    <xf numFmtId="164" fontId="64" fillId="19" borderId="0" xfId="63" applyNumberFormat="1" applyFont="1" applyFill="1" applyBorder="1"/>
    <xf numFmtId="164" fontId="18" fillId="19" borderId="32" xfId="56" applyNumberFormat="1" applyFont="1" applyFill="1" applyBorder="1" applyAlignment="1">
      <alignment horizontal="center"/>
    </xf>
    <xf numFmtId="164" fontId="6" fillId="19" borderId="13" xfId="0" applyNumberFormat="1" applyFont="1" applyFill="1" applyBorder="1" applyAlignment="1">
      <alignment horizontal="right"/>
    </xf>
    <xf numFmtId="164" fontId="50" fillId="19" borderId="12" xfId="63" applyNumberFormat="1" applyFont="1" applyFill="1" applyBorder="1"/>
    <xf numFmtId="164" fontId="50" fillId="19" borderId="13" xfId="0" applyNumberFormat="1" applyFont="1" applyFill="1" applyBorder="1"/>
    <xf numFmtId="164" fontId="50" fillId="19" borderId="13" xfId="63" applyNumberFormat="1" applyFont="1" applyFill="1" applyBorder="1"/>
    <xf numFmtId="164" fontId="50" fillId="0" borderId="0" xfId="63" applyNumberFormat="1" applyFont="1" applyFill="1" applyBorder="1" applyAlignment="1">
      <alignment horizontal="right"/>
    </xf>
    <xf numFmtId="173" fontId="6" fillId="0" borderId="0" xfId="0" applyNumberFormat="1" applyFont="1" applyFill="1" applyBorder="1"/>
    <xf numFmtId="173" fontId="6" fillId="0" borderId="31" xfId="0" applyNumberFormat="1" applyFont="1" applyFill="1" applyBorder="1"/>
    <xf numFmtId="171" fontId="6" fillId="0" borderId="31" xfId="0" applyNumberFormat="1" applyFont="1" applyFill="1" applyBorder="1"/>
    <xf numFmtId="0" fontId="6" fillId="0" borderId="31" xfId="0" applyFont="1" applyFill="1" applyBorder="1"/>
    <xf numFmtId="171" fontId="50" fillId="0" borderId="0" xfId="0" applyNumberFormat="1" applyFont="1" applyFill="1" applyBorder="1"/>
    <xf numFmtId="171" fontId="50" fillId="0" borderId="13" xfId="0" applyNumberFormat="1" applyFont="1" applyFill="1" applyBorder="1"/>
    <xf numFmtId="180" fontId="6" fillId="0" borderId="0" xfId="0" applyNumberFormat="1" applyFont="1" applyFill="1" applyBorder="1"/>
    <xf numFmtId="180" fontId="6" fillId="0" borderId="12" xfId="0" applyNumberFormat="1" applyFont="1" applyFill="1" applyBorder="1"/>
    <xf numFmtId="180" fontId="6" fillId="0" borderId="13" xfId="0" applyNumberFormat="1" applyFont="1" applyFill="1" applyBorder="1"/>
    <xf numFmtId="0" fontId="19" fillId="0" borderId="0" xfId="0" applyFont="1" applyFill="1" applyBorder="1" applyAlignment="1">
      <alignment horizontal="right"/>
    </xf>
    <xf numFmtId="9" fontId="50" fillId="0" borderId="0" xfId="0" applyNumberFormat="1" applyFont="1" applyFill="1" applyAlignment="1">
      <alignment horizontal="right"/>
    </xf>
    <xf numFmtId="0" fontId="19" fillId="0" borderId="13" xfId="0" applyFont="1" applyFill="1" applyBorder="1" applyAlignment="1">
      <alignment horizontal="right"/>
    </xf>
    <xf numFmtId="164" fontId="19" fillId="0" borderId="0" xfId="0" applyNumberFormat="1" applyFont="1" applyFill="1"/>
    <xf numFmtId="164" fontId="5" fillId="0" borderId="12" xfId="63" applyNumberFormat="1" applyFont="1" applyFill="1" applyBorder="1"/>
    <xf numFmtId="164" fontId="19" fillId="0" borderId="13" xfId="0" applyNumberFormat="1" applyFont="1" applyFill="1" applyBorder="1"/>
    <xf numFmtId="164" fontId="50" fillId="0" borderId="13" xfId="0" applyNumberFormat="1" applyFont="1" applyFill="1" applyBorder="1"/>
    <xf numFmtId="164" fontId="50" fillId="0" borderId="0" xfId="0" applyNumberFormat="1" applyFont="1" applyFill="1" applyAlignment="1">
      <alignment horizontal="right"/>
    </xf>
    <xf numFmtId="164" fontId="19" fillId="0" borderId="0" xfId="0" applyNumberFormat="1" applyFont="1" applyFill="1" applyAlignment="1">
      <alignment horizontal="right"/>
    </xf>
    <xf numFmtId="164" fontId="19" fillId="0" borderId="0" xfId="0" applyNumberFormat="1" applyFont="1" applyFill="1" applyBorder="1" applyAlignment="1">
      <alignment horizontal="right"/>
    </xf>
    <xf numFmtId="164" fontId="50" fillId="0" borderId="0" xfId="0" applyNumberFormat="1" applyFont="1" applyFill="1"/>
    <xf numFmtId="164" fontId="19" fillId="0" borderId="13" xfId="0" applyNumberFormat="1" applyFont="1" applyFill="1" applyBorder="1" applyAlignment="1">
      <alignment horizontal="right"/>
    </xf>
    <xf numFmtId="164" fontId="19" fillId="0" borderId="0" xfId="37" applyNumberFormat="1" applyFont="1" applyFill="1"/>
    <xf numFmtId="164" fontId="13" fillId="0" borderId="12" xfId="63" applyNumberFormat="1" applyFont="1" applyFill="1" applyBorder="1"/>
    <xf numFmtId="164" fontId="50" fillId="0" borderId="21" xfId="0" applyNumberFormat="1" applyFont="1" applyFill="1" applyBorder="1" applyAlignment="1">
      <alignment horizontal="right"/>
    </xf>
    <xf numFmtId="164" fontId="19" fillId="0" borderId="14" xfId="0" applyNumberFormat="1" applyFont="1" applyFill="1" applyBorder="1" applyAlignment="1">
      <alignment horizontal="right"/>
    </xf>
    <xf numFmtId="164" fontId="50" fillId="0" borderId="14" xfId="0" applyNumberFormat="1" applyFont="1" applyFill="1" applyBorder="1" applyAlignment="1">
      <alignment horizontal="right"/>
    </xf>
    <xf numFmtId="164" fontId="13" fillId="0" borderId="22" xfId="63" applyNumberFormat="1" applyFont="1" applyFill="1" applyBorder="1"/>
    <xf numFmtId="164" fontId="19" fillId="0" borderId="21" xfId="0" applyNumberFormat="1" applyFont="1" applyFill="1" applyBorder="1" applyAlignment="1">
      <alignment horizontal="right"/>
    </xf>
    <xf numFmtId="164" fontId="19" fillId="0" borderId="14" xfId="37" applyNumberFormat="1" applyFont="1" applyFill="1" applyBorder="1"/>
    <xf numFmtId="164" fontId="19" fillId="0" borderId="14" xfId="0" applyNumberFormat="1" applyFont="1" applyFill="1" applyBorder="1"/>
    <xf numFmtId="164" fontId="5" fillId="0" borderId="22" xfId="63" applyNumberFormat="1" applyFont="1" applyFill="1" applyBorder="1"/>
    <xf numFmtId="0" fontId="5" fillId="0" borderId="14" xfId="0" applyFont="1" applyFill="1" applyBorder="1"/>
    <xf numFmtId="164" fontId="19" fillId="0" borderId="21" xfId="0" applyNumberFormat="1" applyFont="1" applyFill="1" applyBorder="1"/>
    <xf numFmtId="0" fontId="16" fillId="16" borderId="0" xfId="56" applyFont="1" applyFill="1" applyBorder="1" applyAlignment="1">
      <alignment horizontal="left"/>
    </xf>
    <xf numFmtId="0" fontId="16" fillId="16" borderId="0" xfId="56" applyFont="1" applyFill="1" applyBorder="1" applyAlignment="1">
      <alignment horizontal="center"/>
    </xf>
    <xf numFmtId="170" fontId="73" fillId="16" borderId="0" xfId="56" applyNumberFormat="1" applyFont="1" applyFill="1" applyBorder="1" applyAlignment="1">
      <alignment horizontal="center"/>
    </xf>
    <xf numFmtId="9" fontId="73" fillId="16" borderId="0" xfId="56" applyNumberFormat="1" applyFont="1" applyFill="1" applyBorder="1" applyAlignment="1">
      <alignment horizontal="center"/>
    </xf>
    <xf numFmtId="164" fontId="73" fillId="16" borderId="0" xfId="56" applyNumberFormat="1" applyFont="1" applyFill="1" applyBorder="1" applyAlignment="1">
      <alignment horizontal="center"/>
    </xf>
    <xf numFmtId="0" fontId="11" fillId="0" borderId="0" xfId="56" applyFont="1" applyBorder="1"/>
    <xf numFmtId="164" fontId="50" fillId="16" borderId="13" xfId="63" applyNumberFormat="1" applyFont="1" applyFill="1" applyBorder="1" applyAlignment="1">
      <alignment horizontal="right"/>
    </xf>
    <xf numFmtId="164" fontId="50" fillId="16" borderId="0" xfId="63" applyNumberFormat="1" applyFont="1" applyFill="1" applyBorder="1" applyAlignment="1">
      <alignment horizontal="right"/>
    </xf>
    <xf numFmtId="164" fontId="50" fillId="16" borderId="12" xfId="63" applyNumberFormat="1" applyFont="1" applyFill="1" applyBorder="1"/>
    <xf numFmtId="164" fontId="6" fillId="16" borderId="13" xfId="63" applyNumberFormat="1" applyFont="1" applyFill="1" applyBorder="1" applyAlignment="1">
      <alignment horizontal="right"/>
    </xf>
    <xf numFmtId="164" fontId="6" fillId="16" borderId="0" xfId="63" applyNumberFormat="1" applyFont="1" applyFill="1" applyBorder="1" applyAlignment="1">
      <alignment horizontal="right"/>
    </xf>
    <xf numFmtId="164" fontId="6" fillId="16" borderId="31" xfId="63" applyNumberFormat="1" applyFont="1" applyFill="1" applyBorder="1" applyAlignment="1">
      <alignment horizontal="right"/>
    </xf>
    <xf numFmtId="164" fontId="16" fillId="16" borderId="12" xfId="63" applyNumberFormat="1" applyFont="1" applyFill="1" applyBorder="1"/>
    <xf numFmtId="164" fontId="5" fillId="19" borderId="12" xfId="63" applyNumberFormat="1" applyFont="1" applyFill="1" applyBorder="1" applyAlignment="1">
      <alignment horizontal="right"/>
    </xf>
    <xf numFmtId="164" fontId="6" fillId="0" borderId="31" xfId="63" applyNumberFormat="1" applyFont="1" applyFill="1" applyBorder="1" applyAlignment="1">
      <alignment horizontal="right"/>
    </xf>
    <xf numFmtId="171" fontId="70" fillId="0" borderId="0" xfId="0" applyNumberFormat="1" applyFont="1" applyFill="1" applyBorder="1"/>
    <xf numFmtId="171" fontId="20" fillId="0" borderId="12" xfId="0" applyNumberFormat="1" applyFont="1" applyFill="1" applyBorder="1"/>
    <xf numFmtId="37" fontId="5" fillId="0" borderId="14" xfId="0" applyNumberFormat="1" applyFont="1" applyFill="1" applyBorder="1" applyAlignment="1">
      <alignment horizontal="right"/>
    </xf>
    <xf numFmtId="37" fontId="5" fillId="0" borderId="22" xfId="0" applyNumberFormat="1" applyFont="1" applyFill="1" applyBorder="1" applyAlignment="1">
      <alignment horizontal="right"/>
    </xf>
    <xf numFmtId="37" fontId="6" fillId="0" borderId="14" xfId="0" applyNumberFormat="1" applyFont="1" applyFill="1" applyBorder="1" applyAlignment="1">
      <alignment horizontal="right"/>
    </xf>
    <xf numFmtId="37" fontId="5" fillId="0" borderId="21" xfId="0" applyNumberFormat="1" applyFont="1" applyFill="1" applyBorder="1" applyAlignment="1">
      <alignment horizontal="right"/>
    </xf>
    <xf numFmtId="164" fontId="50" fillId="0" borderId="13" xfId="63" applyNumberFormat="1" applyFont="1" applyFill="1" applyBorder="1" applyAlignment="1">
      <alignment horizontal="right"/>
    </xf>
    <xf numFmtId="164" fontId="5" fillId="0" borderId="22" xfId="63" applyNumberFormat="1" applyFont="1" applyFill="1" applyBorder="1" applyAlignment="1">
      <alignment horizontal="right"/>
    </xf>
    <xf numFmtId="164" fontId="5" fillId="0" borderId="13" xfId="63" applyNumberFormat="1" applyFont="1" applyBorder="1" applyAlignment="1">
      <alignment horizontal="right"/>
    </xf>
    <xf numFmtId="164" fontId="5" fillId="0" borderId="0" xfId="63" applyNumberFormat="1" applyFont="1" applyBorder="1" applyAlignment="1">
      <alignment horizontal="right"/>
    </xf>
    <xf numFmtId="164" fontId="5" fillId="0" borderId="31" xfId="63" applyNumberFormat="1" applyFont="1" applyBorder="1" applyAlignment="1">
      <alignment horizontal="right"/>
    </xf>
    <xf numFmtId="164" fontId="5" fillId="0" borderId="0" xfId="63" applyNumberFormat="1" applyFont="1" applyFill="1" applyBorder="1"/>
    <xf numFmtId="9" fontId="50" fillId="0" borderId="0" xfId="0" applyNumberFormat="1" applyFont="1" applyBorder="1"/>
    <xf numFmtId="0" fontId="50" fillId="16" borderId="28" xfId="0" applyFont="1" applyFill="1" applyBorder="1" applyAlignment="1">
      <alignment horizontal="right"/>
    </xf>
    <xf numFmtId="0" fontId="50" fillId="16" borderId="13" xfId="0" applyFont="1" applyFill="1" applyBorder="1" applyAlignment="1">
      <alignment horizontal="right"/>
    </xf>
    <xf numFmtId="0" fontId="50" fillId="16" borderId="21" xfId="0" applyFont="1" applyFill="1" applyBorder="1" applyAlignment="1">
      <alignment horizontal="right"/>
    </xf>
    <xf numFmtId="0" fontId="50" fillId="0" borderId="29" xfId="0" applyFont="1" applyFill="1" applyBorder="1" applyAlignment="1">
      <alignment horizontal="right"/>
    </xf>
    <xf numFmtId="0" fontId="50" fillId="0" borderId="30" xfId="0" applyFont="1" applyFill="1" applyBorder="1" applyAlignment="1">
      <alignment horizontal="right"/>
    </xf>
    <xf numFmtId="0" fontId="50" fillId="0" borderId="20" xfId="0" applyFont="1" applyFill="1" applyBorder="1"/>
    <xf numFmtId="0" fontId="50" fillId="0" borderId="28" xfId="0" applyFont="1" applyFill="1" applyBorder="1" applyAlignment="1">
      <alignment horizontal="right"/>
    </xf>
    <xf numFmtId="173" fontId="50" fillId="0" borderId="29" xfId="0" applyNumberFormat="1" applyFont="1" applyFill="1" applyBorder="1" applyAlignment="1">
      <alignment horizontal="right"/>
    </xf>
    <xf numFmtId="173" fontId="6" fillId="0" borderId="30" xfId="0" applyNumberFormat="1" applyFont="1" applyFill="1" applyBorder="1"/>
    <xf numFmtId="0" fontId="50" fillId="0" borderId="0" xfId="0" applyFont="1" applyFill="1" applyBorder="1" applyAlignment="1">
      <alignment horizontal="right"/>
    </xf>
    <xf numFmtId="0" fontId="50" fillId="0" borderId="31" xfId="0" applyFont="1" applyFill="1" applyBorder="1" applyAlignment="1">
      <alignment horizontal="right"/>
    </xf>
    <xf numFmtId="0" fontId="50" fillId="0" borderId="13" xfId="0" applyFont="1" applyFill="1" applyBorder="1" applyAlignment="1">
      <alignment horizontal="right"/>
    </xf>
    <xf numFmtId="0" fontId="50" fillId="0" borderId="12" xfId="0" applyFont="1" applyFill="1" applyBorder="1" applyAlignment="1">
      <alignment horizontal="right"/>
    </xf>
    <xf numFmtId="0" fontId="50" fillId="0" borderId="14" xfId="0" applyFont="1" applyFill="1" applyBorder="1" applyAlignment="1">
      <alignment horizontal="right"/>
    </xf>
    <xf numFmtId="0" fontId="50" fillId="0" borderId="22" xfId="0" applyFont="1" applyFill="1" applyBorder="1" applyAlignment="1">
      <alignment horizontal="right"/>
    </xf>
    <xf numFmtId="0" fontId="50" fillId="0" borderId="21" xfId="0" applyFont="1" applyFill="1" applyBorder="1" applyAlignment="1">
      <alignment horizontal="right"/>
    </xf>
    <xf numFmtId="0" fontId="50" fillId="0" borderId="32" xfId="0" applyFont="1" applyFill="1" applyBorder="1" applyAlignment="1">
      <alignment horizontal="right"/>
    </xf>
    <xf numFmtId="0" fontId="6" fillId="0" borderId="0" xfId="0" applyFont="1" applyFill="1" applyBorder="1" applyAlignment="1">
      <alignment wrapText="1"/>
    </xf>
    <xf numFmtId="0" fontId="16" fillId="0" borderId="0" xfId="56" applyFont="1" applyFill="1" applyBorder="1" applyAlignment="1">
      <alignment horizontal="left"/>
    </xf>
    <xf numFmtId="164" fontId="5" fillId="0" borderId="0" xfId="0" applyNumberFormat="1" applyFont="1" applyFill="1" applyBorder="1"/>
    <xf numFmtId="171" fontId="5" fillId="0" borderId="0" xfId="0" applyNumberFormat="1" applyFont="1" applyFill="1" applyBorder="1"/>
    <xf numFmtId="164" fontId="19" fillId="0" borderId="0" xfId="0" applyNumberFormat="1" applyFont="1" applyFill="1" applyBorder="1"/>
    <xf numFmtId="164" fontId="76" fillId="0" borderId="13" xfId="63" applyNumberFormat="1" applyFont="1" applyFill="1" applyBorder="1" applyAlignment="1">
      <alignment horizontal="center"/>
    </xf>
    <xf numFmtId="164" fontId="76" fillId="0" borderId="0" xfId="63" applyNumberFormat="1" applyFont="1" applyFill="1" applyBorder="1" applyAlignment="1">
      <alignment horizontal="center"/>
    </xf>
    <xf numFmtId="9" fontId="50" fillId="0" borderId="0" xfId="0" applyNumberFormat="1" applyFont="1"/>
    <xf numFmtId="164" fontId="50" fillId="0" borderId="0" xfId="0" applyNumberFormat="1" applyFont="1"/>
    <xf numFmtId="9" fontId="50" fillId="0" borderId="14" xfId="0" applyNumberFormat="1" applyFont="1" applyBorder="1"/>
    <xf numFmtId="164" fontId="50" fillId="16" borderId="31" xfId="63" applyNumberFormat="1" applyFont="1" applyFill="1" applyBorder="1"/>
    <xf numFmtId="171" fontId="19" fillId="0" borderId="31" xfId="0" applyNumberFormat="1" applyFont="1" applyFill="1" applyBorder="1" applyAlignment="1">
      <alignment horizontal="right"/>
    </xf>
    <xf numFmtId="0" fontId="16" fillId="0" borderId="29" xfId="0" applyFont="1" applyFill="1" applyBorder="1"/>
    <xf numFmtId="164" fontId="64" fillId="0" borderId="0" xfId="63" applyNumberFormat="1" applyFont="1" applyFill="1" applyBorder="1"/>
    <xf numFmtId="0" fontId="6" fillId="20" borderId="13" xfId="0" applyFont="1" applyFill="1" applyBorder="1" applyAlignment="1">
      <alignment horizontal="left" indent="1"/>
    </xf>
    <xf numFmtId="0" fontId="6" fillId="20" borderId="21" xfId="0" applyFont="1" applyFill="1" applyBorder="1" applyAlignment="1">
      <alignment horizontal="left" indent="1"/>
    </xf>
    <xf numFmtId="171" fontId="17" fillId="16" borderId="12" xfId="63" applyNumberFormat="1" applyFont="1" applyFill="1" applyBorder="1" applyAlignment="1">
      <alignment horizontal="center"/>
    </xf>
    <xf numFmtId="171" fontId="17" fillId="16" borderId="0" xfId="56" applyNumberFormat="1" applyFont="1" applyFill="1" applyBorder="1" applyAlignment="1">
      <alignment horizontal="left"/>
    </xf>
    <xf numFmtId="171" fontId="17" fillId="16" borderId="0" xfId="63" applyNumberFormat="1" applyFont="1" applyFill="1" applyBorder="1" applyAlignment="1">
      <alignment horizontal="center"/>
    </xf>
    <xf numFmtId="171" fontId="17" fillId="16" borderId="13" xfId="56" applyNumberFormat="1" applyFont="1" applyFill="1" applyBorder="1" applyAlignment="1">
      <alignment horizontal="center"/>
    </xf>
    <xf numFmtId="171" fontId="17" fillId="16" borderId="0" xfId="56" applyNumberFormat="1" applyFont="1" applyFill="1" applyBorder="1" applyAlignment="1">
      <alignment horizontal="center"/>
    </xf>
    <xf numFmtId="171" fontId="17" fillId="16" borderId="31" xfId="56" applyNumberFormat="1" applyFont="1" applyFill="1" applyBorder="1" applyAlignment="1">
      <alignment horizontal="center"/>
    </xf>
    <xf numFmtId="171" fontId="17" fillId="16" borderId="31" xfId="63" applyNumberFormat="1" applyFont="1" applyFill="1" applyBorder="1" applyAlignment="1">
      <alignment horizontal="center"/>
    </xf>
    <xf numFmtId="171" fontId="83" fillId="0" borderId="0" xfId="0" applyNumberFormat="1" applyFont="1"/>
    <xf numFmtId="171" fontId="16" fillId="19" borderId="21" xfId="56" applyNumberFormat="1" applyFont="1" applyFill="1" applyBorder="1" applyAlignment="1">
      <alignment horizontal="left"/>
    </xf>
    <xf numFmtId="171" fontId="16" fillId="19" borderId="14" xfId="56" applyNumberFormat="1" applyFont="1" applyFill="1" applyBorder="1" applyAlignment="1">
      <alignment horizontal="left"/>
    </xf>
    <xf numFmtId="164" fontId="16" fillId="19" borderId="21" xfId="63" applyNumberFormat="1" applyFont="1" applyFill="1" applyBorder="1" applyAlignment="1">
      <alignment horizontal="center"/>
    </xf>
    <xf numFmtId="164" fontId="16" fillId="19" borderId="32" xfId="63" applyNumberFormat="1" applyFont="1" applyFill="1" applyBorder="1" applyAlignment="1">
      <alignment horizontal="center"/>
    </xf>
    <xf numFmtId="9" fontId="5" fillId="0" borderId="0" xfId="63" applyFont="1" applyFill="1" applyBorder="1"/>
    <xf numFmtId="176" fontId="5" fillId="0" borderId="0" xfId="57" applyFont="1" applyBorder="1"/>
    <xf numFmtId="0" fontId="16" fillId="0" borderId="22" xfId="0" applyNumberFormat="1" applyFont="1" applyFill="1" applyBorder="1" applyAlignment="1">
      <alignment horizontal="center"/>
    </xf>
    <xf numFmtId="171" fontId="5" fillId="0" borderId="13" xfId="57" applyNumberFormat="1" applyFont="1" applyFill="1" applyBorder="1" applyAlignment="1">
      <alignment horizontal="left"/>
    </xf>
    <xf numFmtId="171" fontId="5" fillId="0" borderId="0" xfId="57" applyNumberFormat="1" applyFont="1" applyFill="1" applyBorder="1"/>
    <xf numFmtId="171" fontId="19" fillId="0" borderId="12" xfId="57" applyNumberFormat="1" applyFont="1" applyFill="1" applyBorder="1" applyAlignment="1">
      <alignment horizontal="right"/>
    </xf>
    <xf numFmtId="171" fontId="19" fillId="0" borderId="13" xfId="57" applyNumberFormat="1" applyFont="1" applyFill="1" applyBorder="1" applyAlignment="1">
      <alignment horizontal="right"/>
    </xf>
    <xf numFmtId="171" fontId="19" fillId="0" borderId="0" xfId="57" applyNumberFormat="1" applyFont="1" applyFill="1" applyBorder="1" applyAlignment="1">
      <alignment horizontal="right"/>
    </xf>
    <xf numFmtId="171" fontId="5" fillId="0" borderId="12" xfId="57" applyNumberFormat="1" applyFont="1" applyFill="1" applyBorder="1" applyAlignment="1">
      <alignment horizontal="right"/>
    </xf>
    <xf numFmtId="171" fontId="5" fillId="0" borderId="0" xfId="57" applyNumberFormat="1" applyFont="1" applyFill="1" applyBorder="1" applyAlignment="1">
      <alignment horizontal="right"/>
    </xf>
    <xf numFmtId="171" fontId="5" fillId="0" borderId="31" xfId="57" applyNumberFormat="1" applyFont="1" applyFill="1" applyBorder="1" applyAlignment="1">
      <alignment horizontal="right"/>
    </xf>
    <xf numFmtId="171" fontId="5" fillId="0" borderId="13" xfId="57" applyNumberFormat="1" applyFont="1" applyFill="1" applyBorder="1" applyAlignment="1">
      <alignment horizontal="right"/>
    </xf>
    <xf numFmtId="168" fontId="5" fillId="0" borderId="13" xfId="59" applyNumberFormat="1" applyFont="1" applyFill="1" applyBorder="1" applyAlignment="1">
      <alignment horizontal="left"/>
    </xf>
    <xf numFmtId="168" fontId="5" fillId="0" borderId="0" xfId="57" applyNumberFormat="1" applyFont="1" applyFill="1" applyBorder="1"/>
    <xf numFmtId="202" fontId="14" fillId="0" borderId="0" xfId="57" applyNumberFormat="1" applyFont="1" applyFill="1" applyAlignment="1">
      <alignment horizontal="left"/>
    </xf>
    <xf numFmtId="202" fontId="14" fillId="0" borderId="0" xfId="57" applyNumberFormat="1" applyFont="1" applyFill="1" applyAlignment="1">
      <alignment horizontal="center"/>
    </xf>
    <xf numFmtId="0" fontId="15" fillId="0" borderId="0" xfId="56" applyFont="1" applyFill="1" applyBorder="1" applyAlignment="1">
      <alignment horizontal="center"/>
    </xf>
    <xf numFmtId="176" fontId="14" fillId="0" borderId="0" xfId="57" applyFont="1" applyBorder="1"/>
    <xf numFmtId="164" fontId="5" fillId="0" borderId="13" xfId="57" applyNumberFormat="1" applyFont="1" applyFill="1" applyBorder="1" applyAlignment="1">
      <alignment horizontal="left"/>
    </xf>
    <xf numFmtId="164" fontId="5" fillId="0" borderId="0" xfId="57" applyNumberFormat="1" applyFont="1" applyFill="1" applyBorder="1"/>
    <xf numFmtId="164" fontId="5" fillId="0" borderId="12" xfId="57" applyNumberFormat="1" applyFont="1" applyFill="1" applyBorder="1" applyAlignment="1">
      <alignment horizontal="right"/>
    </xf>
    <xf numFmtId="164" fontId="5" fillId="0" borderId="13" xfId="57" applyNumberFormat="1" applyFont="1" applyFill="1" applyBorder="1" applyAlignment="1">
      <alignment horizontal="right"/>
    </xf>
    <xf numFmtId="164" fontId="5" fillId="0" borderId="0" xfId="57" applyNumberFormat="1" applyFont="1" applyFill="1" applyBorder="1" applyAlignment="1">
      <alignment horizontal="right"/>
    </xf>
    <xf numFmtId="164" fontId="19" fillId="0" borderId="13" xfId="57" applyNumberFormat="1" applyFont="1" applyFill="1" applyBorder="1" applyAlignment="1">
      <alignment horizontal="right"/>
    </xf>
    <xf numFmtId="164" fontId="19" fillId="0" borderId="0" xfId="57" applyNumberFormat="1" applyFont="1" applyFill="1" applyBorder="1" applyAlignment="1">
      <alignment horizontal="right"/>
    </xf>
    <xf numFmtId="164" fontId="19" fillId="0" borderId="12" xfId="57" applyNumberFormat="1" applyFont="1" applyFill="1" applyBorder="1" applyAlignment="1">
      <alignment horizontal="right"/>
    </xf>
    <xf numFmtId="164" fontId="5" fillId="0" borderId="13" xfId="59" applyNumberFormat="1" applyFont="1" applyFill="1" applyBorder="1" applyAlignment="1">
      <alignment horizontal="left"/>
    </xf>
    <xf numFmtId="164" fontId="16" fillId="0" borderId="18" xfId="57" applyNumberFormat="1" applyFont="1" applyFill="1" applyBorder="1"/>
    <xf numFmtId="164" fontId="5" fillId="0" borderId="16" xfId="57" applyNumberFormat="1" applyFont="1" applyFill="1" applyBorder="1"/>
    <xf numFmtId="164" fontId="16" fillId="0" borderId="33" xfId="57" applyNumberFormat="1" applyFont="1" applyFill="1" applyBorder="1" applyAlignment="1">
      <alignment horizontal="right"/>
    </xf>
    <xf numFmtId="164" fontId="16" fillId="0" borderId="18" xfId="57" applyNumberFormat="1" applyFont="1" applyFill="1" applyBorder="1" applyAlignment="1">
      <alignment horizontal="right"/>
    </xf>
    <xf numFmtId="164" fontId="16" fillId="0" borderId="16" xfId="57" applyNumberFormat="1" applyFont="1" applyFill="1" applyBorder="1" applyAlignment="1">
      <alignment horizontal="right"/>
    </xf>
    <xf numFmtId="164" fontId="5" fillId="0" borderId="16" xfId="57" applyNumberFormat="1" applyFont="1" applyFill="1" applyBorder="1" applyAlignment="1">
      <alignment horizontal="right"/>
    </xf>
    <xf numFmtId="164" fontId="19" fillId="0" borderId="16" xfId="57" applyNumberFormat="1" applyFont="1" applyFill="1" applyBorder="1" applyAlignment="1">
      <alignment horizontal="right"/>
    </xf>
    <xf numFmtId="171" fontId="3" fillId="0" borderId="0" xfId="63" applyNumberFormat="1" applyFont="1" applyFill="1" applyBorder="1" applyAlignment="1">
      <alignment horizontal="center"/>
    </xf>
    <xf numFmtId="171" fontId="3" fillId="0" borderId="0" xfId="56" applyNumberFormat="1" applyFont="1" applyFill="1" applyBorder="1" applyAlignment="1">
      <alignment horizontal="left"/>
    </xf>
    <xf numFmtId="171" fontId="3" fillId="0" borderId="0" xfId="56" applyNumberFormat="1" applyFont="1" applyFill="1" applyBorder="1" applyAlignment="1">
      <alignment horizontal="center"/>
    </xf>
    <xf numFmtId="171" fontId="17" fillId="16" borderId="14" xfId="63" applyNumberFormat="1" applyFont="1" applyFill="1" applyBorder="1" applyAlignment="1">
      <alignment horizontal="center"/>
    </xf>
    <xf numFmtId="171" fontId="17" fillId="16" borderId="21" xfId="56" applyNumberFormat="1" applyFont="1" applyFill="1" applyBorder="1" applyAlignment="1">
      <alignment horizontal="center"/>
    </xf>
    <xf numFmtId="171" fontId="17" fillId="16" borderId="14" xfId="56" applyNumberFormat="1" applyFont="1" applyFill="1" applyBorder="1" applyAlignment="1">
      <alignment horizontal="center"/>
    </xf>
    <xf numFmtId="171" fontId="17" fillId="16" borderId="32" xfId="63" applyNumberFormat="1" applyFont="1" applyFill="1" applyBorder="1" applyAlignment="1">
      <alignment horizontal="center"/>
    </xf>
    <xf numFmtId="171" fontId="17" fillId="16" borderId="22" xfId="63" applyNumberFormat="1" applyFont="1" applyFill="1" applyBorder="1" applyAlignment="1">
      <alignment horizontal="center"/>
    </xf>
    <xf numFmtId="171" fontId="83" fillId="0" borderId="14" xfId="0" applyNumberFormat="1" applyFont="1" applyBorder="1"/>
    <xf numFmtId="0" fontId="16" fillId="0" borderId="13" xfId="56" applyFont="1" applyFill="1" applyBorder="1" applyAlignment="1">
      <alignment horizontal="left"/>
    </xf>
    <xf numFmtId="171" fontId="3" fillId="0" borderId="13" xfId="56" applyNumberFormat="1" applyFont="1" applyFill="1" applyBorder="1" applyAlignment="1">
      <alignment horizontal="center"/>
    </xf>
    <xf numFmtId="171" fontId="3" fillId="0" borderId="12" xfId="63" applyNumberFormat="1" applyFont="1" applyFill="1" applyBorder="1" applyAlignment="1">
      <alignment horizontal="center"/>
    </xf>
    <xf numFmtId="171" fontId="10" fillId="0" borderId="0" xfId="0" applyNumberFormat="1" applyFont="1" applyFill="1" applyBorder="1"/>
    <xf numFmtId="164" fontId="5" fillId="0" borderId="13" xfId="63" applyNumberFormat="1" applyFont="1" applyFill="1" applyBorder="1"/>
    <xf numFmtId="164" fontId="5" fillId="0" borderId="14" xfId="63" applyNumberFormat="1" applyFont="1" applyFill="1" applyBorder="1"/>
    <xf numFmtId="171" fontId="5" fillId="19" borderId="13" xfId="56" applyNumberFormat="1" applyFont="1" applyFill="1" applyBorder="1" applyAlignment="1">
      <alignment horizontal="left"/>
    </xf>
    <xf numFmtId="171" fontId="5" fillId="19" borderId="0" xfId="56" applyNumberFormat="1" applyFont="1" applyFill="1" applyBorder="1" applyAlignment="1">
      <alignment horizontal="left"/>
    </xf>
    <xf numFmtId="171" fontId="17" fillId="19" borderId="12" xfId="63" applyNumberFormat="1" applyFont="1" applyFill="1" applyBorder="1" applyAlignment="1">
      <alignment horizontal="center"/>
    </xf>
    <xf numFmtId="171" fontId="17" fillId="19" borderId="0" xfId="56" applyNumberFormat="1" applyFont="1" applyFill="1" applyBorder="1" applyAlignment="1">
      <alignment horizontal="left"/>
    </xf>
    <xf numFmtId="171" fontId="17" fillId="19" borderId="0" xfId="63" applyNumberFormat="1" applyFont="1" applyFill="1" applyBorder="1" applyAlignment="1">
      <alignment horizontal="center"/>
    </xf>
    <xf numFmtId="171" fontId="17" fillId="19" borderId="13" xfId="56" applyNumberFormat="1" applyFont="1" applyFill="1" applyBorder="1" applyAlignment="1">
      <alignment horizontal="center"/>
    </xf>
    <xf numFmtId="171" fontId="17" fillId="19" borderId="0" xfId="56" applyNumberFormat="1" applyFont="1" applyFill="1" applyBorder="1" applyAlignment="1">
      <alignment horizontal="center"/>
    </xf>
    <xf numFmtId="171" fontId="17" fillId="19" borderId="31" xfId="56" applyNumberFormat="1" applyFont="1" applyFill="1" applyBorder="1" applyAlignment="1">
      <alignment horizontal="center"/>
    </xf>
    <xf numFmtId="171" fontId="17" fillId="19" borderId="31" xfId="63" applyNumberFormat="1" applyFont="1" applyFill="1" applyBorder="1" applyAlignment="1">
      <alignment horizontal="center"/>
    </xf>
    <xf numFmtId="171" fontId="83" fillId="19" borderId="0" xfId="0" applyNumberFormat="1" applyFont="1" applyFill="1"/>
    <xf numFmtId="171" fontId="5" fillId="16" borderId="14" xfId="56" applyNumberFormat="1" applyFont="1" applyFill="1" applyBorder="1" applyAlignment="1">
      <alignment horizontal="left"/>
    </xf>
    <xf numFmtId="171" fontId="17" fillId="16" borderId="14" xfId="56" applyNumberFormat="1" applyFont="1" applyFill="1" applyBorder="1" applyAlignment="1">
      <alignment horizontal="left"/>
    </xf>
    <xf numFmtId="171" fontId="17" fillId="19" borderId="12" xfId="56" applyNumberFormat="1" applyFont="1" applyFill="1" applyBorder="1" applyAlignment="1">
      <alignment horizontal="center"/>
    </xf>
    <xf numFmtId="171" fontId="83" fillId="19" borderId="0" xfId="0" applyNumberFormat="1" applyFont="1" applyFill="1" applyBorder="1"/>
    <xf numFmtId="171" fontId="3" fillId="0" borderId="31" xfId="63" applyNumberFormat="1" applyFont="1" applyFill="1" applyBorder="1" applyAlignment="1">
      <alignment horizontal="center"/>
    </xf>
    <xf numFmtId="7" fontId="19" fillId="0" borderId="13" xfId="0" applyNumberFormat="1" applyFont="1" applyFill="1" applyBorder="1" applyAlignment="1">
      <alignment horizontal="right"/>
    </xf>
    <xf numFmtId="0" fontId="5" fillId="0" borderId="13" xfId="0" applyFont="1" applyFill="1" applyBorder="1" applyAlignment="1">
      <alignment horizontal="left" indent="2"/>
    </xf>
    <xf numFmtId="0" fontId="5" fillId="0" borderId="13" xfId="0" applyFont="1" applyFill="1" applyBorder="1"/>
    <xf numFmtId="164" fontId="5" fillId="0" borderId="13" xfId="0" applyNumberFormat="1" applyFont="1" applyFill="1" applyBorder="1"/>
    <xf numFmtId="0" fontId="5" fillId="0" borderId="21" xfId="0" applyFont="1" applyFill="1" applyBorder="1"/>
    <xf numFmtId="164" fontId="5" fillId="0" borderId="21" xfId="0" applyNumberFormat="1" applyFont="1" applyFill="1" applyBorder="1"/>
    <xf numFmtId="43" fontId="14" fillId="0" borderId="0" xfId="37" applyFont="1" applyFill="1" applyBorder="1"/>
    <xf numFmtId="171" fontId="19" fillId="0" borderId="0" xfId="55" applyNumberFormat="1" applyFont="1" applyFill="1" applyBorder="1" applyAlignment="1">
      <alignment horizontal="right"/>
    </xf>
    <xf numFmtId="168" fontId="60" fillId="0" borderId="0" xfId="55" applyNumberFormat="1" applyFont="1" applyFill="1" applyBorder="1"/>
    <xf numFmtId="164" fontId="12" fillId="0" borderId="0" xfId="63" applyNumberFormat="1" applyFont="1" applyFill="1" applyBorder="1"/>
    <xf numFmtId="168" fontId="60" fillId="0" borderId="29" xfId="55" applyNumberFormat="1" applyFont="1" applyFill="1" applyBorder="1"/>
    <xf numFmtId="43" fontId="16" fillId="0" borderId="0" xfId="37" applyFont="1" applyFill="1" applyBorder="1"/>
    <xf numFmtId="168" fontId="3" fillId="0" borderId="14" xfId="55" applyNumberFormat="1" applyFont="1" applyFill="1" applyBorder="1"/>
    <xf numFmtId="14" fontId="65" fillId="16" borderId="0" xfId="0" applyNumberFormat="1" applyFont="1" applyFill="1" applyBorder="1"/>
    <xf numFmtId="164" fontId="89" fillId="0" borderId="0" xfId="63" applyNumberFormat="1" applyFont="1" applyFill="1" applyBorder="1"/>
    <xf numFmtId="173" fontId="89" fillId="0" borderId="0" xfId="0" applyNumberFormat="1" applyFont="1" applyFill="1" applyBorder="1"/>
    <xf numFmtId="43" fontId="14" fillId="0" borderId="12" xfId="37" applyFont="1" applyFill="1" applyBorder="1"/>
    <xf numFmtId="173" fontId="5" fillId="0" borderId="0" xfId="0" applyNumberFormat="1" applyFont="1" applyFill="1" applyBorder="1"/>
    <xf numFmtId="171" fontId="5" fillId="0" borderId="13" xfId="0" applyNumberFormat="1" applyFont="1" applyFill="1" applyBorder="1"/>
    <xf numFmtId="164" fontId="50" fillId="0" borderId="13" xfId="63" applyNumberFormat="1" applyFont="1" applyFill="1" applyBorder="1"/>
    <xf numFmtId="171" fontId="19" fillId="0" borderId="31" xfId="37" applyNumberFormat="1" applyFont="1" applyFill="1" applyBorder="1"/>
    <xf numFmtId="168" fontId="18" fillId="16" borderId="31" xfId="0" applyNumberFormat="1" applyFont="1" applyFill="1" applyBorder="1" applyAlignment="1">
      <alignment horizontal="right"/>
    </xf>
    <xf numFmtId="171" fontId="19" fillId="16" borderId="48" xfId="0" applyNumberFormat="1" applyFont="1" applyFill="1" applyBorder="1" applyAlignment="1">
      <alignment horizontal="right"/>
    </xf>
    <xf numFmtId="171" fontId="19" fillId="0" borderId="13" xfId="55" applyNumberFormat="1" applyFont="1" applyFill="1" applyBorder="1"/>
    <xf numFmtId="168" fontId="18" fillId="0" borderId="13" xfId="55" applyNumberFormat="1" applyFont="1" applyFill="1" applyBorder="1"/>
    <xf numFmtId="171" fontId="90" fillId="0" borderId="13" xfId="55" applyNumberFormat="1" applyFont="1" applyFill="1" applyBorder="1"/>
    <xf numFmtId="164" fontId="6" fillId="0" borderId="0" xfId="63" applyNumberFormat="1" applyFont="1" applyFill="1" applyBorder="1" applyAlignment="1">
      <alignment horizontal="right"/>
    </xf>
    <xf numFmtId="164" fontId="6" fillId="19" borderId="12" xfId="63" applyNumberFormat="1" applyFont="1" applyFill="1" applyBorder="1" applyAlignment="1">
      <alignment horizontal="right"/>
    </xf>
    <xf numFmtId="0" fontId="5" fillId="0" borderId="0" xfId="0" applyFont="1" applyFill="1" applyBorder="1" applyAlignment="1">
      <alignment horizontal="right"/>
    </xf>
    <xf numFmtId="164" fontId="5" fillId="0" borderId="0" xfId="63" applyNumberFormat="1" applyFont="1"/>
    <xf numFmtId="0" fontId="16" fillId="0" borderId="13" xfId="0" applyFont="1" applyFill="1" applyBorder="1"/>
    <xf numFmtId="39" fontId="5" fillId="0" borderId="13" xfId="0" applyNumberFormat="1" applyFont="1" applyFill="1" applyBorder="1"/>
    <xf numFmtId="0" fontId="16" fillId="19" borderId="13" xfId="0" applyFont="1" applyFill="1" applyBorder="1"/>
    <xf numFmtId="0" fontId="16" fillId="19" borderId="21" xfId="0" applyFont="1" applyFill="1" applyBorder="1"/>
    <xf numFmtId="166" fontId="50" fillId="0" borderId="20" xfId="37" applyNumberFormat="1" applyFont="1" applyBorder="1" applyAlignment="1">
      <alignment horizontal="right"/>
    </xf>
    <xf numFmtId="164" fontId="16" fillId="23" borderId="13" xfId="59" applyNumberFormat="1" applyFont="1" applyFill="1" applyBorder="1" applyAlignment="1">
      <alignment vertical="center"/>
    </xf>
    <xf numFmtId="164" fontId="5" fillId="23" borderId="0" xfId="57" applyNumberFormat="1" applyFont="1" applyFill="1" applyBorder="1"/>
    <xf numFmtId="164" fontId="5" fillId="23" borderId="13" xfId="57" applyNumberFormat="1" applyFont="1" applyFill="1" applyBorder="1"/>
    <xf numFmtId="164" fontId="5" fillId="23" borderId="12" xfId="57" applyNumberFormat="1" applyFont="1" applyFill="1" applyBorder="1"/>
    <xf numFmtId="164" fontId="5" fillId="23" borderId="31" xfId="57" applyNumberFormat="1" applyFont="1" applyFill="1" applyBorder="1"/>
    <xf numFmtId="164" fontId="16" fillId="0" borderId="13" xfId="57" applyNumberFormat="1" applyFont="1" applyFill="1" applyBorder="1"/>
    <xf numFmtId="164" fontId="16" fillId="0" borderId="0" xfId="57" applyNumberFormat="1" applyFont="1" applyFill="1" applyBorder="1" applyAlignment="1">
      <alignment horizontal="right"/>
    </xf>
    <xf numFmtId="164" fontId="16" fillId="0" borderId="13" xfId="57" applyNumberFormat="1" applyFont="1" applyFill="1" applyBorder="1" applyAlignment="1">
      <alignment horizontal="right"/>
    </xf>
    <xf numFmtId="164" fontId="16" fillId="0" borderId="12" xfId="57" applyNumberFormat="1" applyFont="1" applyFill="1" applyBorder="1" applyAlignment="1">
      <alignment horizontal="right"/>
    </xf>
    <xf numFmtId="164" fontId="18" fillId="0" borderId="13" xfId="57" applyNumberFormat="1" applyFont="1" applyFill="1" applyBorder="1" applyAlignment="1">
      <alignment horizontal="right"/>
    </xf>
    <xf numFmtId="164" fontId="18" fillId="0" borderId="0" xfId="57" applyNumberFormat="1" applyFont="1" applyFill="1" applyBorder="1" applyAlignment="1">
      <alignment horizontal="right"/>
    </xf>
    <xf numFmtId="164" fontId="18" fillId="0" borderId="12" xfId="57" applyNumberFormat="1" applyFont="1" applyFill="1" applyBorder="1" applyAlignment="1">
      <alignment horizontal="right"/>
    </xf>
    <xf numFmtId="168" fontId="16" fillId="0" borderId="28" xfId="57" applyNumberFormat="1" applyFont="1" applyFill="1" applyBorder="1"/>
    <xf numFmtId="168" fontId="5" fillId="0" borderId="29" xfId="57" applyNumberFormat="1" applyFont="1" applyFill="1" applyBorder="1"/>
    <xf numFmtId="171" fontId="16" fillId="0" borderId="20" xfId="57" applyNumberFormat="1" applyFont="1" applyFill="1" applyBorder="1" applyAlignment="1">
      <alignment horizontal="right"/>
    </xf>
    <xf numFmtId="171" fontId="16" fillId="0" borderId="30" xfId="57" applyNumberFormat="1" applyFont="1" applyFill="1" applyBorder="1" applyAlignment="1">
      <alignment horizontal="right"/>
    </xf>
    <xf numFmtId="171" fontId="5" fillId="0" borderId="29" xfId="57" applyNumberFormat="1" applyFont="1" applyFill="1" applyBorder="1" applyAlignment="1">
      <alignment horizontal="right"/>
    </xf>
    <xf numFmtId="171" fontId="16" fillId="0" borderId="28" xfId="57" applyNumberFormat="1" applyFont="1" applyFill="1" applyBorder="1" applyAlignment="1">
      <alignment horizontal="right"/>
    </xf>
    <xf numFmtId="171" fontId="16" fillId="0" borderId="29" xfId="57" applyNumberFormat="1" applyFont="1" applyFill="1" applyBorder="1" applyAlignment="1">
      <alignment horizontal="right"/>
    </xf>
    <xf numFmtId="171" fontId="66" fillId="0" borderId="28" xfId="57" applyNumberFormat="1" applyFont="1" applyFill="1" applyBorder="1" applyAlignment="1">
      <alignment horizontal="right"/>
    </xf>
    <xf numFmtId="171" fontId="66" fillId="0" borderId="29" xfId="57" applyNumberFormat="1" applyFont="1" applyFill="1" applyBorder="1" applyAlignment="1">
      <alignment horizontal="right"/>
    </xf>
    <xf numFmtId="171" fontId="66" fillId="0" borderId="30" xfId="57" applyNumberFormat="1" applyFont="1" applyFill="1" applyBorder="1" applyAlignment="1">
      <alignment horizontal="right"/>
    </xf>
    <xf numFmtId="171" fontId="76" fillId="0" borderId="29" xfId="57" applyNumberFormat="1" applyFont="1" applyFill="1" applyBorder="1" applyAlignment="1">
      <alignment horizontal="right"/>
    </xf>
    <xf numFmtId="171" fontId="66" fillId="0" borderId="20" xfId="57" applyNumberFormat="1" applyFont="1" applyFill="1" applyBorder="1" applyAlignment="1">
      <alignment horizontal="right"/>
    </xf>
    <xf numFmtId="164" fontId="16" fillId="0" borderId="28" xfId="57" applyNumberFormat="1" applyFont="1" applyFill="1" applyBorder="1"/>
    <xf numFmtId="164" fontId="5" fillId="0" borderId="29" xfId="57" applyNumberFormat="1" applyFont="1" applyFill="1" applyBorder="1"/>
    <xf numFmtId="164" fontId="16" fillId="0" borderId="20" xfId="57" applyNumberFormat="1" applyFont="1" applyFill="1" applyBorder="1" applyAlignment="1">
      <alignment horizontal="right"/>
    </xf>
    <xf numFmtId="164" fontId="16" fillId="0" borderId="28" xfId="57" applyNumberFormat="1" applyFont="1" applyFill="1" applyBorder="1" applyAlignment="1">
      <alignment horizontal="right"/>
    </xf>
    <xf numFmtId="164" fontId="16" fillId="0" borderId="29" xfId="57" applyNumberFormat="1" applyFont="1" applyFill="1" applyBorder="1" applyAlignment="1">
      <alignment horizontal="right"/>
    </xf>
    <xf numFmtId="164" fontId="5" fillId="0" borderId="29" xfId="57" applyNumberFormat="1" applyFont="1" applyFill="1" applyBorder="1" applyAlignment="1">
      <alignment horizontal="right"/>
    </xf>
    <xf numFmtId="164" fontId="19" fillId="0" borderId="29" xfId="57" applyNumberFormat="1" applyFont="1" applyFill="1" applyBorder="1" applyAlignment="1">
      <alignment horizontal="right"/>
    </xf>
    <xf numFmtId="164" fontId="18" fillId="0" borderId="28" xfId="57" applyNumberFormat="1" applyFont="1" applyFill="1" applyBorder="1" applyAlignment="1">
      <alignment horizontal="right"/>
    </xf>
    <xf numFmtId="164" fontId="18" fillId="0" borderId="29" xfId="57" applyNumberFormat="1" applyFont="1" applyFill="1" applyBorder="1" applyAlignment="1">
      <alignment horizontal="right"/>
    </xf>
    <xf numFmtId="164" fontId="18" fillId="0" borderId="20" xfId="57" applyNumberFormat="1" applyFont="1" applyFill="1" applyBorder="1" applyAlignment="1">
      <alignment horizontal="right"/>
    </xf>
    <xf numFmtId="202" fontId="14" fillId="0" borderId="13" xfId="57" applyNumberFormat="1" applyFont="1" applyFill="1" applyBorder="1" applyAlignment="1">
      <alignment horizontal="center"/>
    </xf>
    <xf numFmtId="202" fontId="14" fillId="0" borderId="12" xfId="57" applyNumberFormat="1" applyFont="1" applyFill="1" applyBorder="1" applyAlignment="1">
      <alignment horizontal="center"/>
    </xf>
    <xf numFmtId="0" fontId="6" fillId="19" borderId="21" xfId="0" applyFont="1" applyFill="1" applyBorder="1"/>
    <xf numFmtId="171" fontId="20" fillId="19" borderId="12" xfId="63" applyNumberFormat="1" applyFont="1" applyFill="1" applyBorder="1"/>
    <xf numFmtId="171" fontId="60" fillId="19" borderId="13" xfId="63" applyNumberFormat="1" applyFont="1" applyFill="1" applyBorder="1"/>
    <xf numFmtId="171" fontId="60" fillId="19" borderId="0" xfId="63" applyNumberFormat="1" applyFont="1" applyFill="1" applyBorder="1"/>
    <xf numFmtId="171" fontId="18" fillId="19" borderId="0" xfId="63" applyNumberFormat="1" applyFont="1" applyFill="1" applyBorder="1"/>
    <xf numFmtId="171" fontId="16" fillId="19" borderId="13" xfId="63" applyNumberFormat="1" applyFont="1" applyFill="1" applyBorder="1"/>
    <xf numFmtId="171" fontId="16" fillId="19" borderId="0" xfId="63" applyNumberFormat="1" applyFont="1" applyFill="1" applyBorder="1"/>
    <xf numFmtId="171" fontId="20" fillId="19" borderId="22" xfId="63" applyNumberFormat="1" applyFont="1" applyFill="1" applyBorder="1"/>
    <xf numFmtId="171" fontId="16" fillId="19" borderId="21" xfId="63" applyNumberFormat="1" applyFont="1" applyFill="1" applyBorder="1"/>
    <xf numFmtId="171" fontId="16" fillId="19" borderId="14" xfId="63" applyNumberFormat="1" applyFont="1" applyFill="1" applyBorder="1"/>
    <xf numFmtId="0" fontId="16" fillId="19" borderId="28" xfId="70" applyFont="1" applyFill="1" applyBorder="1" applyProtection="1"/>
    <xf numFmtId="177" fontId="5" fillId="19" borderId="20" xfId="0" applyNumberFormat="1" applyFont="1" applyFill="1" applyBorder="1" applyAlignment="1">
      <alignment horizontal="center"/>
    </xf>
    <xf numFmtId="0" fontId="5" fillId="19" borderId="29" xfId="0" applyFont="1" applyFill="1" applyBorder="1" applyAlignment="1">
      <alignment horizontal="center"/>
    </xf>
    <xf numFmtId="177" fontId="5" fillId="19" borderId="28" xfId="0" applyNumberFormat="1" applyFont="1" applyFill="1" applyBorder="1" applyAlignment="1">
      <alignment horizontal="center"/>
    </xf>
    <xf numFmtId="177" fontId="5" fillId="19" borderId="29" xfId="0" applyNumberFormat="1" applyFont="1" applyFill="1" applyBorder="1" applyAlignment="1">
      <alignment horizontal="center"/>
    </xf>
    <xf numFmtId="37" fontId="5" fillId="19" borderId="30" xfId="0" applyNumberFormat="1" applyFont="1" applyFill="1" applyBorder="1"/>
    <xf numFmtId="37" fontId="5" fillId="19" borderId="20" xfId="0" applyNumberFormat="1" applyFont="1" applyFill="1" applyBorder="1"/>
    <xf numFmtId="0" fontId="16" fillId="19" borderId="13" xfId="70" applyFont="1" applyFill="1" applyBorder="1" applyProtection="1"/>
    <xf numFmtId="177" fontId="5" fillId="19" borderId="12" xfId="0" applyNumberFormat="1" applyFont="1" applyFill="1" applyBorder="1" applyAlignment="1">
      <alignment horizontal="center"/>
    </xf>
    <xf numFmtId="0" fontId="5" fillId="19" borderId="0" xfId="0" applyFont="1" applyFill="1" applyBorder="1" applyAlignment="1">
      <alignment horizontal="center"/>
    </xf>
    <xf numFmtId="0" fontId="5" fillId="19" borderId="31" xfId="0" applyFont="1" applyFill="1" applyBorder="1" applyAlignment="1">
      <alignment horizontal="center"/>
    </xf>
    <xf numFmtId="177" fontId="5" fillId="19" borderId="13" xfId="0" applyNumberFormat="1" applyFont="1" applyFill="1" applyBorder="1" applyAlignment="1">
      <alignment horizontal="center"/>
    </xf>
    <xf numFmtId="177" fontId="5" fillId="19" borderId="0" xfId="0" applyNumberFormat="1" applyFont="1" applyFill="1" applyBorder="1" applyAlignment="1">
      <alignment horizontal="center"/>
    </xf>
    <xf numFmtId="37" fontId="5" fillId="19" borderId="31" xfId="0" applyNumberFormat="1" applyFont="1" applyFill="1" applyBorder="1"/>
    <xf numFmtId="37" fontId="5" fillId="19" borderId="12" xfId="0" applyNumberFormat="1" applyFont="1" applyFill="1" applyBorder="1"/>
    <xf numFmtId="171" fontId="69" fillId="0" borderId="0" xfId="0" applyNumberFormat="1" applyFont="1" applyFill="1" applyBorder="1"/>
    <xf numFmtId="0" fontId="5" fillId="19" borderId="20" xfId="0" applyFont="1" applyFill="1" applyBorder="1" applyAlignment="1">
      <alignment horizontal="center"/>
    </xf>
    <xf numFmtId="0" fontId="5" fillId="0" borderId="21" xfId="0" applyFont="1" applyBorder="1"/>
    <xf numFmtId="164" fontId="16" fillId="0" borderId="12" xfId="63" applyNumberFormat="1" applyFont="1" applyBorder="1" applyAlignment="1">
      <alignment horizontal="right"/>
    </xf>
    <xf numFmtId="0" fontId="16" fillId="0" borderId="0" xfId="0" applyFont="1" applyBorder="1" applyAlignment="1">
      <alignment horizontal="right"/>
    </xf>
    <xf numFmtId="164" fontId="16" fillId="0" borderId="13" xfId="63" applyNumberFormat="1" applyFont="1" applyBorder="1" applyAlignment="1">
      <alignment horizontal="right"/>
    </xf>
    <xf numFmtId="164" fontId="16" fillId="0" borderId="0" xfId="63" applyNumberFormat="1" applyFont="1" applyBorder="1" applyAlignment="1">
      <alignment horizontal="right"/>
    </xf>
    <xf numFmtId="164" fontId="16" fillId="0" borderId="22" xfId="63" applyNumberFormat="1" applyFont="1" applyBorder="1" applyAlignment="1">
      <alignment horizontal="right"/>
    </xf>
    <xf numFmtId="0" fontId="16" fillId="0" borderId="14" xfId="0" applyFont="1" applyBorder="1" applyAlignment="1">
      <alignment horizontal="right"/>
    </xf>
    <xf numFmtId="164" fontId="16" fillId="0" borderId="21" xfId="63" applyNumberFormat="1" applyFont="1" applyBorder="1" applyAlignment="1">
      <alignment horizontal="right"/>
    </xf>
    <xf numFmtId="164" fontId="16" fillId="0" borderId="14" xfId="63" applyNumberFormat="1" applyFont="1" applyBorder="1" applyAlignment="1">
      <alignment horizontal="right"/>
    </xf>
    <xf numFmtId="164" fontId="16" fillId="0" borderId="13" xfId="63" quotePrefix="1" applyNumberFormat="1" applyFont="1" applyBorder="1" applyAlignment="1">
      <alignment horizontal="right"/>
    </xf>
    <xf numFmtId="164" fontId="5" fillId="0" borderId="0" xfId="63" quotePrefix="1" applyNumberFormat="1" applyFont="1" applyBorder="1" applyAlignment="1">
      <alignment horizontal="right"/>
    </xf>
    <xf numFmtId="164" fontId="16" fillId="0" borderId="0" xfId="63" quotePrefix="1" applyNumberFormat="1" applyFont="1" applyBorder="1" applyAlignment="1">
      <alignment horizontal="right"/>
    </xf>
    <xf numFmtId="164" fontId="5" fillId="0" borderId="13" xfId="63" quotePrefix="1" applyNumberFormat="1" applyFont="1" applyBorder="1" applyAlignment="1">
      <alignment horizontal="right"/>
    </xf>
    <xf numFmtId="0" fontId="16" fillId="0" borderId="13" xfId="70" applyFont="1" applyFill="1" applyBorder="1" applyProtection="1"/>
    <xf numFmtId="177" fontId="5" fillId="0" borderId="13" xfId="0" applyNumberFormat="1" applyFont="1" applyFill="1" applyBorder="1" applyAlignment="1">
      <alignment horizontal="center"/>
    </xf>
    <xf numFmtId="37" fontId="5" fillId="0" borderId="0" xfId="0" applyNumberFormat="1" applyFont="1" applyFill="1" applyBorder="1"/>
    <xf numFmtId="37" fontId="5" fillId="0" borderId="12" xfId="0" applyNumberFormat="1" applyFont="1" applyFill="1" applyBorder="1"/>
    <xf numFmtId="0" fontId="23" fillId="0" borderId="13" xfId="0" applyFont="1" applyFill="1" applyBorder="1"/>
    <xf numFmtId="164" fontId="6" fillId="0" borderId="13" xfId="63" applyNumberFormat="1" applyFont="1" applyFill="1" applyBorder="1" applyAlignment="1">
      <alignment horizontal="right"/>
    </xf>
    <xf numFmtId="164" fontId="50" fillId="0" borderId="31" xfId="63" applyNumberFormat="1" applyFont="1" applyFill="1" applyBorder="1"/>
    <xf numFmtId="164" fontId="19" fillId="0" borderId="12" xfId="63" applyNumberFormat="1" applyFont="1" applyFill="1" applyBorder="1" applyAlignment="1">
      <alignment horizontal="center"/>
    </xf>
    <xf numFmtId="164" fontId="19" fillId="0" borderId="0" xfId="63" applyNumberFormat="1" applyFont="1" applyFill="1" applyBorder="1" applyAlignment="1">
      <alignment horizontal="center"/>
    </xf>
    <xf numFmtId="44" fontId="5" fillId="0" borderId="0" xfId="39" applyFont="1" applyFill="1" applyBorder="1"/>
    <xf numFmtId="0" fontId="5" fillId="0" borderId="11" xfId="55" applyFont="1" applyFill="1" applyBorder="1"/>
    <xf numFmtId="43" fontId="5" fillId="0" borderId="0" xfId="55" applyNumberFormat="1" applyFont="1" applyFill="1" applyBorder="1"/>
    <xf numFmtId="41" fontId="5" fillId="0" borderId="0" xfId="55" applyNumberFormat="1" applyFont="1" applyFill="1" applyBorder="1"/>
    <xf numFmtId="0" fontId="11" fillId="0" borderId="14" xfId="0" applyFont="1" applyFill="1" applyBorder="1"/>
    <xf numFmtId="167" fontId="6" fillId="0" borderId="0" xfId="0" applyNumberFormat="1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44" fontId="6" fillId="0" borderId="0" xfId="0" applyNumberFormat="1" applyFont="1" applyFill="1" applyBorder="1" applyAlignment="1">
      <alignment vertical="center"/>
    </xf>
    <xf numFmtId="9" fontId="5" fillId="0" borderId="0" xfId="39" applyNumberFormat="1" applyFont="1" applyFill="1" applyBorder="1"/>
    <xf numFmtId="165" fontId="5" fillId="0" borderId="0" xfId="55" applyNumberFormat="1" applyFont="1" applyFill="1" applyBorder="1"/>
    <xf numFmtId="169" fontId="5" fillId="0" borderId="11" xfId="55" applyNumberFormat="1" applyFont="1" applyFill="1" applyBorder="1"/>
    <xf numFmtId="43" fontId="5" fillId="0" borderId="11" xfId="55" applyNumberFormat="1" applyFont="1" applyFill="1" applyBorder="1"/>
    <xf numFmtId="8" fontId="5" fillId="0" borderId="11" xfId="55" applyNumberFormat="1" applyFont="1" applyFill="1" applyBorder="1"/>
    <xf numFmtId="164" fontId="5" fillId="0" borderId="11" xfId="55" applyNumberFormat="1" applyFont="1" applyFill="1" applyBorder="1"/>
    <xf numFmtId="44" fontId="5" fillId="0" borderId="11" xfId="55" applyNumberFormat="1" applyFont="1" applyFill="1" applyBorder="1"/>
    <xf numFmtId="168" fontId="5" fillId="0" borderId="11" xfId="55" applyNumberFormat="1" applyFont="1" applyFill="1" applyBorder="1"/>
    <xf numFmtId="9" fontId="5" fillId="0" borderId="11" xfId="55" applyNumberFormat="1" applyFont="1" applyFill="1" applyBorder="1"/>
    <xf numFmtId="164" fontId="14" fillId="0" borderId="0" xfId="39" applyNumberFormat="1" applyFont="1" applyFill="1" applyBorder="1"/>
    <xf numFmtId="44" fontId="14" fillId="0" borderId="0" xfId="39" applyFont="1" applyFill="1" applyBorder="1"/>
    <xf numFmtId="9" fontId="14" fillId="0" borderId="0" xfId="63" applyFont="1" applyFill="1" applyBorder="1"/>
    <xf numFmtId="0" fontId="63" fillId="0" borderId="22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right"/>
    </xf>
    <xf numFmtId="164" fontId="6" fillId="0" borderId="12" xfId="63" applyNumberFormat="1" applyFont="1" applyFill="1" applyBorder="1" applyAlignment="1">
      <alignment horizontal="right"/>
    </xf>
    <xf numFmtId="164" fontId="50" fillId="0" borderId="12" xfId="63" applyNumberFormat="1" applyFont="1" applyFill="1" applyBorder="1" applyAlignment="1">
      <alignment horizontal="right"/>
    </xf>
    <xf numFmtId="164" fontId="19" fillId="0" borderId="0" xfId="63" applyNumberFormat="1" applyFont="1" applyFill="1" applyBorder="1" applyAlignment="1">
      <alignment horizontal="right"/>
    </xf>
    <xf numFmtId="0" fontId="94" fillId="0" borderId="0" xfId="0" applyFont="1" applyFill="1" applyBorder="1"/>
    <xf numFmtId="0" fontId="94" fillId="0" borderId="12" xfId="0" applyFont="1" applyFill="1" applyBorder="1"/>
    <xf numFmtId="0" fontId="94" fillId="0" borderId="13" xfId="0" applyFont="1" applyFill="1" applyBorder="1"/>
    <xf numFmtId="0" fontId="94" fillId="0" borderId="0" xfId="0" applyFont="1" applyFill="1" applyBorder="1" applyAlignment="1">
      <alignment horizontal="right"/>
    </xf>
    <xf numFmtId="171" fontId="94" fillId="0" borderId="0" xfId="0" applyNumberFormat="1" applyFont="1" applyFill="1" applyBorder="1" applyAlignment="1">
      <alignment horizontal="right"/>
    </xf>
    <xf numFmtId="0" fontId="94" fillId="0" borderId="0" xfId="0" applyFont="1" applyFill="1"/>
    <xf numFmtId="0" fontId="96" fillId="0" borderId="13" xfId="0" applyFont="1" applyFill="1" applyBorder="1"/>
    <xf numFmtId="171" fontId="94" fillId="0" borderId="12" xfId="0" applyNumberFormat="1" applyFont="1" applyFill="1" applyBorder="1"/>
    <xf numFmtId="171" fontId="94" fillId="0" borderId="13" xfId="0" applyNumberFormat="1" applyFont="1" applyFill="1" applyBorder="1"/>
    <xf numFmtId="171" fontId="94" fillId="0" borderId="0" xfId="0" applyNumberFormat="1" applyFont="1" applyFill="1" applyBorder="1"/>
    <xf numFmtId="9" fontId="94" fillId="0" borderId="12" xfId="63" applyFont="1" applyFill="1" applyBorder="1"/>
    <xf numFmtId="9" fontId="94" fillId="0" borderId="13" xfId="63" applyFont="1" applyFill="1" applyBorder="1"/>
    <xf numFmtId="9" fontId="94" fillId="0" borderId="0" xfId="63" applyFont="1" applyFill="1" applyBorder="1"/>
    <xf numFmtId="164" fontId="5" fillId="0" borderId="13" xfId="0" applyNumberFormat="1" applyFont="1" applyFill="1" applyBorder="1" applyAlignment="1">
      <alignment horizontal="right"/>
    </xf>
    <xf numFmtId="9" fontId="94" fillId="0" borderId="0" xfId="63" applyFont="1" applyFill="1" applyBorder="1" applyAlignment="1">
      <alignment horizontal="right"/>
    </xf>
    <xf numFmtId="9" fontId="94" fillId="0" borderId="12" xfId="63" applyFont="1" applyFill="1" applyBorder="1" applyAlignment="1">
      <alignment horizontal="right"/>
    </xf>
    <xf numFmtId="9" fontId="94" fillId="0" borderId="13" xfId="63" applyFont="1" applyFill="1" applyBorder="1" applyAlignment="1">
      <alignment horizontal="right"/>
    </xf>
    <xf numFmtId="0" fontId="6" fillId="0" borderId="67" xfId="0" applyFont="1" applyFill="1" applyBorder="1"/>
    <xf numFmtId="0" fontId="6" fillId="0" borderId="68" xfId="0" applyFont="1" applyBorder="1"/>
    <xf numFmtId="0" fontId="6" fillId="0" borderId="69" xfId="0" applyFont="1" applyBorder="1"/>
    <xf numFmtId="0" fontId="6" fillId="0" borderId="67" xfId="0" applyFont="1" applyBorder="1"/>
    <xf numFmtId="171" fontId="50" fillId="0" borderId="69" xfId="0" applyNumberFormat="1" applyFont="1" applyBorder="1"/>
    <xf numFmtId="171" fontId="50" fillId="0" borderId="67" xfId="0" applyNumberFormat="1" applyFont="1" applyBorder="1"/>
    <xf numFmtId="171" fontId="50" fillId="0" borderId="68" xfId="0" applyNumberFormat="1" applyFont="1" applyBorder="1"/>
    <xf numFmtId="171" fontId="6" fillId="0" borderId="69" xfId="0" applyNumberFormat="1" applyFont="1" applyBorder="1"/>
    <xf numFmtId="171" fontId="6" fillId="0" borderId="68" xfId="0" applyNumberFormat="1" applyFont="1" applyBorder="1"/>
    <xf numFmtId="171" fontId="50" fillId="0" borderId="68" xfId="0" applyNumberFormat="1" applyFont="1" applyFill="1" applyBorder="1"/>
    <xf numFmtId="171" fontId="6" fillId="0" borderId="67" xfId="0" applyNumberFormat="1" applyFont="1" applyBorder="1"/>
    <xf numFmtId="173" fontId="50" fillId="0" borderId="31" xfId="0" applyNumberFormat="1" applyFont="1" applyFill="1" applyBorder="1"/>
    <xf numFmtId="164" fontId="13" fillId="0" borderId="13" xfId="58" applyNumberFormat="1" applyFont="1" applyFill="1" applyBorder="1" applyAlignment="1">
      <alignment horizontal="left" indent="1"/>
    </xf>
    <xf numFmtId="0" fontId="18" fillId="0" borderId="13" xfId="0" applyFont="1" applyFill="1" applyBorder="1"/>
    <xf numFmtId="164" fontId="5" fillId="0" borderId="13" xfId="58" applyNumberFormat="1" applyFont="1" applyFill="1" applyBorder="1" applyAlignment="1">
      <alignment horizontal="left" indent="1"/>
    </xf>
    <xf numFmtId="175" fontId="50" fillId="0" borderId="13" xfId="37" applyNumberFormat="1" applyFont="1" applyFill="1" applyBorder="1" applyAlignment="1">
      <alignment horizontal="right"/>
    </xf>
    <xf numFmtId="175" fontId="50" fillId="0" borderId="0" xfId="37" applyNumberFormat="1" applyFont="1" applyFill="1" applyBorder="1" applyAlignment="1">
      <alignment horizontal="right"/>
    </xf>
    <xf numFmtId="171" fontId="60" fillId="0" borderId="30" xfId="0" applyNumberFormat="1" applyFont="1" applyFill="1" applyBorder="1"/>
    <xf numFmtId="171" fontId="16" fillId="0" borderId="20" xfId="0" applyNumberFormat="1" applyFont="1" applyFill="1" applyBorder="1"/>
    <xf numFmtId="171" fontId="60" fillId="0" borderId="28" xfId="0" applyNumberFormat="1" applyFont="1" applyFill="1" applyBorder="1"/>
    <xf numFmtId="171" fontId="60" fillId="0" borderId="29" xfId="0" applyNumberFormat="1" applyFont="1" applyFill="1" applyBorder="1"/>
    <xf numFmtId="171" fontId="18" fillId="0" borderId="29" xfId="0" applyNumberFormat="1" applyFont="1" applyFill="1" applyBorder="1"/>
    <xf numFmtId="164" fontId="91" fillId="0" borderId="0" xfId="63" applyNumberFormat="1" applyFont="1" applyFill="1" applyBorder="1" applyAlignment="1">
      <alignment vertical="center"/>
    </xf>
    <xf numFmtId="0" fontId="16" fillId="0" borderId="20" xfId="0" applyFont="1" applyFill="1" applyBorder="1"/>
    <xf numFmtId="164" fontId="13" fillId="0" borderId="12" xfId="58" applyNumberFormat="1" applyFont="1" applyFill="1" applyBorder="1" applyAlignment="1">
      <alignment horizontal="left" indent="1"/>
    </xf>
    <xf numFmtId="164" fontId="5" fillId="0" borderId="12" xfId="58" applyNumberFormat="1" applyFont="1" applyFill="1" applyBorder="1" applyAlignment="1">
      <alignment horizontal="left" indent="1"/>
    </xf>
    <xf numFmtId="164" fontId="13" fillId="0" borderId="12" xfId="58" quotePrefix="1" applyNumberFormat="1" applyFont="1" applyFill="1" applyBorder="1" applyAlignment="1">
      <alignment horizontal="left" indent="1"/>
    </xf>
    <xf numFmtId="164" fontId="5" fillId="0" borderId="12" xfId="58" quotePrefix="1" applyNumberFormat="1" applyFont="1" applyFill="1" applyBorder="1" applyAlignment="1">
      <alignment horizontal="left" indent="1"/>
    </xf>
    <xf numFmtId="164" fontId="13" fillId="0" borderId="22" xfId="58" applyNumberFormat="1" applyFont="1" applyFill="1" applyBorder="1" applyAlignment="1">
      <alignment horizontal="left" indent="1"/>
    </xf>
    <xf numFmtId="177" fontId="5" fillId="19" borderId="30" xfId="0" applyNumberFormat="1" applyFont="1" applyFill="1" applyBorder="1" applyAlignment="1">
      <alignment horizontal="center"/>
    </xf>
    <xf numFmtId="177" fontId="5" fillId="19" borderId="31" xfId="0" applyNumberFormat="1" applyFont="1" applyFill="1" applyBorder="1" applyAlignment="1">
      <alignment horizontal="center"/>
    </xf>
    <xf numFmtId="171" fontId="94" fillId="16" borderId="13" xfId="0" applyNumberFormat="1" applyFont="1" applyFill="1" applyBorder="1" applyAlignment="1">
      <alignment horizontal="left"/>
    </xf>
    <xf numFmtId="0" fontId="15" fillId="25" borderId="18" xfId="70" applyFont="1" applyFill="1" applyBorder="1" applyProtection="1"/>
    <xf numFmtId="177" fontId="2" fillId="25" borderId="16" xfId="0" applyNumberFormat="1" applyFont="1" applyFill="1" applyBorder="1" applyAlignment="1">
      <alignment horizontal="center"/>
    </xf>
    <xf numFmtId="0" fontId="2" fillId="25" borderId="16" xfId="0" applyFont="1" applyFill="1" applyBorder="1" applyAlignment="1">
      <alignment horizontal="center"/>
    </xf>
    <xf numFmtId="37" fontId="2" fillId="25" borderId="19" xfId="0" applyNumberFormat="1" applyFont="1" applyFill="1" applyBorder="1"/>
    <xf numFmtId="164" fontId="0" fillId="0" borderId="0" xfId="63" applyNumberFormat="1" applyFont="1"/>
    <xf numFmtId="164" fontId="19" fillId="16" borderId="13" xfId="56" quotePrefix="1" applyNumberFormat="1" applyFont="1" applyFill="1" applyBorder="1" applyAlignment="1">
      <alignment horizontal="center"/>
    </xf>
    <xf numFmtId="164" fontId="16" fillId="0" borderId="0" xfId="63" applyNumberFormat="1" applyFont="1" applyFill="1" applyBorder="1" applyAlignment="1">
      <alignment horizontal="center"/>
    </xf>
    <xf numFmtId="164" fontId="16" fillId="0" borderId="0" xfId="56" applyNumberFormat="1" applyFont="1" applyFill="1" applyBorder="1" applyAlignment="1">
      <alignment horizontal="center"/>
    </xf>
    <xf numFmtId="0" fontId="11" fillId="0" borderId="0" xfId="56" applyFill="1" applyBorder="1"/>
    <xf numFmtId="4" fontId="6" fillId="0" borderId="0" xfId="0" applyNumberFormat="1" applyFont="1"/>
    <xf numFmtId="203" fontId="6" fillId="0" borderId="0" xfId="0" applyNumberFormat="1" applyFont="1"/>
    <xf numFmtId="9" fontId="94" fillId="0" borderId="31" xfId="63" applyFont="1" applyFill="1" applyBorder="1"/>
    <xf numFmtId="9" fontId="17" fillId="16" borderId="0" xfId="55" applyNumberFormat="1" applyFont="1" applyFill="1" applyBorder="1"/>
    <xf numFmtId="7" fontId="80" fillId="0" borderId="13" xfId="55" applyNumberFormat="1" applyFont="1" applyFill="1" applyBorder="1" applyAlignment="1">
      <alignment horizontal="right"/>
    </xf>
    <xf numFmtId="7" fontId="80" fillId="0" borderId="0" xfId="55" applyNumberFormat="1" applyFont="1" applyFill="1" applyBorder="1" applyAlignment="1">
      <alignment horizontal="right"/>
    </xf>
    <xf numFmtId="7" fontId="80" fillId="0" borderId="31" xfId="55" applyNumberFormat="1" applyFont="1" applyFill="1" applyBorder="1" applyAlignment="1">
      <alignment horizontal="right"/>
    </xf>
    <xf numFmtId="7" fontId="13" fillId="0" borderId="0" xfId="55" applyNumberFormat="1" applyFont="1" applyFill="1" applyBorder="1" applyAlignment="1">
      <alignment horizontal="right"/>
    </xf>
    <xf numFmtId="9" fontId="90" fillId="0" borderId="13" xfId="63" applyNumberFormat="1" applyFont="1" applyFill="1" applyBorder="1"/>
    <xf numFmtId="9" fontId="90" fillId="0" borderId="0" xfId="0" applyNumberFormat="1" applyFont="1" applyFill="1" applyBorder="1" applyAlignment="1">
      <alignment horizontal="right"/>
    </xf>
    <xf numFmtId="9" fontId="90" fillId="0" borderId="13" xfId="63" applyNumberFormat="1" applyFont="1" applyFill="1" applyBorder="1" applyAlignment="1">
      <alignment horizontal="right"/>
    </xf>
    <xf numFmtId="9" fontId="90" fillId="0" borderId="0" xfId="0" applyNumberFormat="1" applyFont="1" applyFill="1" applyBorder="1"/>
    <xf numFmtId="9" fontId="90" fillId="0" borderId="0" xfId="63" applyNumberFormat="1" applyFont="1" applyFill="1" applyBorder="1" applyAlignment="1">
      <alignment horizontal="right"/>
    </xf>
    <xf numFmtId="9" fontId="90" fillId="0" borderId="21" xfId="0" applyNumberFormat="1" applyFont="1" applyFill="1" applyBorder="1"/>
    <xf numFmtId="9" fontId="90" fillId="0" borderId="14" xfId="0" applyNumberFormat="1" applyFont="1" applyFill="1" applyBorder="1"/>
    <xf numFmtId="9" fontId="90" fillId="0" borderId="0" xfId="0" applyNumberFormat="1" applyFont="1"/>
    <xf numFmtId="9" fontId="90" fillId="0" borderId="0" xfId="0" applyNumberFormat="1" applyFont="1" applyAlignment="1">
      <alignment horizontal="right"/>
    </xf>
    <xf numFmtId="9" fontId="90" fillId="0" borderId="14" xfId="0" applyNumberFormat="1" applyFont="1" applyBorder="1" applyAlignment="1">
      <alignment horizontal="right"/>
    </xf>
    <xf numFmtId="9" fontId="6" fillId="0" borderId="0" xfId="0" applyNumberFormat="1" applyFont="1"/>
    <xf numFmtId="9" fontId="90" fillId="0" borderId="12" xfId="0" applyNumberFormat="1" applyFont="1" applyFill="1" applyBorder="1"/>
    <xf numFmtId="9" fontId="90" fillId="0" borderId="22" xfId="0" applyNumberFormat="1" applyFont="1" applyFill="1" applyBorder="1"/>
    <xf numFmtId="9" fontId="6" fillId="0" borderId="22" xfId="0" applyNumberFormat="1" applyFont="1" applyBorder="1"/>
    <xf numFmtId="9" fontId="19" fillId="0" borderId="12" xfId="0" applyNumberFormat="1" applyFont="1" applyFill="1" applyBorder="1"/>
    <xf numFmtId="9" fontId="19" fillId="0" borderId="22" xfId="0" applyNumberFormat="1" applyFont="1" applyFill="1" applyBorder="1"/>
    <xf numFmtId="0" fontId="15" fillId="18" borderId="20" xfId="70" applyFont="1" applyFill="1" applyBorder="1" applyProtection="1"/>
    <xf numFmtId="171" fontId="5" fillId="23" borderId="12" xfId="54" applyNumberFormat="1" applyFont="1" applyFill="1" applyBorder="1"/>
    <xf numFmtId="171" fontId="5" fillId="23" borderId="22" xfId="54" applyNumberFormat="1" applyFont="1" applyFill="1" applyBorder="1"/>
    <xf numFmtId="37" fontId="5" fillId="23" borderId="0" xfId="0" applyNumberFormat="1" applyFont="1" applyFill="1" applyBorder="1" applyAlignment="1">
      <alignment horizontal="right"/>
    </xf>
    <xf numFmtId="37" fontId="5" fillId="23" borderId="12" xfId="0" applyNumberFormat="1" applyFont="1" applyFill="1" applyBorder="1" applyAlignment="1">
      <alignment horizontal="right"/>
    </xf>
    <xf numFmtId="37" fontId="5" fillId="23" borderId="28" xfId="0" applyNumberFormat="1" applyFont="1" applyFill="1" applyBorder="1" applyAlignment="1">
      <alignment horizontal="right"/>
    </xf>
    <xf numFmtId="37" fontId="5" fillId="23" borderId="29" xfId="0" applyNumberFormat="1" applyFont="1" applyFill="1" applyBorder="1" applyAlignment="1">
      <alignment horizontal="right"/>
    </xf>
    <xf numFmtId="37" fontId="5" fillId="23" borderId="31" xfId="0" applyNumberFormat="1" applyFont="1" applyFill="1" applyBorder="1" applyAlignment="1">
      <alignment horizontal="right"/>
    </xf>
    <xf numFmtId="37" fontId="5" fillId="23" borderId="13" xfId="0" applyNumberFormat="1" applyFont="1" applyFill="1" applyBorder="1" applyAlignment="1">
      <alignment horizontal="right"/>
    </xf>
    <xf numFmtId="37" fontId="5" fillId="23" borderId="14" xfId="0" applyNumberFormat="1" applyFont="1" applyFill="1" applyBorder="1" applyAlignment="1">
      <alignment horizontal="right"/>
    </xf>
    <xf numFmtId="7" fontId="5" fillId="23" borderId="22" xfId="39" applyNumberFormat="1" applyFont="1" applyFill="1" applyBorder="1" applyAlignment="1">
      <alignment horizontal="right"/>
    </xf>
    <xf numFmtId="7" fontId="5" fillId="23" borderId="21" xfId="39" applyNumberFormat="1" applyFont="1" applyFill="1" applyBorder="1" applyAlignment="1">
      <alignment horizontal="right"/>
    </xf>
    <xf numFmtId="7" fontId="5" fillId="23" borderId="14" xfId="39" applyNumberFormat="1" applyFont="1" applyFill="1" applyBorder="1" applyAlignment="1">
      <alignment horizontal="right"/>
    </xf>
    <xf numFmtId="7" fontId="5" fillId="23" borderId="32" xfId="39" applyNumberFormat="1" applyFont="1" applyFill="1" applyBorder="1" applyAlignment="1">
      <alignment horizontal="right"/>
    </xf>
    <xf numFmtId="9" fontId="5" fillId="0" borderId="31" xfId="0" applyNumberFormat="1" applyFont="1" applyFill="1" applyBorder="1" applyAlignment="1">
      <alignment horizontal="right"/>
    </xf>
    <xf numFmtId="9" fontId="5" fillId="0" borderId="67" xfId="0" applyNumberFormat="1" applyFont="1" applyFill="1" applyBorder="1" applyAlignment="1">
      <alignment horizontal="right"/>
    </xf>
    <xf numFmtId="9" fontId="5" fillId="0" borderId="68" xfId="0" applyNumberFormat="1" applyFont="1" applyFill="1" applyBorder="1" applyAlignment="1">
      <alignment horizontal="right"/>
    </xf>
    <xf numFmtId="9" fontId="5" fillId="0" borderId="70" xfId="0" applyNumberFormat="1" applyFont="1" applyFill="1" applyBorder="1" applyAlignment="1">
      <alignment horizontal="right"/>
    </xf>
    <xf numFmtId="171" fontId="17" fillId="26" borderId="0" xfId="55" applyNumberFormat="1" applyFont="1" applyFill="1" applyBorder="1"/>
    <xf numFmtId="164" fontId="17" fillId="26" borderId="0" xfId="63" applyNumberFormat="1" applyFont="1" applyFill="1" applyBorder="1"/>
    <xf numFmtId="191" fontId="17" fillId="26" borderId="0" xfId="55" applyNumberFormat="1" applyFont="1" applyFill="1" applyBorder="1"/>
    <xf numFmtId="164" fontId="3" fillId="26" borderId="0" xfId="63" applyNumberFormat="1" applyFont="1" applyFill="1" applyBorder="1"/>
    <xf numFmtId="0" fontId="0" fillId="19" borderId="0" xfId="0" applyFill="1" applyBorder="1"/>
    <xf numFmtId="44" fontId="16" fillId="19" borderId="12" xfId="39" applyFont="1" applyFill="1" applyBorder="1" applyAlignment="1">
      <alignment horizontal="right"/>
    </xf>
    <xf numFmtId="44" fontId="16" fillId="19" borderId="0" xfId="39" applyFont="1" applyFill="1" applyBorder="1"/>
    <xf numFmtId="44" fontId="16" fillId="19" borderId="13" xfId="39" applyFont="1" applyFill="1" applyBorder="1" applyAlignment="1">
      <alignment horizontal="right"/>
    </xf>
    <xf numFmtId="44" fontId="16" fillId="19" borderId="0" xfId="39" applyFont="1" applyFill="1" applyBorder="1" applyAlignment="1">
      <alignment horizontal="right"/>
    </xf>
    <xf numFmtId="44" fontId="16" fillId="19" borderId="31" xfId="39" applyFont="1" applyFill="1" applyBorder="1"/>
    <xf numFmtId="44" fontId="16" fillId="19" borderId="12" xfId="39" applyFont="1" applyFill="1" applyBorder="1"/>
    <xf numFmtId="44" fontId="16" fillId="19" borderId="0" xfId="39" applyNumberFormat="1" applyFont="1" applyFill="1" applyBorder="1" applyAlignment="1">
      <alignment horizontal="right"/>
    </xf>
    <xf numFmtId="44" fontId="16" fillId="19" borderId="12" xfId="39" applyNumberFormat="1" applyFont="1" applyFill="1" applyBorder="1" applyAlignment="1">
      <alignment horizontal="right"/>
    </xf>
    <xf numFmtId="9" fontId="5" fillId="0" borderId="0" xfId="0" applyNumberFormat="1" applyFont="1" applyFill="1" applyBorder="1"/>
    <xf numFmtId="9" fontId="0" fillId="0" borderId="0" xfId="0" applyNumberFormat="1"/>
    <xf numFmtId="171" fontId="5" fillId="0" borderId="31" xfId="55" applyNumberFormat="1" applyFont="1" applyFill="1" applyBorder="1"/>
    <xf numFmtId="171" fontId="5" fillId="0" borderId="12" xfId="55" applyNumberFormat="1" applyFont="1" applyFill="1" applyBorder="1" applyAlignment="1">
      <alignment horizontal="left" indent="1"/>
    </xf>
    <xf numFmtId="171" fontId="16" fillId="0" borderId="22" xfId="55" applyNumberFormat="1" applyFont="1" applyFill="1" applyBorder="1"/>
    <xf numFmtId="171" fontId="5" fillId="0" borderId="12" xfId="55" applyNumberFormat="1" applyFont="1" applyFill="1" applyBorder="1" applyAlignment="1"/>
    <xf numFmtId="0" fontId="13" fillId="0" borderId="12" xfId="58" applyFont="1" applyFill="1" applyBorder="1" applyAlignment="1">
      <alignment horizontal="left" indent="1"/>
    </xf>
    <xf numFmtId="9" fontId="58" fillId="0" borderId="0" xfId="64" applyFont="1" applyFill="1" applyBorder="1"/>
    <xf numFmtId="9" fontId="86" fillId="0" borderId="0" xfId="64" applyFont="1" applyFill="1" applyBorder="1" applyAlignment="1">
      <alignment horizontal="left"/>
    </xf>
    <xf numFmtId="9" fontId="62" fillId="0" borderId="0" xfId="64" applyFont="1" applyFill="1"/>
    <xf numFmtId="9" fontId="86" fillId="21" borderId="0" xfId="64" applyFont="1" applyFill="1" applyBorder="1" applyAlignment="1">
      <alignment horizontal="right"/>
    </xf>
    <xf numFmtId="9" fontId="62" fillId="0" borderId="0" xfId="64" applyFont="1" applyFill="1" applyAlignment="1">
      <alignment horizontal="left"/>
    </xf>
    <xf numFmtId="9" fontId="62" fillId="22" borderId="0" xfId="64" applyFont="1" applyFill="1" applyAlignment="1">
      <alignment horizontal="left"/>
    </xf>
    <xf numFmtId="0" fontId="62" fillId="0" borderId="0" xfId="50" applyFont="1"/>
    <xf numFmtId="171" fontId="58" fillId="0" borderId="0" xfId="0" applyNumberFormat="1" applyFont="1" applyFill="1"/>
    <xf numFmtId="0" fontId="58" fillId="0" borderId="0" xfId="0" applyFont="1" applyFill="1" applyBorder="1"/>
    <xf numFmtId="9" fontId="58" fillId="23" borderId="0" xfId="64" applyFont="1" applyFill="1"/>
    <xf numFmtId="9" fontId="5" fillId="0" borderId="69" xfId="0" applyNumberFormat="1" applyFont="1" applyFill="1" applyBorder="1" applyAlignment="1">
      <alignment horizontal="right"/>
    </xf>
    <xf numFmtId="171" fontId="16" fillId="0" borderId="20" xfId="55" applyNumberFormat="1" applyFont="1" applyFill="1" applyBorder="1"/>
    <xf numFmtId="168" fontId="16" fillId="0" borderId="13" xfId="55" applyNumberFormat="1" applyFont="1" applyFill="1" applyBorder="1"/>
    <xf numFmtId="168" fontId="3" fillId="0" borderId="13" xfId="55" applyNumberFormat="1" applyFont="1" applyFill="1" applyBorder="1"/>
    <xf numFmtId="168" fontId="13" fillId="0" borderId="0" xfId="55" applyNumberFormat="1" applyFont="1" applyFill="1" applyBorder="1"/>
    <xf numFmtId="168" fontId="66" fillId="0" borderId="29" xfId="55" applyNumberFormat="1" applyFont="1" applyFill="1" applyBorder="1"/>
    <xf numFmtId="168" fontId="66" fillId="0" borderId="30" xfId="55" applyNumberFormat="1" applyFont="1" applyFill="1" applyBorder="1"/>
    <xf numFmtId="168" fontId="66" fillId="0" borderId="28" xfId="55" applyNumberFormat="1" applyFont="1" applyFill="1" applyBorder="1"/>
    <xf numFmtId="201" fontId="6" fillId="0" borderId="0" xfId="0" applyNumberFormat="1" applyFont="1" applyFill="1"/>
    <xf numFmtId="171" fontId="17" fillId="0" borderId="13" xfId="55" applyNumberFormat="1" applyFont="1" applyFill="1" applyBorder="1"/>
    <xf numFmtId="171" fontId="50" fillId="0" borderId="0" xfId="55" applyNumberFormat="1" applyFont="1" applyFill="1" applyBorder="1" applyAlignment="1">
      <alignment horizontal="right"/>
    </xf>
    <xf numFmtId="9" fontId="17" fillId="0" borderId="0" xfId="55" applyNumberFormat="1" applyFont="1" applyFill="1" applyBorder="1"/>
    <xf numFmtId="171" fontId="3" fillId="0" borderId="13" xfId="55" applyNumberFormat="1" applyFont="1" applyFill="1" applyBorder="1"/>
    <xf numFmtId="171" fontId="3" fillId="0" borderId="0" xfId="55" applyNumberFormat="1" applyFont="1" applyFill="1" applyBorder="1"/>
    <xf numFmtId="171" fontId="11" fillId="0" borderId="0" xfId="0" applyNumberFormat="1" applyFont="1" applyFill="1"/>
    <xf numFmtId="171" fontId="19" fillId="0" borderId="31" xfId="55" applyNumberFormat="1" applyFont="1" applyFill="1" applyBorder="1"/>
    <xf numFmtId="168" fontId="3" fillId="0" borderId="31" xfId="55" applyNumberFormat="1" applyFont="1" applyFill="1" applyBorder="1"/>
    <xf numFmtId="171" fontId="13" fillId="0" borderId="0" xfId="55" applyNumberFormat="1" applyFont="1" applyFill="1" applyBorder="1"/>
    <xf numFmtId="171" fontId="19" fillId="0" borderId="31" xfId="38" applyNumberFormat="1" applyFont="1" applyFill="1" applyBorder="1" applyAlignment="1">
      <alignment horizontal="right"/>
    </xf>
    <xf numFmtId="168" fontId="17" fillId="0" borderId="12" xfId="55" applyNumberFormat="1" applyFont="1" applyFill="1" applyBorder="1"/>
    <xf numFmtId="168" fontId="5" fillId="0" borderId="12" xfId="55" applyNumberFormat="1" applyFont="1" applyFill="1" applyBorder="1"/>
    <xf numFmtId="168" fontId="17" fillId="0" borderId="0" xfId="55" applyNumberFormat="1" applyFont="1" applyFill="1" applyBorder="1"/>
    <xf numFmtId="168" fontId="17" fillId="0" borderId="31" xfId="55" applyNumberFormat="1" applyFont="1" applyFill="1" applyBorder="1"/>
    <xf numFmtId="168" fontId="17" fillId="0" borderId="13" xfId="55" applyNumberFormat="1" applyFont="1" applyFill="1" applyBorder="1"/>
    <xf numFmtId="171" fontId="16" fillId="0" borderId="32" xfId="55" applyNumberFormat="1" applyFont="1" applyFill="1" applyBorder="1"/>
    <xf numFmtId="168" fontId="3" fillId="0" borderId="32" xfId="55" applyNumberFormat="1" applyFont="1" applyFill="1" applyBorder="1"/>
    <xf numFmtId="168" fontId="3" fillId="0" borderId="21" xfId="55" applyNumberFormat="1" applyFont="1" applyFill="1" applyBorder="1"/>
    <xf numFmtId="7" fontId="17" fillId="0" borderId="0" xfId="55" applyNumberFormat="1" applyFont="1" applyFill="1" applyBorder="1"/>
    <xf numFmtId="39" fontId="17" fillId="0" borderId="0" xfId="55" applyNumberFormat="1" applyFont="1" applyFill="1" applyBorder="1"/>
    <xf numFmtId="171" fontId="5" fillId="0" borderId="0" xfId="55" applyNumberFormat="1" applyFont="1" applyFill="1" applyBorder="1" applyAlignment="1">
      <alignment horizontal="right"/>
    </xf>
    <xf numFmtId="171" fontId="11" fillId="0" borderId="0" xfId="0" applyNumberFormat="1" applyFont="1" applyFill="1" applyBorder="1"/>
    <xf numFmtId="168" fontId="3" fillId="0" borderId="0" xfId="55" applyNumberFormat="1" applyFont="1" applyFill="1" applyBorder="1" applyAlignment="1">
      <alignment horizontal="right"/>
    </xf>
    <xf numFmtId="37" fontId="16" fillId="0" borderId="0" xfId="55" applyNumberFormat="1" applyFont="1" applyFill="1" applyBorder="1"/>
    <xf numFmtId="171" fontId="8" fillId="0" borderId="0" xfId="0" applyNumberFormat="1" applyFont="1" applyFill="1" applyBorder="1"/>
    <xf numFmtId="171" fontId="0" fillId="0" borderId="0" xfId="0" applyNumberFormat="1" applyFill="1" applyBorder="1"/>
    <xf numFmtId="171" fontId="16" fillId="0" borderId="30" xfId="55" applyNumberFormat="1" applyFont="1" applyFill="1" applyBorder="1"/>
    <xf numFmtId="168" fontId="3" fillId="0" borderId="20" xfId="55" applyNumberFormat="1" applyFont="1" applyFill="1" applyBorder="1"/>
    <xf numFmtId="168" fontId="16" fillId="0" borderId="20" xfId="55" applyNumberFormat="1" applyFont="1" applyFill="1" applyBorder="1"/>
    <xf numFmtId="168" fontId="3" fillId="0" borderId="29" xfId="55" applyNumberFormat="1" applyFont="1" applyFill="1" applyBorder="1"/>
    <xf numFmtId="168" fontId="3" fillId="0" borderId="30" xfId="55" applyNumberFormat="1" applyFont="1" applyFill="1" applyBorder="1"/>
    <xf numFmtId="168" fontId="3" fillId="0" borderId="28" xfId="55" applyNumberFormat="1" applyFont="1" applyFill="1" applyBorder="1"/>
    <xf numFmtId="0" fontId="5" fillId="0" borderId="12" xfId="58" applyFont="1" applyFill="1" applyBorder="1"/>
    <xf numFmtId="0" fontId="21" fillId="0" borderId="12" xfId="0" applyFont="1" applyFill="1" applyBorder="1" applyAlignment="1" applyProtection="1">
      <alignment horizontal="left"/>
    </xf>
    <xf numFmtId="191" fontId="3" fillId="0" borderId="0" xfId="55" applyNumberFormat="1" applyFont="1" applyFill="1" applyBorder="1"/>
    <xf numFmtId="39" fontId="13" fillId="0" borderId="21" xfId="0" applyNumberFormat="1" applyFont="1" applyFill="1" applyBorder="1"/>
    <xf numFmtId="171" fontId="16" fillId="0" borderId="14" xfId="55" applyNumberFormat="1" applyFont="1" applyFill="1" applyBorder="1"/>
    <xf numFmtId="171" fontId="12" fillId="0" borderId="22" xfId="55" applyNumberFormat="1" applyFont="1" applyFill="1" applyBorder="1"/>
    <xf numFmtId="171" fontId="12" fillId="0" borderId="21" xfId="55" applyNumberFormat="1" applyFont="1" applyFill="1" applyBorder="1"/>
    <xf numFmtId="171" fontId="12" fillId="0" borderId="14" xfId="55" applyNumberFormat="1" applyFont="1" applyFill="1" applyBorder="1"/>
    <xf numFmtId="171" fontId="12" fillId="0" borderId="32" xfId="55" applyNumberFormat="1" applyFont="1" applyFill="1" applyBorder="1"/>
    <xf numFmtId="171" fontId="13" fillId="0" borderId="32" xfId="55" applyNumberFormat="1" applyFont="1" applyFill="1" applyBorder="1"/>
    <xf numFmtId="171" fontId="13" fillId="0" borderId="22" xfId="55" applyNumberFormat="1" applyFont="1" applyFill="1" applyBorder="1"/>
    <xf numFmtId="171" fontId="12" fillId="0" borderId="0" xfId="55" applyNumberFormat="1" applyFont="1" applyFill="1" applyBorder="1"/>
    <xf numFmtId="39" fontId="13" fillId="0" borderId="16" xfId="0" applyNumberFormat="1" applyFont="1" applyFill="1" applyBorder="1"/>
    <xf numFmtId="171" fontId="16" fillId="0" borderId="16" xfId="55" applyNumberFormat="1" applyFont="1" applyFill="1" applyBorder="1"/>
    <xf numFmtId="171" fontId="3" fillId="0" borderId="16" xfId="55" applyNumberFormat="1" applyFont="1" applyFill="1" applyBorder="1"/>
    <xf numFmtId="39" fontId="16" fillId="0" borderId="16" xfId="55" applyNumberFormat="1" applyFont="1" applyFill="1" applyBorder="1"/>
    <xf numFmtId="39" fontId="3" fillId="0" borderId="16" xfId="55" applyNumberFormat="1" applyFont="1" applyFill="1" applyBorder="1"/>
    <xf numFmtId="37" fontId="16" fillId="0" borderId="16" xfId="55" applyNumberFormat="1" applyFont="1" applyFill="1" applyBorder="1"/>
    <xf numFmtId="164" fontId="17" fillId="0" borderId="0" xfId="63" applyNumberFormat="1" applyFont="1" applyFill="1" applyBorder="1"/>
    <xf numFmtId="164" fontId="3" fillId="0" borderId="0" xfId="63" applyNumberFormat="1" applyFont="1" applyFill="1" applyBorder="1"/>
    <xf numFmtId="164" fontId="17" fillId="0" borderId="0" xfId="63" quotePrefix="1" applyNumberFormat="1" applyFont="1" applyFill="1" applyBorder="1"/>
    <xf numFmtId="164" fontId="6" fillId="0" borderId="0" xfId="63" applyNumberFormat="1" applyFont="1" applyFill="1"/>
    <xf numFmtId="168" fontId="6" fillId="0" borderId="0" xfId="0" applyNumberFormat="1" applyFont="1" applyFill="1" applyBorder="1" applyAlignment="1">
      <alignment vertical="center"/>
    </xf>
    <xf numFmtId="201" fontId="14" fillId="0" borderId="0" xfId="39" applyNumberFormat="1" applyFont="1" applyFill="1" applyBorder="1"/>
    <xf numFmtId="0" fontId="11" fillId="0" borderId="14" xfId="0" applyFont="1" applyFill="1" applyBorder="1" applyAlignment="1">
      <alignment horizontal="center"/>
    </xf>
    <xf numFmtId="164" fontId="17" fillId="0" borderId="12" xfId="63" applyNumberFormat="1" applyFont="1" applyFill="1" applyBorder="1"/>
    <xf numFmtId="164" fontId="17" fillId="0" borderId="13" xfId="63" applyNumberFormat="1" applyFont="1" applyFill="1" applyBorder="1"/>
    <xf numFmtId="164" fontId="19" fillId="0" borderId="0" xfId="63" applyNumberFormat="1" applyFont="1" applyFill="1" applyBorder="1"/>
    <xf numFmtId="164" fontId="19" fillId="0" borderId="13" xfId="63" applyNumberFormat="1" applyFont="1" applyFill="1" applyBorder="1"/>
    <xf numFmtId="164" fontId="19" fillId="0" borderId="31" xfId="63" applyNumberFormat="1" applyFont="1" applyFill="1" applyBorder="1"/>
    <xf numFmtId="164" fontId="16" fillId="0" borderId="13" xfId="0" applyNumberFormat="1" applyFont="1" applyFill="1" applyBorder="1"/>
    <xf numFmtId="164" fontId="3" fillId="0" borderId="12" xfId="63" applyNumberFormat="1" applyFont="1" applyFill="1" applyBorder="1"/>
    <xf numFmtId="164" fontId="3" fillId="0" borderId="13" xfId="63" applyNumberFormat="1" applyFont="1" applyFill="1" applyBorder="1"/>
    <xf numFmtId="164" fontId="60" fillId="0" borderId="0" xfId="63" applyNumberFormat="1" applyFont="1" applyFill="1" applyBorder="1"/>
    <xf numFmtId="164" fontId="60" fillId="0" borderId="31" xfId="63" applyNumberFormat="1" applyFont="1" applyFill="1" applyBorder="1"/>
    <xf numFmtId="164" fontId="60" fillId="0" borderId="13" xfId="63" applyNumberFormat="1" applyFont="1" applyFill="1" applyBorder="1"/>
    <xf numFmtId="171" fontId="3" fillId="0" borderId="12" xfId="55" applyNumberFormat="1" applyFont="1" applyFill="1" applyBorder="1"/>
    <xf numFmtId="164" fontId="5" fillId="0" borderId="31" xfId="63" applyNumberFormat="1" applyFont="1" applyFill="1" applyBorder="1"/>
    <xf numFmtId="164" fontId="16" fillId="0" borderId="0" xfId="63" applyNumberFormat="1" applyFont="1" applyFill="1" applyBorder="1"/>
    <xf numFmtId="164" fontId="16" fillId="0" borderId="31" xfId="63" applyNumberFormat="1" applyFont="1" applyFill="1" applyBorder="1"/>
    <xf numFmtId="171" fontId="3" fillId="0" borderId="31" xfId="55" applyNumberFormat="1" applyFont="1" applyFill="1" applyBorder="1"/>
    <xf numFmtId="171" fontId="16" fillId="0" borderId="13" xfId="55" applyNumberFormat="1" applyFont="1" applyFill="1" applyBorder="1"/>
    <xf numFmtId="164" fontId="17" fillId="0" borderId="31" xfId="63" applyNumberFormat="1" applyFont="1" applyFill="1" applyBorder="1"/>
    <xf numFmtId="171" fontId="3" fillId="0" borderId="22" xfId="55" applyNumberFormat="1" applyFont="1" applyFill="1" applyBorder="1"/>
    <xf numFmtId="164" fontId="17" fillId="0" borderId="22" xfId="63" applyNumberFormat="1" applyFont="1" applyFill="1" applyBorder="1"/>
    <xf numFmtId="164" fontId="17" fillId="0" borderId="21" xfId="63" applyNumberFormat="1" applyFont="1" applyFill="1" applyBorder="1"/>
    <xf numFmtId="164" fontId="17" fillId="0" borderId="14" xfId="63" applyNumberFormat="1" applyFont="1" applyFill="1" applyBorder="1"/>
    <xf numFmtId="164" fontId="17" fillId="0" borderId="32" xfId="63" applyNumberFormat="1" applyFont="1" applyFill="1" applyBorder="1"/>
    <xf numFmtId="164" fontId="5" fillId="0" borderId="32" xfId="63" applyNumberFormat="1" applyFont="1" applyFill="1" applyBorder="1"/>
    <xf numFmtId="39" fontId="13" fillId="0" borderId="0" xfId="0" applyNumberFormat="1" applyFont="1" applyFill="1" applyBorder="1"/>
    <xf numFmtId="39" fontId="16" fillId="0" borderId="13" xfId="0" applyNumberFormat="1" applyFont="1" applyFill="1" applyBorder="1"/>
    <xf numFmtId="168" fontId="18" fillId="0" borderId="20" xfId="55" applyNumberFormat="1" applyFont="1" applyFill="1" applyBorder="1"/>
    <xf numFmtId="168" fontId="60" fillId="0" borderId="20" xfId="55" applyNumberFormat="1" applyFont="1" applyFill="1" applyBorder="1"/>
    <xf numFmtId="168" fontId="60" fillId="0" borderId="13" xfId="55" applyNumberFormat="1" applyFont="1" applyFill="1" applyBorder="1"/>
    <xf numFmtId="168" fontId="18" fillId="0" borderId="29" xfId="55" applyNumberFormat="1" applyFont="1" applyFill="1" applyBorder="1"/>
    <xf numFmtId="168" fontId="16" fillId="0" borderId="31" xfId="55" applyNumberFormat="1" applyFont="1" applyFill="1" applyBorder="1"/>
    <xf numFmtId="168" fontId="16" fillId="0" borderId="29" xfId="55" applyNumberFormat="1" applyFont="1" applyFill="1" applyBorder="1"/>
    <xf numFmtId="0" fontId="13" fillId="0" borderId="13" xfId="0" applyFont="1" applyFill="1" applyBorder="1"/>
    <xf numFmtId="164" fontId="12" fillId="0" borderId="12" xfId="63" applyNumberFormat="1" applyFont="1" applyFill="1" applyBorder="1"/>
    <xf numFmtId="164" fontId="12" fillId="0" borderId="13" xfId="63" applyNumberFormat="1" applyFont="1" applyFill="1" applyBorder="1"/>
    <xf numFmtId="164" fontId="13" fillId="0" borderId="13" xfId="63" applyNumberFormat="1" applyFont="1" applyFill="1" applyBorder="1"/>
    <xf numFmtId="164" fontId="13" fillId="0" borderId="0" xfId="63" applyNumberFormat="1" applyFont="1" applyFill="1" applyBorder="1"/>
    <xf numFmtId="39" fontId="24" fillId="0" borderId="13" xfId="0" applyNumberFormat="1" applyFont="1" applyFill="1" applyBorder="1"/>
    <xf numFmtId="43" fontId="14" fillId="0" borderId="13" xfId="37" applyFont="1" applyFill="1" applyBorder="1"/>
    <xf numFmtId="43" fontId="16" fillId="0" borderId="13" xfId="37" applyFont="1" applyFill="1" applyBorder="1"/>
    <xf numFmtId="43" fontId="25" fillId="0" borderId="12" xfId="37" applyFont="1" applyFill="1" applyBorder="1"/>
    <xf numFmtId="43" fontId="25" fillId="0" borderId="13" xfId="37" applyFont="1" applyFill="1" applyBorder="1"/>
    <xf numFmtId="43" fontId="25" fillId="0" borderId="0" xfId="37" applyFont="1" applyFill="1" applyBorder="1"/>
    <xf numFmtId="168" fontId="18" fillId="0" borderId="12" xfId="55" applyNumberFormat="1" applyFont="1" applyFill="1" applyBorder="1"/>
    <xf numFmtId="168" fontId="18" fillId="0" borderId="0" xfId="55" applyNumberFormat="1" applyFont="1" applyFill="1" applyBorder="1"/>
    <xf numFmtId="168" fontId="60" fillId="0" borderId="12" xfId="55" applyNumberFormat="1" applyFont="1" applyFill="1" applyBorder="1"/>
    <xf numFmtId="43" fontId="14" fillId="0" borderId="31" xfId="37" applyFont="1" applyFill="1" applyBorder="1"/>
    <xf numFmtId="164" fontId="12" fillId="0" borderId="31" xfId="63" applyNumberFormat="1" applyFont="1" applyFill="1" applyBorder="1"/>
    <xf numFmtId="168" fontId="0" fillId="0" borderId="0" xfId="0" applyNumberFormat="1" applyFill="1"/>
    <xf numFmtId="164" fontId="0" fillId="0" borderId="0" xfId="0" applyNumberFormat="1" applyFill="1"/>
    <xf numFmtId="171" fontId="90" fillId="0" borderId="0" xfId="38" applyNumberFormat="1" applyFont="1" applyFill="1" applyBorder="1" applyAlignment="1">
      <alignment horizontal="right"/>
    </xf>
    <xf numFmtId="171" fontId="90" fillId="0" borderId="0" xfId="55" applyNumberFormat="1" applyFont="1" applyFill="1" applyBorder="1"/>
    <xf numFmtId="168" fontId="95" fillId="0" borderId="0" xfId="55" applyNumberFormat="1" applyFont="1" applyFill="1" applyBorder="1"/>
    <xf numFmtId="164" fontId="3" fillId="0" borderId="0" xfId="55" applyNumberFormat="1" applyFont="1" applyFill="1" applyBorder="1"/>
    <xf numFmtId="164" fontId="11" fillId="0" borderId="0" xfId="0" applyNumberFormat="1" applyFont="1" applyFill="1"/>
    <xf numFmtId="171" fontId="90" fillId="0" borderId="13" xfId="55" applyNumberFormat="1" applyFont="1" applyFill="1" applyBorder="1" applyAlignment="1">
      <alignment horizontal="right"/>
    </xf>
    <xf numFmtId="171" fontId="90" fillId="0" borderId="0" xfId="55" applyNumberFormat="1" applyFont="1" applyFill="1" applyBorder="1" applyAlignment="1">
      <alignment horizontal="right"/>
    </xf>
    <xf numFmtId="171" fontId="90" fillId="0" borderId="13" xfId="37" applyNumberFormat="1" applyFont="1" applyFill="1" applyBorder="1"/>
    <xf numFmtId="171" fontId="90" fillId="0" borderId="0" xfId="37" applyNumberFormat="1" applyFont="1" applyFill="1" applyBorder="1"/>
    <xf numFmtId="171" fontId="90" fillId="0" borderId="13" xfId="38" applyNumberFormat="1" applyFont="1" applyFill="1" applyBorder="1" applyAlignment="1">
      <alignment horizontal="right"/>
    </xf>
    <xf numFmtId="171" fontId="90" fillId="19" borderId="0" xfId="0" applyNumberFormat="1" applyFont="1" applyFill="1" applyBorder="1" applyAlignment="1">
      <alignment horizontal="right"/>
    </xf>
    <xf numFmtId="168" fontId="95" fillId="16" borderId="13" xfId="0" applyNumberFormat="1" applyFont="1" applyFill="1" applyBorder="1" applyAlignment="1">
      <alignment horizontal="right"/>
    </xf>
    <xf numFmtId="168" fontId="95" fillId="16" borderId="0" xfId="0" applyNumberFormat="1" applyFont="1" applyFill="1" applyAlignment="1">
      <alignment horizontal="right"/>
    </xf>
    <xf numFmtId="171" fontId="90" fillId="16" borderId="13" xfId="0" applyNumberFormat="1" applyFont="1" applyFill="1" applyBorder="1" applyAlignment="1">
      <alignment horizontal="right"/>
    </xf>
    <xf numFmtId="171" fontId="90" fillId="16" borderId="0" xfId="0" applyNumberFormat="1" applyFont="1" applyFill="1" applyAlignment="1">
      <alignment horizontal="right"/>
    </xf>
    <xf numFmtId="171" fontId="90" fillId="16" borderId="0" xfId="0" applyNumberFormat="1" applyFont="1" applyFill="1" applyBorder="1" applyAlignment="1">
      <alignment horizontal="right"/>
    </xf>
    <xf numFmtId="168" fontId="90" fillId="16" borderId="13" xfId="0" applyNumberFormat="1" applyFont="1" applyFill="1" applyBorder="1" applyAlignment="1">
      <alignment horizontal="right"/>
    </xf>
    <xf numFmtId="168" fontId="90" fillId="16" borderId="0" xfId="0" applyNumberFormat="1" applyFont="1" applyFill="1" applyAlignment="1">
      <alignment horizontal="right"/>
    </xf>
    <xf numFmtId="171" fontId="90" fillId="19" borderId="13" xfId="0" applyNumberFormat="1" applyFont="1" applyFill="1" applyBorder="1" applyAlignment="1">
      <alignment horizontal="right"/>
    </xf>
    <xf numFmtId="168" fontId="90" fillId="16" borderId="0" xfId="0" applyNumberFormat="1" applyFont="1" applyFill="1" applyBorder="1" applyAlignment="1">
      <alignment horizontal="right"/>
    </xf>
    <xf numFmtId="168" fontId="90" fillId="0" borderId="13" xfId="0" applyNumberFormat="1" applyFont="1" applyFill="1" applyBorder="1" applyAlignment="1">
      <alignment horizontal="right"/>
    </xf>
    <xf numFmtId="171" fontId="90" fillId="0" borderId="13" xfId="0" applyNumberFormat="1" applyFont="1" applyFill="1" applyBorder="1" applyAlignment="1">
      <alignment horizontal="right"/>
    </xf>
    <xf numFmtId="171" fontId="90" fillId="16" borderId="50" xfId="0" applyNumberFormat="1" applyFont="1" applyFill="1" applyBorder="1" applyAlignment="1">
      <alignment horizontal="right"/>
    </xf>
    <xf numFmtId="171" fontId="90" fillId="16" borderId="48" xfId="0" applyNumberFormat="1" applyFont="1" applyFill="1" applyBorder="1" applyAlignment="1">
      <alignment horizontal="right"/>
    </xf>
    <xf numFmtId="0" fontId="5" fillId="0" borderId="0" xfId="0" applyFont="1" applyBorder="1" applyAlignment="1">
      <alignment horizontal="right"/>
    </xf>
    <xf numFmtId="164" fontId="5" fillId="0" borderId="13" xfId="63" applyNumberFormat="1" applyFont="1" applyBorder="1" applyAlignment="1">
      <alignment horizontal="left"/>
    </xf>
    <xf numFmtId="164" fontId="5" fillId="0" borderId="21" xfId="63" applyNumberFormat="1" applyFont="1" applyBorder="1" applyAlignment="1">
      <alignment horizontal="left"/>
    </xf>
    <xf numFmtId="164" fontId="6" fillId="0" borderId="0" xfId="63" applyNumberFormat="1" applyFont="1" applyBorder="1" applyAlignment="1">
      <alignment horizontal="left"/>
    </xf>
    <xf numFmtId="164" fontId="6" fillId="0" borderId="14" xfId="63" applyNumberFormat="1" applyFont="1" applyBorder="1" applyAlignment="1">
      <alignment horizontal="left"/>
    </xf>
    <xf numFmtId="164" fontId="6" fillId="0" borderId="32" xfId="63" applyNumberFormat="1" applyFont="1" applyBorder="1" applyAlignment="1">
      <alignment horizontal="left"/>
    </xf>
    <xf numFmtId="164" fontId="5" fillId="0" borderId="12" xfId="63" applyNumberFormat="1" applyFont="1" applyBorder="1" applyAlignment="1">
      <alignment horizontal="left"/>
    </xf>
    <xf numFmtId="164" fontId="5" fillId="0" borderId="22" xfId="63" applyNumberFormat="1" applyFont="1" applyBorder="1" applyAlignment="1">
      <alignment horizontal="left"/>
    </xf>
    <xf numFmtId="164" fontId="5" fillId="0" borderId="0" xfId="63" quotePrefix="1" applyNumberFormat="1" applyFont="1" applyFill="1" applyBorder="1" applyAlignment="1">
      <alignment horizontal="right"/>
    </xf>
    <xf numFmtId="164" fontId="16" fillId="0" borderId="0" xfId="63" quotePrefix="1" applyNumberFormat="1" applyFont="1" applyFill="1" applyBorder="1" applyAlignment="1">
      <alignment horizontal="right"/>
    </xf>
    <xf numFmtId="173" fontId="5" fillId="16" borderId="12" xfId="37" applyNumberFormat="1" applyFont="1" applyFill="1" applyBorder="1" applyAlignment="1">
      <alignment horizontal="right"/>
    </xf>
    <xf numFmtId="168" fontId="49" fillId="16" borderId="31" xfId="0" applyNumberFormat="1" applyFont="1" applyFill="1" applyBorder="1" applyAlignment="1">
      <alignment horizontal="right"/>
    </xf>
    <xf numFmtId="7" fontId="5" fillId="16" borderId="31" xfId="37" applyNumberFormat="1" applyFont="1" applyFill="1" applyBorder="1" applyAlignment="1">
      <alignment horizontal="right"/>
    </xf>
    <xf numFmtId="43" fontId="5" fillId="0" borderId="0" xfId="37" applyFont="1"/>
    <xf numFmtId="164" fontId="16" fillId="0" borderId="0" xfId="0" applyNumberFormat="1" applyFont="1"/>
    <xf numFmtId="176" fontId="5" fillId="0" borderId="0" xfId="0" applyNumberFormat="1" applyFont="1"/>
    <xf numFmtId="168" fontId="14" fillId="0" borderId="0" xfId="39" applyNumberFormat="1" applyFont="1" applyFill="1" applyBorder="1"/>
    <xf numFmtId="9" fontId="6" fillId="0" borderId="0" xfId="0" applyNumberFormat="1" applyFont="1" applyBorder="1"/>
    <xf numFmtId="7" fontId="6" fillId="0" borderId="0" xfId="0" applyNumberFormat="1" applyFont="1" applyFill="1" applyBorder="1" applyAlignment="1">
      <alignment vertical="center"/>
    </xf>
    <xf numFmtId="10" fontId="5" fillId="0" borderId="12" xfId="63" applyNumberFormat="1" applyFont="1" applyFill="1" applyBorder="1" applyAlignment="1">
      <alignment horizontal="right"/>
    </xf>
    <xf numFmtId="44" fontId="25" fillId="0" borderId="0" xfId="39" applyFont="1" applyFill="1" applyBorder="1"/>
    <xf numFmtId="37" fontId="95" fillId="0" borderId="12" xfId="0" applyNumberFormat="1" applyFont="1" applyFill="1" applyBorder="1"/>
    <xf numFmtId="164" fontId="64" fillId="0" borderId="31" xfId="63" applyNumberFormat="1" applyFont="1" applyFill="1" applyBorder="1"/>
    <xf numFmtId="164" fontId="95" fillId="0" borderId="12" xfId="63" applyNumberFormat="1" applyFont="1" applyFill="1" applyBorder="1" applyAlignment="1">
      <alignment horizontal="right"/>
    </xf>
    <xf numFmtId="171" fontId="6" fillId="0" borderId="69" xfId="0" applyNumberFormat="1" applyFont="1" applyFill="1" applyBorder="1"/>
    <xf numFmtId="0" fontId="6" fillId="0" borderId="68" xfId="0" applyFont="1" applyFill="1" applyBorder="1"/>
    <xf numFmtId="171" fontId="50" fillId="0" borderId="67" xfId="0" applyNumberFormat="1" applyFont="1" applyFill="1" applyBorder="1"/>
    <xf numFmtId="171" fontId="6" fillId="0" borderId="68" xfId="0" applyNumberFormat="1" applyFont="1" applyFill="1" applyBorder="1"/>
    <xf numFmtId="164" fontId="16" fillId="0" borderId="16" xfId="55" applyNumberFormat="1" applyFont="1" applyFill="1" applyBorder="1"/>
    <xf numFmtId="9" fontId="3" fillId="0" borderId="0" xfId="55" applyNumberFormat="1" applyFont="1" applyFill="1" applyBorder="1"/>
    <xf numFmtId="171" fontId="90" fillId="0" borderId="31" xfId="55" applyNumberFormat="1" applyFont="1" applyFill="1" applyBorder="1"/>
    <xf numFmtId="171" fontId="19" fillId="0" borderId="0" xfId="0" applyNumberFormat="1" applyFont="1" applyFill="1" applyBorder="1"/>
    <xf numFmtId="164" fontId="5" fillId="0" borderId="0" xfId="65" applyNumberFormat="1" applyFont="1" applyFill="1" applyBorder="1"/>
    <xf numFmtId="164" fontId="19" fillId="0" borderId="12" xfId="65" applyNumberFormat="1" applyFont="1" applyFill="1" applyBorder="1"/>
    <xf numFmtId="0" fontId="5" fillId="0" borderId="31" xfId="0" applyFont="1" applyFill="1" applyBorder="1"/>
    <xf numFmtId="205" fontId="6" fillId="0" borderId="0" xfId="0" applyNumberFormat="1" applyFont="1" applyFill="1" applyBorder="1"/>
    <xf numFmtId="205" fontId="6" fillId="0" borderId="12" xfId="0" applyNumberFormat="1" applyFont="1" applyFill="1" applyBorder="1"/>
    <xf numFmtId="171" fontId="16" fillId="19" borderId="14" xfId="65" applyNumberFormat="1" applyFont="1" applyFill="1" applyBorder="1"/>
    <xf numFmtId="171" fontId="16" fillId="19" borderId="22" xfId="65" applyNumberFormat="1" applyFont="1" applyFill="1" applyBorder="1"/>
    <xf numFmtId="0" fontId="50" fillId="0" borderId="0" xfId="0" applyFont="1" applyFill="1" applyBorder="1"/>
    <xf numFmtId="9" fontId="90" fillId="0" borderId="12" xfId="63" applyNumberFormat="1" applyFont="1" applyFill="1" applyBorder="1"/>
    <xf numFmtId="164" fontId="16" fillId="0" borderId="12" xfId="63" applyNumberFormat="1" applyFont="1" applyFill="1" applyBorder="1" applyAlignment="1">
      <alignment horizontal="right"/>
    </xf>
    <xf numFmtId="9" fontId="5" fillId="0" borderId="0" xfId="0" applyNumberFormat="1" applyFont="1"/>
    <xf numFmtId="9" fontId="5" fillId="0" borderId="12" xfId="63" applyNumberFormat="1" applyFont="1" applyFill="1" applyBorder="1"/>
    <xf numFmtId="9" fontId="90" fillId="0" borderId="12" xfId="63" applyNumberFormat="1" applyFont="1" applyFill="1" applyBorder="1" applyAlignment="1">
      <alignment horizontal="right"/>
    </xf>
    <xf numFmtId="9" fontId="90" fillId="0" borderId="0" xfId="0" quotePrefix="1" applyNumberFormat="1" applyFont="1" applyFill="1" applyAlignment="1">
      <alignment horizontal="right"/>
    </xf>
    <xf numFmtId="9" fontId="90" fillId="0" borderId="12" xfId="63" quotePrefix="1" applyNumberFormat="1" applyFont="1" applyFill="1" applyBorder="1" applyAlignment="1">
      <alignment horizontal="right"/>
    </xf>
    <xf numFmtId="9" fontId="90" fillId="0" borderId="14" xfId="0" quotePrefix="1" applyNumberFormat="1" applyFont="1" applyFill="1" applyBorder="1" applyAlignment="1">
      <alignment horizontal="right"/>
    </xf>
    <xf numFmtId="9" fontId="90" fillId="0" borderId="22" xfId="0" quotePrefix="1" applyNumberFormat="1" applyFont="1" applyFill="1" applyBorder="1" applyAlignment="1">
      <alignment horizontal="right"/>
    </xf>
    <xf numFmtId="0" fontId="5" fillId="0" borderId="0" xfId="0" quotePrefix="1" applyFont="1" applyFill="1" applyBorder="1" applyAlignment="1">
      <alignment horizontal="right"/>
    </xf>
    <xf numFmtId="9" fontId="0" fillId="0" borderId="0" xfId="0" applyNumberFormat="1" applyFill="1"/>
    <xf numFmtId="44" fontId="0" fillId="0" borderId="0" xfId="0" applyNumberFormat="1" applyFill="1" applyBorder="1"/>
    <xf numFmtId="164" fontId="90" fillId="0" borderId="13" xfId="63" applyNumberFormat="1" applyFont="1" applyBorder="1"/>
    <xf numFmtId="164" fontId="90" fillId="19" borderId="13" xfId="63" applyNumberFormat="1" applyFont="1" applyFill="1" applyBorder="1"/>
    <xf numFmtId="164" fontId="90" fillId="0" borderId="13" xfId="0" applyNumberFormat="1" applyFont="1" applyBorder="1"/>
    <xf numFmtId="0" fontId="19" fillId="0" borderId="21" xfId="0" applyFont="1" applyFill="1" applyBorder="1" applyAlignment="1">
      <alignment horizontal="right"/>
    </xf>
    <xf numFmtId="206" fontId="14" fillId="0" borderId="0" xfId="39" applyNumberFormat="1" applyFont="1" applyFill="1" applyBorder="1"/>
    <xf numFmtId="171" fontId="19" fillId="0" borderId="13" xfId="0" applyNumberFormat="1" applyFont="1" applyBorder="1"/>
    <xf numFmtId="171" fontId="19" fillId="0" borderId="13" xfId="0" applyNumberFormat="1" applyFont="1" applyFill="1" applyBorder="1"/>
    <xf numFmtId="164" fontId="5" fillId="0" borderId="13" xfId="65" applyNumberFormat="1" applyFont="1" applyFill="1" applyBorder="1"/>
    <xf numFmtId="164" fontId="5" fillId="0" borderId="13" xfId="65" applyNumberFormat="1" applyFont="1" applyBorder="1"/>
    <xf numFmtId="164" fontId="19" fillId="0" borderId="13" xfId="65" applyNumberFormat="1" applyFont="1" applyFill="1" applyBorder="1"/>
    <xf numFmtId="164" fontId="19" fillId="0" borderId="13" xfId="65" applyNumberFormat="1" applyFont="1" applyFill="1" applyBorder="1" applyAlignment="1">
      <alignment horizontal="right"/>
    </xf>
    <xf numFmtId="9" fontId="5" fillId="0" borderId="13" xfId="63" applyNumberFormat="1" applyFont="1" applyFill="1" applyBorder="1"/>
    <xf numFmtId="9" fontId="5" fillId="0" borderId="13" xfId="63" applyNumberFormat="1" applyFont="1" applyFill="1" applyBorder="1" applyAlignment="1">
      <alignment horizontal="right"/>
    </xf>
    <xf numFmtId="39" fontId="5" fillId="0" borderId="0" xfId="0" applyNumberFormat="1" applyFont="1" applyFill="1" applyBorder="1" applyAlignment="1">
      <alignment horizontal="right"/>
    </xf>
    <xf numFmtId="171" fontId="90" fillId="0" borderId="0" xfId="0" applyNumberFormat="1" applyFont="1" applyFill="1" applyBorder="1" applyAlignment="1">
      <alignment horizontal="right"/>
    </xf>
    <xf numFmtId="164" fontId="16" fillId="0" borderId="13" xfId="65" quotePrefix="1" applyNumberFormat="1" applyFont="1" applyFill="1" applyBorder="1" applyAlignment="1">
      <alignment horizontal="right"/>
    </xf>
    <xf numFmtId="164" fontId="5" fillId="0" borderId="13" xfId="65" applyNumberFormat="1" applyFont="1" applyFill="1" applyBorder="1" applyAlignment="1">
      <alignment horizontal="right"/>
    </xf>
    <xf numFmtId="164" fontId="16" fillId="0" borderId="13" xfId="65" applyNumberFormat="1" applyFont="1" applyFill="1" applyBorder="1" applyAlignment="1">
      <alignment horizontal="right"/>
    </xf>
    <xf numFmtId="164" fontId="90" fillId="0" borderId="0" xfId="63" applyNumberFormat="1" applyFont="1" applyBorder="1"/>
    <xf numFmtId="164" fontId="90" fillId="19" borderId="0" xfId="63" applyNumberFormat="1" applyFont="1" applyFill="1" applyBorder="1"/>
    <xf numFmtId="0" fontId="90" fillId="0" borderId="0" xfId="0" quotePrefix="1" applyFont="1" applyBorder="1" applyAlignment="1">
      <alignment horizontal="right"/>
    </xf>
    <xf numFmtId="164" fontId="16" fillId="0" borderId="14" xfId="63" quotePrefix="1" applyNumberFormat="1" applyFont="1" applyBorder="1" applyAlignment="1">
      <alignment horizontal="right"/>
    </xf>
    <xf numFmtId="0" fontId="90" fillId="0" borderId="14" xfId="0" applyFont="1" applyBorder="1" applyAlignment="1">
      <alignment horizontal="right"/>
    </xf>
    <xf numFmtId="0" fontId="90" fillId="0" borderId="0" xfId="0" applyFont="1" applyFill="1" applyBorder="1" applyAlignment="1">
      <alignment horizontal="right"/>
    </xf>
    <xf numFmtId="7" fontId="90" fillId="0" borderId="0" xfId="0" applyNumberFormat="1" applyFont="1" applyFill="1" applyBorder="1" applyAlignment="1">
      <alignment horizontal="right"/>
    </xf>
    <xf numFmtId="171" fontId="90" fillId="0" borderId="0" xfId="0" applyNumberFormat="1" applyFont="1" applyFill="1" applyAlignment="1">
      <alignment horizontal="right"/>
    </xf>
    <xf numFmtId="174" fontId="16" fillId="16" borderId="0" xfId="0" applyNumberFormat="1" applyFont="1" applyFill="1"/>
    <xf numFmtId="164" fontId="64" fillId="0" borderId="12" xfId="63" applyNumberFormat="1" applyFont="1" applyBorder="1"/>
    <xf numFmtId="164" fontId="90" fillId="0" borderId="12" xfId="63" applyNumberFormat="1" applyFont="1" applyBorder="1"/>
    <xf numFmtId="0" fontId="90" fillId="0" borderId="29" xfId="0" applyFont="1" applyBorder="1" applyAlignment="1">
      <alignment horizontal="right"/>
    </xf>
    <xf numFmtId="0" fontId="90" fillId="0" borderId="0" xfId="0" applyFont="1" applyBorder="1" applyAlignment="1">
      <alignment horizontal="right"/>
    </xf>
    <xf numFmtId="164" fontId="16" fillId="0" borderId="18" xfId="0" applyNumberFormat="1" applyFont="1" applyBorder="1"/>
    <xf numFmtId="164" fontId="16" fillId="0" borderId="16" xfId="0" applyNumberFormat="1" applyFont="1" applyBorder="1"/>
    <xf numFmtId="164" fontId="5" fillId="0" borderId="20" xfId="0" applyNumberFormat="1" applyFont="1" applyBorder="1"/>
    <xf numFmtId="164" fontId="5" fillId="0" borderId="12" xfId="0" applyNumberFormat="1" applyFont="1" applyBorder="1"/>
    <xf numFmtId="164" fontId="16" fillId="0" borderId="33" xfId="0" applyNumberFormat="1" applyFont="1" applyBorder="1"/>
    <xf numFmtId="176" fontId="5" fillId="0" borderId="12" xfId="0" applyNumberFormat="1" applyFont="1" applyBorder="1"/>
    <xf numFmtId="164" fontId="16" fillId="0" borderId="22" xfId="0" applyNumberFormat="1" applyFont="1" applyBorder="1"/>
    <xf numFmtId="164" fontId="16" fillId="0" borderId="19" xfId="0" applyNumberFormat="1" applyFont="1" applyBorder="1"/>
    <xf numFmtId="0" fontId="5" fillId="0" borderId="22" xfId="0" applyFont="1" applyBorder="1"/>
    <xf numFmtId="164" fontId="5" fillId="0" borderId="28" xfId="0" applyNumberFormat="1" applyFont="1" applyBorder="1"/>
    <xf numFmtId="164" fontId="5" fillId="0" borderId="29" xfId="0" applyNumberFormat="1" applyFont="1" applyBorder="1"/>
    <xf numFmtId="164" fontId="5" fillId="0" borderId="30" xfId="0" applyNumberFormat="1" applyFont="1" applyBorder="1"/>
    <xf numFmtId="164" fontId="50" fillId="0" borderId="31" xfId="0" applyNumberFormat="1" applyFont="1" applyBorder="1"/>
    <xf numFmtId="164" fontId="5" fillId="0" borderId="31" xfId="0" applyNumberFormat="1" applyFont="1" applyBorder="1"/>
    <xf numFmtId="176" fontId="5" fillId="0" borderId="13" xfId="0" applyNumberFormat="1" applyFont="1" applyBorder="1"/>
    <xf numFmtId="176" fontId="5" fillId="0" borderId="0" xfId="0" applyNumberFormat="1" applyFont="1" applyBorder="1"/>
    <xf numFmtId="176" fontId="5" fillId="0" borderId="31" xfId="0" applyNumberFormat="1" applyFont="1" applyBorder="1"/>
    <xf numFmtId="164" fontId="16" fillId="0" borderId="32" xfId="0" applyNumberFormat="1" applyFont="1" applyBorder="1"/>
    <xf numFmtId="164" fontId="16" fillId="0" borderId="14" xfId="0" applyNumberFormat="1" applyFont="1" applyBorder="1"/>
    <xf numFmtId="164" fontId="16" fillId="0" borderId="21" xfId="0" applyNumberFormat="1" applyFont="1" applyBorder="1"/>
    <xf numFmtId="9" fontId="87" fillId="21" borderId="0" xfId="64" applyFont="1" applyFill="1" applyAlignment="1">
      <alignment horizontal="center" vertical="center"/>
    </xf>
    <xf numFmtId="9" fontId="58" fillId="0" borderId="0" xfId="0" applyNumberFormat="1" applyFont="1" applyFill="1" applyAlignment="1">
      <alignment horizontal="center" vertical="center"/>
    </xf>
    <xf numFmtId="9" fontId="62" fillId="22" borderId="0" xfId="0" applyNumberFormat="1" applyFont="1" applyFill="1" applyAlignment="1">
      <alignment horizontal="center" vertical="center"/>
    </xf>
    <xf numFmtId="9" fontId="62" fillId="0" borderId="0" xfId="0" applyNumberFormat="1" applyFont="1" applyFill="1" applyAlignment="1">
      <alignment horizontal="center" vertical="center"/>
    </xf>
    <xf numFmtId="9" fontId="58" fillId="23" borderId="0" xfId="0" applyNumberFormat="1" applyFont="1" applyFill="1" applyAlignment="1">
      <alignment horizontal="center" vertical="center"/>
    </xf>
    <xf numFmtId="0" fontId="62" fillId="0" borderId="0" xfId="50" applyFont="1" applyAlignment="1">
      <alignment horizontal="center" vertical="center"/>
    </xf>
    <xf numFmtId="9" fontId="62" fillId="0" borderId="0" xfId="64" applyFont="1" applyFill="1" applyAlignment="1">
      <alignment horizontal="center" vertical="center"/>
    </xf>
    <xf numFmtId="171" fontId="15" fillId="28" borderId="20" xfId="55" applyNumberFormat="1" applyFont="1" applyFill="1" applyBorder="1"/>
    <xf numFmtId="0" fontId="93" fillId="25" borderId="0" xfId="0" applyFont="1" applyFill="1" applyBorder="1"/>
    <xf numFmtId="0" fontId="0" fillId="25" borderId="0" xfId="0" applyFill="1"/>
    <xf numFmtId="164" fontId="0" fillId="25" borderId="0" xfId="0" applyNumberFormat="1" applyFill="1"/>
    <xf numFmtId="168" fontId="0" fillId="25" borderId="0" xfId="0" applyNumberFormat="1" applyFill="1"/>
    <xf numFmtId="7" fontId="0" fillId="25" borderId="0" xfId="0" applyNumberFormat="1" applyFill="1"/>
    <xf numFmtId="164" fontId="88" fillId="25" borderId="0" xfId="63" applyNumberFormat="1" applyFont="1" applyFill="1"/>
    <xf numFmtId="0" fontId="5" fillId="0" borderId="0" xfId="0" applyFont="1" applyAlignment="1">
      <alignment horizontal="left" indent="1"/>
    </xf>
    <xf numFmtId="164" fontId="16" fillId="28" borderId="30" xfId="55" applyNumberFormat="1" applyFont="1" applyFill="1" applyBorder="1"/>
    <xf numFmtId="164" fontId="16" fillId="28" borderId="29" xfId="55" applyNumberFormat="1" applyFont="1" applyFill="1" applyBorder="1"/>
    <xf numFmtId="164" fontId="16" fillId="28" borderId="28" xfId="55" applyNumberFormat="1" applyFont="1" applyFill="1" applyBorder="1"/>
    <xf numFmtId="164" fontId="16" fillId="28" borderId="33" xfId="55" applyNumberFormat="1" applyFont="1" applyFill="1" applyBorder="1"/>
    <xf numFmtId="0" fontId="16" fillId="0" borderId="33" xfId="0" applyFont="1" applyBorder="1"/>
    <xf numFmtId="164" fontId="16" fillId="28" borderId="20" xfId="55" applyNumberFormat="1" applyFont="1" applyFill="1" applyBorder="1"/>
    <xf numFmtId="171" fontId="15" fillId="28" borderId="33" xfId="55" applyNumberFormat="1" applyFont="1" applyFill="1" applyBorder="1"/>
    <xf numFmtId="43" fontId="5" fillId="0" borderId="14" xfId="37" applyFont="1" applyBorder="1"/>
    <xf numFmtId="43" fontId="5" fillId="0" borderId="32" xfId="37" applyFont="1" applyBorder="1"/>
    <xf numFmtId="0" fontId="5" fillId="28" borderId="18" xfId="0" applyFont="1" applyFill="1" applyBorder="1" applyAlignment="1">
      <alignment horizontal="left" indent="1"/>
    </xf>
    <xf numFmtId="37" fontId="99" fillId="0" borderId="0" xfId="0" applyNumberFormat="1" applyFont="1" applyFill="1" applyBorder="1" applyAlignment="1">
      <alignment horizontal="right"/>
    </xf>
    <xf numFmtId="164" fontId="99" fillId="0" borderId="0" xfId="63" applyNumberFormat="1" applyFont="1" applyFill="1" applyBorder="1" applyAlignment="1">
      <alignment horizontal="right"/>
    </xf>
    <xf numFmtId="164" fontId="99" fillId="0" borderId="14" xfId="63" applyNumberFormat="1" applyFont="1" applyFill="1" applyBorder="1" applyAlignment="1">
      <alignment horizontal="right"/>
    </xf>
    <xf numFmtId="0" fontId="1" fillId="0" borderId="0" xfId="0" applyFont="1"/>
    <xf numFmtId="171" fontId="100" fillId="0" borderId="0" xfId="0" applyNumberFormat="1" applyFont="1" applyFill="1" applyBorder="1" applyAlignment="1">
      <alignment horizontal="right"/>
    </xf>
    <xf numFmtId="171" fontId="100" fillId="0" borderId="13" xfId="0" applyNumberFormat="1" applyFont="1" applyFill="1" applyBorder="1" applyAlignment="1">
      <alignment horizontal="right"/>
    </xf>
    <xf numFmtId="164" fontId="16" fillId="28" borderId="18" xfId="55" applyNumberFormat="1" applyFont="1" applyFill="1" applyBorder="1"/>
    <xf numFmtId="164" fontId="16" fillId="28" borderId="16" xfId="55" applyNumberFormat="1" applyFont="1" applyFill="1" applyBorder="1"/>
    <xf numFmtId="164" fontId="16" fillId="28" borderId="19" xfId="55" applyNumberFormat="1" applyFont="1" applyFill="1" applyBorder="1"/>
    <xf numFmtId="43" fontId="14" fillId="0" borderId="0" xfId="37" applyNumberFormat="1" applyFont="1"/>
    <xf numFmtId="171" fontId="5" fillId="0" borderId="24" xfId="0" applyNumberFormat="1" applyFont="1" applyFill="1" applyBorder="1" applyAlignment="1">
      <alignment horizontal="right"/>
    </xf>
    <xf numFmtId="0" fontId="2" fillId="25" borderId="20" xfId="0" applyFont="1" applyFill="1" applyBorder="1"/>
    <xf numFmtId="0" fontId="6" fillId="25" borderId="0" xfId="0" applyFont="1" applyFill="1"/>
    <xf numFmtId="0" fontId="2" fillId="25" borderId="28" xfId="0" applyFont="1" applyFill="1" applyBorder="1"/>
    <xf numFmtId="0" fontId="2" fillId="25" borderId="29" xfId="0" applyFont="1" applyFill="1" applyBorder="1"/>
    <xf numFmtId="0" fontId="2" fillId="25" borderId="30" xfId="0" applyFont="1" applyFill="1" applyBorder="1"/>
    <xf numFmtId="0" fontId="57" fillId="25" borderId="0" xfId="0" applyFont="1" applyFill="1"/>
    <xf numFmtId="37" fontId="5" fillId="23" borderId="20" xfId="0" applyNumberFormat="1" applyFont="1" applyFill="1" applyBorder="1"/>
    <xf numFmtId="0" fontId="6" fillId="23" borderId="0" xfId="0" applyFont="1" applyFill="1"/>
    <xf numFmtId="177" fontId="5" fillId="23" borderId="28" xfId="0" applyNumberFormat="1" applyFont="1" applyFill="1" applyBorder="1" applyAlignment="1">
      <alignment horizontal="center"/>
    </xf>
    <xf numFmtId="177" fontId="5" fillId="23" borderId="29" xfId="0" applyNumberFormat="1" applyFont="1" applyFill="1" applyBorder="1" applyAlignment="1">
      <alignment horizontal="center"/>
    </xf>
    <xf numFmtId="37" fontId="5" fillId="23" borderId="30" xfId="0" applyNumberFormat="1" applyFont="1" applyFill="1" applyBorder="1"/>
    <xf numFmtId="177" fontId="5" fillId="23" borderId="0" xfId="0" applyNumberFormat="1" applyFont="1" applyFill="1" applyBorder="1" applyAlignment="1">
      <alignment horizontal="center"/>
    </xf>
    <xf numFmtId="37" fontId="5" fillId="23" borderId="31" xfId="0" applyNumberFormat="1" applyFont="1" applyFill="1" applyBorder="1"/>
    <xf numFmtId="37" fontId="5" fillId="23" borderId="12" xfId="0" applyNumberFormat="1" applyFont="1" applyFill="1" applyBorder="1"/>
    <xf numFmtId="177" fontId="5" fillId="23" borderId="13" xfId="0" applyNumberFormat="1" applyFont="1" applyFill="1" applyBorder="1" applyAlignment="1">
      <alignment horizontal="center"/>
    </xf>
    <xf numFmtId="37" fontId="2" fillId="25" borderId="16" xfId="0" applyNumberFormat="1" applyFont="1" applyFill="1" applyBorder="1" applyAlignment="1">
      <alignment horizontal="center"/>
    </xf>
    <xf numFmtId="9" fontId="5" fillId="28" borderId="0" xfId="0" applyNumberFormat="1" applyFont="1" applyFill="1" applyBorder="1" applyAlignment="1">
      <alignment horizontal="center"/>
    </xf>
    <xf numFmtId="164" fontId="5" fillId="16" borderId="0" xfId="0" applyNumberFormat="1" applyFont="1" applyFill="1" applyAlignment="1">
      <alignment horizontal="center"/>
    </xf>
    <xf numFmtId="37" fontId="100" fillId="0" borderId="28" xfId="0" applyNumberFormat="1" applyFont="1" applyFill="1" applyBorder="1" applyAlignment="1">
      <alignment horizontal="right"/>
    </xf>
    <xf numFmtId="37" fontId="100" fillId="0" borderId="13" xfId="0" applyNumberFormat="1" applyFont="1" applyFill="1" applyBorder="1" applyAlignment="1">
      <alignment horizontal="right"/>
    </xf>
    <xf numFmtId="164" fontId="100" fillId="0" borderId="13" xfId="63" applyNumberFormat="1" applyFont="1" applyFill="1" applyBorder="1" applyAlignment="1">
      <alignment horizontal="right"/>
    </xf>
    <xf numFmtId="164" fontId="100" fillId="0" borderId="21" xfId="63" applyNumberFormat="1" applyFont="1" applyFill="1" applyBorder="1" applyAlignment="1">
      <alignment horizontal="right"/>
    </xf>
    <xf numFmtId="177" fontId="100" fillId="18" borderId="16" xfId="0" applyNumberFormat="1" applyFont="1" applyFill="1" applyBorder="1" applyAlignment="1">
      <alignment horizontal="right"/>
    </xf>
    <xf numFmtId="9" fontId="5" fillId="16" borderId="0" xfId="0" applyNumberFormat="1" applyFont="1" applyFill="1" applyAlignment="1">
      <alignment horizontal="center"/>
    </xf>
    <xf numFmtId="9" fontId="90" fillId="0" borderId="0" xfId="0" quotePrefix="1" applyNumberFormat="1" applyFont="1" applyBorder="1" applyAlignment="1">
      <alignment horizontal="right"/>
    </xf>
    <xf numFmtId="9" fontId="90" fillId="0" borderId="14" xfId="0" quotePrefix="1" applyNumberFormat="1" applyFont="1" applyBorder="1" applyAlignment="1">
      <alignment horizontal="right"/>
    </xf>
    <xf numFmtId="171" fontId="90" fillId="0" borderId="31" xfId="38" applyNumberFormat="1" applyFont="1" applyFill="1" applyBorder="1" applyAlignment="1">
      <alignment horizontal="right"/>
    </xf>
    <xf numFmtId="171" fontId="95" fillId="0" borderId="29" xfId="0" applyNumberFormat="1" applyFont="1" applyBorder="1"/>
    <xf numFmtId="44" fontId="16" fillId="23" borderId="0" xfId="39" applyFont="1" applyFill="1" applyBorder="1" applyAlignment="1">
      <alignment horizontal="right"/>
    </xf>
    <xf numFmtId="43" fontId="14" fillId="0" borderId="0" xfId="37" applyNumberFormat="1" applyFont="1" applyAlignment="1">
      <alignment horizontal="center"/>
    </xf>
    <xf numFmtId="209" fontId="5" fillId="28" borderId="0" xfId="0" applyNumberFormat="1" applyFont="1" applyFill="1" applyAlignment="1">
      <alignment horizontal="center"/>
    </xf>
    <xf numFmtId="9" fontId="90" fillId="0" borderId="31" xfId="0" applyNumberFormat="1" applyFont="1" applyBorder="1"/>
    <xf numFmtId="9" fontId="90" fillId="0" borderId="12" xfId="0" applyNumberFormat="1" applyFont="1" applyBorder="1"/>
    <xf numFmtId="9" fontId="90" fillId="0" borderId="32" xfId="0" applyNumberFormat="1" applyFont="1" applyBorder="1"/>
    <xf numFmtId="9" fontId="90" fillId="0" borderId="22" xfId="0" applyNumberFormat="1" applyFont="1" applyBorder="1"/>
    <xf numFmtId="0" fontId="90" fillId="0" borderId="30" xfId="0" applyFont="1" applyBorder="1"/>
    <xf numFmtId="0" fontId="90" fillId="0" borderId="31" xfId="0" applyFont="1" applyBorder="1"/>
    <xf numFmtId="0" fontId="90" fillId="0" borderId="32" xfId="0" applyFont="1" applyBorder="1"/>
    <xf numFmtId="164" fontId="5" fillId="0" borderId="14" xfId="63" applyNumberFormat="1" applyFont="1" applyBorder="1" applyAlignment="1">
      <alignment horizontal="right"/>
    </xf>
    <xf numFmtId="164" fontId="0" fillId="0" borderId="0" xfId="0" applyNumberFormat="1"/>
    <xf numFmtId="0" fontId="19" fillId="0" borderId="12" xfId="0" quotePrefix="1" applyFont="1" applyFill="1" applyBorder="1" applyAlignment="1">
      <alignment horizontal="right"/>
    </xf>
    <xf numFmtId="0" fontId="19" fillId="0" borderId="30" xfId="0" applyFont="1" applyBorder="1" applyAlignment="1">
      <alignment horizontal="right"/>
    </xf>
    <xf numFmtId="0" fontId="19" fillId="0" borderId="0" xfId="0" quotePrefix="1" applyFont="1" applyFill="1" applyBorder="1" applyAlignment="1">
      <alignment horizontal="right"/>
    </xf>
    <xf numFmtId="0" fontId="19" fillId="0" borderId="13" xfId="0" quotePrefix="1" applyFont="1" applyFill="1" applyBorder="1" applyAlignment="1">
      <alignment horizontal="right"/>
    </xf>
    <xf numFmtId="0" fontId="19" fillId="0" borderId="14" xfId="0" quotePrefix="1" applyFont="1" applyFill="1" applyBorder="1" applyAlignment="1">
      <alignment horizontal="right"/>
    </xf>
    <xf numFmtId="0" fontId="19" fillId="0" borderId="21" xfId="0" quotePrefix="1" applyFont="1" applyFill="1" applyBorder="1" applyAlignment="1">
      <alignment horizontal="right"/>
    </xf>
    <xf numFmtId="171" fontId="90" fillId="0" borderId="0" xfId="0" applyNumberFormat="1" applyFont="1" applyFill="1" applyBorder="1"/>
    <xf numFmtId="173" fontId="89" fillId="0" borderId="12" xfId="0" applyNumberFormat="1" applyFont="1" applyFill="1" applyBorder="1"/>
    <xf numFmtId="168" fontId="16" fillId="16" borderId="31" xfId="0" applyNumberFormat="1" applyFont="1" applyFill="1" applyBorder="1" applyAlignment="1">
      <alignment horizontal="right"/>
    </xf>
    <xf numFmtId="171" fontId="90" fillId="0" borderId="15" xfId="0" applyNumberFormat="1" applyFont="1" applyFill="1" applyBorder="1" applyAlignment="1">
      <alignment horizontal="right"/>
    </xf>
    <xf numFmtId="168" fontId="90" fillId="0" borderId="15" xfId="0" applyNumberFormat="1" applyFont="1" applyFill="1" applyBorder="1" applyAlignment="1">
      <alignment horizontal="right"/>
    </xf>
    <xf numFmtId="168" fontId="95" fillId="0" borderId="15" xfId="0" applyNumberFormat="1" applyFont="1" applyFill="1" applyBorder="1" applyAlignment="1">
      <alignment horizontal="right"/>
    </xf>
    <xf numFmtId="171" fontId="90" fillId="19" borderId="15" xfId="0" applyNumberFormat="1" applyFont="1" applyFill="1" applyBorder="1" applyAlignment="1">
      <alignment horizontal="right"/>
    </xf>
    <xf numFmtId="7" fontId="5" fillId="0" borderId="0" xfId="37" applyNumberFormat="1" applyFont="1" applyFill="1" applyBorder="1" applyAlignment="1">
      <alignment horizontal="right"/>
    </xf>
    <xf numFmtId="168" fontId="19" fillId="0" borderId="24" xfId="0" applyNumberFormat="1" applyFont="1" applyFill="1" applyBorder="1" applyAlignment="1">
      <alignment horizontal="right"/>
    </xf>
    <xf numFmtId="171" fontId="19" fillId="0" borderId="24" xfId="0" applyNumberFormat="1" applyFont="1" applyFill="1" applyBorder="1" applyAlignment="1">
      <alignment horizontal="right"/>
    </xf>
    <xf numFmtId="210" fontId="25" fillId="16" borderId="0" xfId="0" applyNumberFormat="1" applyFont="1" applyFill="1" applyAlignment="1">
      <alignment horizontal="right"/>
    </xf>
    <xf numFmtId="171" fontId="5" fillId="0" borderId="23" xfId="0" applyNumberFormat="1" applyFont="1" applyFill="1" applyBorder="1" applyAlignment="1">
      <alignment horizontal="right"/>
    </xf>
    <xf numFmtId="168" fontId="18" fillId="0" borderId="13" xfId="55" applyNumberFormat="1" applyFont="1" applyFill="1" applyBorder="1" applyAlignment="1">
      <alignment horizontal="right"/>
    </xf>
    <xf numFmtId="168" fontId="60" fillId="0" borderId="0" xfId="55" applyNumberFormat="1" applyFont="1" applyFill="1" applyBorder="1" applyAlignment="1">
      <alignment horizontal="right"/>
    </xf>
    <xf numFmtId="164" fontId="90" fillId="0" borderId="0" xfId="63" applyNumberFormat="1" applyFont="1" applyFill="1" applyBorder="1"/>
    <xf numFmtId="211" fontId="25" fillId="0" borderId="0" xfId="74" applyNumberFormat="1" applyFont="1" applyFill="1" applyBorder="1" applyAlignment="1">
      <alignment horizontal="left"/>
    </xf>
    <xf numFmtId="211" fontId="16" fillId="0" borderId="0" xfId="74" applyNumberFormat="1" applyFont="1" applyFill="1" applyBorder="1" applyAlignment="1">
      <alignment horizontal="center"/>
    </xf>
    <xf numFmtId="211" fontId="25" fillId="0" borderId="0" xfId="74" applyNumberFormat="1" applyFont="1" applyFill="1" applyBorder="1" applyAlignment="1">
      <alignment horizontal="center"/>
    </xf>
    <xf numFmtId="0" fontId="1" fillId="0" borderId="0" xfId="74" applyFont="1" applyBorder="1" applyAlignment="1"/>
    <xf numFmtId="170" fontId="15" fillId="21" borderId="0" xfId="74" applyNumberFormat="1" applyFont="1" applyFill="1" applyBorder="1" applyAlignment="1">
      <alignment horizontal="center"/>
    </xf>
    <xf numFmtId="0" fontId="1" fillId="0" borderId="0" xfId="74" applyBorder="1"/>
    <xf numFmtId="0" fontId="5" fillId="0" borderId="0" xfId="74" applyFont="1" applyFill="1" applyBorder="1" applyAlignment="1">
      <alignment horizontal="left"/>
    </xf>
    <xf numFmtId="201" fontId="5" fillId="0" borderId="0" xfId="74" applyNumberFormat="1" applyFont="1" applyFill="1" applyBorder="1" applyAlignment="1"/>
    <xf numFmtId="0" fontId="5" fillId="22" borderId="0" xfId="74" applyFont="1" applyFill="1" applyBorder="1" applyAlignment="1">
      <alignment horizontal="left"/>
    </xf>
    <xf numFmtId="201" fontId="5" fillId="22" borderId="0" xfId="74" applyNumberFormat="1" applyFont="1" applyFill="1" applyBorder="1" applyAlignment="1"/>
    <xf numFmtId="201" fontId="5" fillId="0" borderId="0" xfId="74" quotePrefix="1" applyNumberFormat="1" applyFont="1" applyFill="1" applyBorder="1" applyAlignment="1">
      <alignment horizontal="right"/>
    </xf>
    <xf numFmtId="201" fontId="16" fillId="0" borderId="0" xfId="74" applyNumberFormat="1" applyFont="1" applyFill="1" applyBorder="1" applyAlignment="1"/>
    <xf numFmtId="0" fontId="5" fillId="22" borderId="0" xfId="74" applyFont="1" applyFill="1" applyBorder="1" applyAlignment="1">
      <alignment horizontal="left" indent="1"/>
    </xf>
    <xf numFmtId="0" fontId="5" fillId="0" borderId="0" xfId="74" applyFont="1" applyFill="1" applyBorder="1" applyAlignment="1">
      <alignment horizontal="left" indent="1"/>
    </xf>
    <xf numFmtId="0" fontId="1" fillId="0" borderId="0" xfId="74" applyFill="1"/>
    <xf numFmtId="0" fontId="16" fillId="0" borderId="0" xfId="74" applyFont="1" applyFill="1" applyBorder="1" applyAlignment="1">
      <alignment horizontal="left"/>
    </xf>
    <xf numFmtId="0" fontId="5" fillId="0" borderId="0" xfId="74" applyFont="1" applyFill="1"/>
    <xf numFmtId="0" fontId="1" fillId="0" borderId="0" xfId="74" applyFont="1" applyFill="1" applyBorder="1" applyAlignment="1"/>
    <xf numFmtId="0" fontId="1" fillId="0" borderId="0" xfId="74" applyFill="1" applyBorder="1"/>
    <xf numFmtId="201" fontId="5" fillId="0" borderId="0" xfId="74" applyNumberFormat="1" applyFont="1" applyFill="1"/>
    <xf numFmtId="9" fontId="0" fillId="0" borderId="0" xfId="63" applyFont="1" applyFill="1"/>
    <xf numFmtId="170" fontId="5" fillId="0" borderId="0" xfId="74" applyNumberFormat="1" applyFont="1" applyFill="1"/>
    <xf numFmtId="0" fontId="14" fillId="0" borderId="0" xfId="74" applyFont="1" applyFill="1"/>
    <xf numFmtId="0" fontId="101" fillId="0" borderId="0" xfId="74" applyFont="1" applyFill="1"/>
    <xf numFmtId="0" fontId="1" fillId="0" borderId="0" xfId="74" applyFont="1" applyFill="1"/>
    <xf numFmtId="9" fontId="5" fillId="0" borderId="0" xfId="74" applyNumberFormat="1" applyFont="1" applyFill="1"/>
    <xf numFmtId="0" fontId="84" fillId="0" borderId="0" xfId="74" applyFont="1" applyFill="1" applyBorder="1" applyAlignment="1"/>
    <xf numFmtId="0" fontId="8" fillId="0" borderId="0" xfId="74" applyFont="1" applyBorder="1"/>
    <xf numFmtId="0" fontId="1" fillId="22" borderId="0" xfId="74" applyFill="1" applyBorder="1"/>
    <xf numFmtId="0" fontId="5" fillId="0" borderId="0" xfId="74" applyFont="1" applyBorder="1"/>
    <xf numFmtId="201" fontId="5" fillId="0" borderId="0" xfId="74" applyNumberFormat="1" applyFont="1" applyBorder="1"/>
    <xf numFmtId="173" fontId="16" fillId="0" borderId="0" xfId="74" applyNumberFormat="1" applyFont="1" applyFill="1" applyBorder="1"/>
    <xf numFmtId="173" fontId="5" fillId="0" borderId="0" xfId="74" applyNumberFormat="1" applyFont="1" applyFill="1" applyBorder="1"/>
    <xf numFmtId="173" fontId="5" fillId="0" borderId="0" xfId="74" applyNumberFormat="1" applyFont="1" applyBorder="1"/>
    <xf numFmtId="0" fontId="5" fillId="0" borderId="0" xfId="74" applyFont="1" applyFill="1" applyBorder="1"/>
    <xf numFmtId="0" fontId="16" fillId="0" borderId="0" xfId="74" applyFont="1" applyBorder="1"/>
    <xf numFmtId="201" fontId="97" fillId="0" borderId="0" xfId="74" applyNumberFormat="1" applyFont="1" applyFill="1" applyBorder="1" applyAlignment="1"/>
    <xf numFmtId="201" fontId="97" fillId="22" borderId="0" xfId="74" applyNumberFormat="1" applyFont="1" applyFill="1" applyBorder="1" applyAlignment="1"/>
    <xf numFmtId="173" fontId="97" fillId="0" borderId="0" xfId="74" applyNumberFormat="1" applyFont="1" applyFill="1" applyBorder="1"/>
    <xf numFmtId="173" fontId="97" fillId="22" borderId="0" xfId="74" applyNumberFormat="1" applyFont="1" applyFill="1" applyBorder="1"/>
    <xf numFmtId="9" fontId="5" fillId="22" borderId="0" xfId="63" applyFont="1" applyFill="1" applyBorder="1"/>
    <xf numFmtId="0" fontId="5" fillId="22" borderId="0" xfId="74" applyFont="1" applyFill="1" applyBorder="1"/>
    <xf numFmtId="173" fontId="5" fillId="22" borderId="0" xfId="74" applyNumberFormat="1" applyFont="1" applyFill="1" applyBorder="1"/>
    <xf numFmtId="0" fontId="50" fillId="16" borderId="0" xfId="0" applyFont="1" applyFill="1" applyBorder="1" applyAlignment="1">
      <alignment horizontal="right"/>
    </xf>
    <xf numFmtId="0" fontId="90" fillId="0" borderId="0" xfId="0" applyFont="1" applyBorder="1"/>
    <xf numFmtId="9" fontId="50" fillId="0" borderId="29" xfId="0" applyNumberFormat="1" applyFont="1" applyFill="1" applyBorder="1" applyAlignment="1">
      <alignment horizontal="right"/>
    </xf>
    <xf numFmtId="9" fontId="50" fillId="0" borderId="30" xfId="0" applyNumberFormat="1" applyFont="1" applyFill="1" applyBorder="1" applyAlignment="1">
      <alignment horizontal="right"/>
    </xf>
    <xf numFmtId="9" fontId="50" fillId="0" borderId="20" xfId="0" applyNumberFormat="1" applyFont="1" applyFill="1" applyBorder="1"/>
    <xf numFmtId="9" fontId="6" fillId="0" borderId="29" xfId="0" applyNumberFormat="1" applyFont="1" applyFill="1" applyBorder="1"/>
    <xf numFmtId="9" fontId="50" fillId="0" borderId="28" xfId="0" applyNumberFormat="1" applyFont="1" applyFill="1" applyBorder="1" applyAlignment="1">
      <alignment horizontal="right"/>
    </xf>
    <xf numFmtId="9" fontId="50" fillId="0" borderId="31" xfId="0" applyNumberFormat="1" applyFont="1" applyFill="1" applyBorder="1" applyAlignment="1">
      <alignment horizontal="right"/>
    </xf>
    <xf numFmtId="9" fontId="6" fillId="0" borderId="12" xfId="0" applyNumberFormat="1" applyFont="1" applyFill="1" applyBorder="1"/>
    <xf numFmtId="9" fontId="6" fillId="0" borderId="13" xfId="0" applyNumberFormat="1" applyFont="1" applyFill="1" applyBorder="1"/>
    <xf numFmtId="9" fontId="50" fillId="0" borderId="14" xfId="0" applyNumberFormat="1" applyFont="1" applyFill="1" applyBorder="1" applyAlignment="1">
      <alignment horizontal="right"/>
    </xf>
    <xf numFmtId="9" fontId="50" fillId="0" borderId="22" xfId="0" applyNumberFormat="1" applyFont="1" applyFill="1" applyBorder="1" applyAlignment="1">
      <alignment horizontal="right"/>
    </xf>
    <xf numFmtId="9" fontId="6" fillId="0" borderId="14" xfId="0" applyNumberFormat="1" applyFont="1" applyFill="1" applyBorder="1"/>
    <xf numFmtId="9" fontId="50" fillId="0" borderId="21" xfId="0" applyNumberFormat="1" applyFont="1" applyFill="1" applyBorder="1" applyAlignment="1">
      <alignment horizontal="right"/>
    </xf>
    <xf numFmtId="9" fontId="90" fillId="0" borderId="14" xfId="0" applyNumberFormat="1" applyFont="1" applyFill="1" applyBorder="1" applyAlignment="1">
      <alignment horizontal="right"/>
    </xf>
    <xf numFmtId="9" fontId="6" fillId="0" borderId="22" xfId="0" applyNumberFormat="1" applyFont="1" applyFill="1" applyBorder="1"/>
    <xf numFmtId="9" fontId="90" fillId="0" borderId="0" xfId="0" quotePrefix="1" applyNumberFormat="1" applyFont="1" applyFill="1" applyBorder="1" applyAlignment="1">
      <alignment horizontal="right"/>
    </xf>
    <xf numFmtId="0" fontId="103" fillId="0" borderId="0" xfId="52" applyFont="1" applyFill="1" applyBorder="1" applyAlignment="1" applyProtection="1">
      <alignment horizontal="left"/>
    </xf>
    <xf numFmtId="0" fontId="3" fillId="0" borderId="0" xfId="52" applyFont="1" applyFill="1" applyBorder="1" applyAlignment="1" applyProtection="1">
      <alignment horizontal="left" indent="1"/>
    </xf>
    <xf numFmtId="0" fontId="16" fillId="23" borderId="0" xfId="74" applyFont="1" applyFill="1" applyBorder="1" applyAlignment="1"/>
    <xf numFmtId="0" fontId="104" fillId="22" borderId="0" xfId="74" applyFont="1" applyFill="1" applyBorder="1" applyAlignment="1">
      <alignment horizontal="left"/>
    </xf>
    <xf numFmtId="0" fontId="104" fillId="0" borderId="0" xfId="74" applyFont="1" applyFill="1" applyBorder="1" applyAlignment="1">
      <alignment horizontal="left"/>
    </xf>
    <xf numFmtId="201" fontId="97" fillId="0" borderId="0" xfId="74" applyNumberFormat="1" applyFont="1" applyFill="1" applyBorder="1" applyAlignment="1">
      <alignment horizontal="right"/>
    </xf>
    <xf numFmtId="201" fontId="97" fillId="22" borderId="0" xfId="74" applyNumberFormat="1" applyFont="1" applyFill="1" applyBorder="1" applyAlignment="1">
      <alignment horizontal="right"/>
    </xf>
    <xf numFmtId="171" fontId="6" fillId="0" borderId="0" xfId="0" applyNumberFormat="1" applyFont="1"/>
    <xf numFmtId="201" fontId="16" fillId="23" borderId="0" xfId="74" applyNumberFormat="1" applyFont="1" applyFill="1" applyBorder="1" applyAlignment="1">
      <alignment horizontal="right"/>
    </xf>
    <xf numFmtId="201" fontId="5" fillId="22" borderId="0" xfId="74" quotePrefix="1" applyNumberFormat="1" applyFont="1" applyFill="1" applyBorder="1" applyAlignment="1">
      <alignment horizontal="right"/>
    </xf>
    <xf numFmtId="201" fontId="5" fillId="0" borderId="0" xfId="74" applyNumberFormat="1" applyFont="1" applyFill="1" applyBorder="1" applyAlignment="1">
      <alignment horizontal="right"/>
    </xf>
    <xf numFmtId="201" fontId="5" fillId="22" borderId="0" xfId="74" applyNumberFormat="1" applyFont="1" applyFill="1" applyBorder="1" applyAlignment="1">
      <alignment horizontal="right"/>
    </xf>
    <xf numFmtId="173" fontId="102" fillId="23" borderId="0" xfId="74" applyNumberFormat="1" applyFont="1" applyFill="1" applyBorder="1"/>
    <xf numFmtId="0" fontId="16" fillId="23" borderId="0" xfId="74" applyFont="1" applyFill="1" applyBorder="1" applyAlignment="1">
      <alignment horizontal="left"/>
    </xf>
    <xf numFmtId="173" fontId="90" fillId="22" borderId="0" xfId="74" applyNumberFormat="1" applyFont="1" applyFill="1" applyBorder="1" applyAlignment="1">
      <alignment horizontal="right"/>
    </xf>
    <xf numFmtId="173" fontId="90" fillId="0" borderId="0" xfId="74" applyNumberFormat="1" applyFont="1" applyFill="1" applyBorder="1" applyAlignment="1">
      <alignment horizontal="right"/>
    </xf>
    <xf numFmtId="9" fontId="16" fillId="23" borderId="0" xfId="63" applyFont="1" applyFill="1" applyBorder="1"/>
    <xf numFmtId="164" fontId="16" fillId="23" borderId="0" xfId="63" applyNumberFormat="1" applyFont="1" applyFill="1" applyBorder="1"/>
    <xf numFmtId="0" fontId="104" fillId="22" borderId="0" xfId="74" applyFont="1" applyFill="1" applyBorder="1" applyAlignment="1">
      <alignment horizontal="left" indent="1"/>
    </xf>
    <xf numFmtId="164" fontId="5" fillId="22" borderId="0" xfId="63" applyNumberFormat="1" applyFont="1" applyFill="1" applyBorder="1"/>
    <xf numFmtId="201" fontId="102" fillId="0" borderId="0" xfId="74" applyNumberFormat="1" applyFont="1" applyFill="1" applyBorder="1" applyAlignment="1">
      <alignment horizontal="right"/>
    </xf>
    <xf numFmtId="39" fontId="50" fillId="0" borderId="0" xfId="0" applyNumberFormat="1" applyFont="1" applyFill="1" applyBorder="1"/>
    <xf numFmtId="171" fontId="50" fillId="0" borderId="12" xfId="0" applyNumberFormat="1" applyFont="1" applyFill="1" applyBorder="1"/>
    <xf numFmtId="205" fontId="6" fillId="0" borderId="13" xfId="0" applyNumberFormat="1" applyFont="1" applyFill="1" applyBorder="1"/>
    <xf numFmtId="205" fontId="5" fillId="0" borderId="13" xfId="0" applyNumberFormat="1" applyFont="1" applyFill="1" applyBorder="1"/>
    <xf numFmtId="171" fontId="19" fillId="0" borderId="12" xfId="0" applyNumberFormat="1" applyFont="1" applyFill="1" applyBorder="1"/>
    <xf numFmtId="164" fontId="5" fillId="0" borderId="12" xfId="65" applyNumberFormat="1" applyFont="1" applyFill="1" applyBorder="1"/>
    <xf numFmtId="201" fontId="90" fillId="0" borderId="0" xfId="74" applyNumberFormat="1" applyFont="1" applyFill="1" applyBorder="1" applyAlignment="1">
      <alignment horizontal="right"/>
    </xf>
    <xf numFmtId="201" fontId="90" fillId="22" borderId="0" xfId="74" applyNumberFormat="1" applyFont="1" applyFill="1" applyBorder="1" applyAlignment="1">
      <alignment horizontal="right"/>
    </xf>
    <xf numFmtId="201" fontId="16" fillId="0" borderId="0" xfId="74" applyNumberFormat="1" applyFont="1" applyFill="1" applyBorder="1" applyAlignment="1">
      <alignment horizontal="right"/>
    </xf>
    <xf numFmtId="170" fontId="15" fillId="21" borderId="71" xfId="74" applyNumberFormat="1" applyFont="1" applyFill="1" applyBorder="1" applyAlignment="1">
      <alignment horizontal="center"/>
    </xf>
    <xf numFmtId="201" fontId="97" fillId="0" borderId="71" xfId="74" applyNumberFormat="1" applyFont="1" applyFill="1" applyBorder="1" applyAlignment="1">
      <alignment horizontal="right"/>
    </xf>
    <xf numFmtId="201" fontId="97" fillId="22" borderId="71" xfId="74" applyNumberFormat="1" applyFont="1" applyFill="1" applyBorder="1" applyAlignment="1">
      <alignment horizontal="right"/>
    </xf>
    <xf numFmtId="201" fontId="97" fillId="0" borderId="71" xfId="74" applyNumberFormat="1" applyFont="1" applyFill="1" applyBorder="1" applyAlignment="1"/>
    <xf numFmtId="201" fontId="5" fillId="0" borderId="71" xfId="74" applyNumberFormat="1" applyFont="1" applyFill="1" applyBorder="1" applyAlignment="1">
      <alignment horizontal="right"/>
    </xf>
    <xf numFmtId="201" fontId="5" fillId="22" borderId="71" xfId="74" applyNumberFormat="1" applyFont="1" applyFill="1" applyBorder="1" applyAlignment="1">
      <alignment horizontal="right"/>
    </xf>
    <xf numFmtId="201" fontId="5" fillId="0" borderId="71" xfId="74" quotePrefix="1" applyNumberFormat="1" applyFont="1" applyFill="1" applyBorder="1" applyAlignment="1">
      <alignment horizontal="right"/>
    </xf>
    <xf numFmtId="201" fontId="16" fillId="23" borderId="71" xfId="74" applyNumberFormat="1" applyFont="1" applyFill="1" applyBorder="1" applyAlignment="1">
      <alignment horizontal="right"/>
    </xf>
    <xf numFmtId="201" fontId="5" fillId="0" borderId="71" xfId="74" applyNumberFormat="1" applyFont="1" applyFill="1" applyBorder="1" applyAlignment="1"/>
    <xf numFmtId="201" fontId="5" fillId="22" borderId="71" xfId="74" quotePrefix="1" applyNumberFormat="1" applyFont="1" applyFill="1" applyBorder="1" applyAlignment="1">
      <alignment horizontal="right"/>
    </xf>
    <xf numFmtId="0" fontId="5" fillId="0" borderId="71" xfId="74" applyFont="1" applyBorder="1"/>
    <xf numFmtId="173" fontId="16" fillId="0" borderId="71" xfId="74" applyNumberFormat="1" applyFont="1" applyFill="1" applyBorder="1"/>
    <xf numFmtId="9" fontId="5" fillId="0" borderId="71" xfId="63" applyFont="1" applyFill="1" applyBorder="1"/>
    <xf numFmtId="9" fontId="5" fillId="22" borderId="71" xfId="63" applyFont="1" applyFill="1" applyBorder="1"/>
    <xf numFmtId="9" fontId="16" fillId="23" borderId="71" xfId="63" applyFont="1" applyFill="1" applyBorder="1"/>
    <xf numFmtId="173" fontId="97" fillId="0" borderId="71" xfId="74" applyNumberFormat="1" applyFont="1" applyFill="1" applyBorder="1"/>
    <xf numFmtId="173" fontId="90" fillId="22" borderId="71" xfId="74" applyNumberFormat="1" applyFont="1" applyFill="1" applyBorder="1" applyAlignment="1">
      <alignment horizontal="right"/>
    </xf>
    <xf numFmtId="173" fontId="90" fillId="0" borderId="71" xfId="74" applyNumberFormat="1" applyFont="1" applyFill="1" applyBorder="1" applyAlignment="1">
      <alignment horizontal="right"/>
    </xf>
    <xf numFmtId="173" fontId="102" fillId="23" borderId="71" xfId="74" applyNumberFormat="1" applyFont="1" applyFill="1" applyBorder="1"/>
    <xf numFmtId="173" fontId="97" fillId="22" borderId="71" xfId="74" applyNumberFormat="1" applyFont="1" applyFill="1" applyBorder="1"/>
    <xf numFmtId="173" fontId="5" fillId="0" borderId="71" xfId="74" applyNumberFormat="1" applyFont="1" applyFill="1" applyBorder="1"/>
    <xf numFmtId="0" fontId="5" fillId="22" borderId="71" xfId="74" applyFont="1" applyFill="1" applyBorder="1"/>
    <xf numFmtId="201" fontId="5" fillId="22" borderId="71" xfId="74" applyNumberFormat="1" applyFont="1" applyFill="1" applyBorder="1" applyAlignment="1"/>
    <xf numFmtId="201" fontId="16" fillId="0" borderId="71" xfId="74" applyNumberFormat="1" applyFont="1" applyFill="1" applyBorder="1" applyAlignment="1"/>
    <xf numFmtId="201" fontId="97" fillId="22" borderId="71" xfId="74" applyNumberFormat="1" applyFont="1" applyFill="1" applyBorder="1" applyAlignment="1"/>
    <xf numFmtId="201" fontId="102" fillId="0" borderId="71" xfId="74" applyNumberFormat="1" applyFont="1" applyFill="1" applyBorder="1" applyAlignment="1">
      <alignment horizontal="right"/>
    </xf>
    <xf numFmtId="173" fontId="5" fillId="22" borderId="71" xfId="74" applyNumberFormat="1" applyFont="1" applyFill="1" applyBorder="1"/>
    <xf numFmtId="173" fontId="5" fillId="0" borderId="71" xfId="74" applyNumberFormat="1" applyFont="1" applyBorder="1"/>
    <xf numFmtId="201" fontId="16" fillId="0" borderId="71" xfId="74" applyNumberFormat="1" applyFont="1" applyFill="1" applyBorder="1" applyAlignment="1">
      <alignment horizontal="right"/>
    </xf>
    <xf numFmtId="164" fontId="5" fillId="0" borderId="71" xfId="63" applyNumberFormat="1" applyFont="1" applyFill="1" applyBorder="1"/>
    <xf numFmtId="164" fontId="16" fillId="23" borderId="71" xfId="63" applyNumberFormat="1" applyFont="1" applyFill="1" applyBorder="1"/>
    <xf numFmtId="164" fontId="5" fillId="22" borderId="71" xfId="63" applyNumberFormat="1" applyFont="1" applyFill="1" applyBorder="1"/>
    <xf numFmtId="9" fontId="1" fillId="0" borderId="0" xfId="74" applyNumberFormat="1" applyFont="1" applyFill="1" applyBorder="1"/>
    <xf numFmtId="0" fontId="1" fillId="0" borderId="0" xfId="74" applyFont="1" applyFill="1" applyBorder="1"/>
    <xf numFmtId="0" fontId="101" fillId="0" borderId="0" xfId="74" applyFont="1" applyFill="1" applyBorder="1"/>
    <xf numFmtId="173" fontId="98" fillId="0" borderId="0" xfId="74" applyNumberFormat="1" applyFont="1" applyFill="1" applyBorder="1"/>
    <xf numFmtId="173" fontId="5" fillId="0" borderId="71" xfId="74" applyNumberFormat="1" applyFont="1" applyFill="1" applyBorder="1" applyAlignment="1">
      <alignment horizontal="right"/>
    </xf>
    <xf numFmtId="173" fontId="5" fillId="0" borderId="0" xfId="74" applyNumberFormat="1" applyFont="1" applyFill="1" applyBorder="1" applyAlignment="1">
      <alignment horizontal="right"/>
    </xf>
    <xf numFmtId="173" fontId="5" fillId="22" borderId="71" xfId="74" applyNumberFormat="1" applyFont="1" applyFill="1" applyBorder="1" applyAlignment="1">
      <alignment horizontal="right"/>
    </xf>
    <xf numFmtId="173" fontId="5" fillId="22" borderId="0" xfId="74" applyNumberFormat="1" applyFont="1" applyFill="1" applyBorder="1" applyAlignment="1">
      <alignment horizontal="right"/>
    </xf>
    <xf numFmtId="173" fontId="16" fillId="23" borderId="0" xfId="74" applyNumberFormat="1" applyFont="1" applyFill="1" applyBorder="1"/>
    <xf numFmtId="173" fontId="16" fillId="23" borderId="71" xfId="74" applyNumberFormat="1" applyFont="1" applyFill="1" applyBorder="1"/>
    <xf numFmtId="168" fontId="0" fillId="0" borderId="0" xfId="0" applyNumberFormat="1"/>
    <xf numFmtId="7" fontId="0" fillId="0" borderId="0" xfId="0" applyNumberFormat="1"/>
    <xf numFmtId="7" fontId="103" fillId="0" borderId="0" xfId="0" applyNumberFormat="1" applyFont="1"/>
    <xf numFmtId="10" fontId="0" fillId="0" borderId="0" xfId="63" applyNumberFormat="1" applyFont="1"/>
    <xf numFmtId="9" fontId="6" fillId="0" borderId="0" xfId="63" applyFont="1" applyFill="1" applyBorder="1" applyAlignment="1">
      <alignment vertical="center"/>
    </xf>
    <xf numFmtId="164" fontId="17" fillId="0" borderId="13" xfId="63" applyNumberFormat="1" applyFont="1" applyFill="1" applyBorder="1" applyAlignment="1">
      <alignment horizontal="right"/>
    </xf>
    <xf numFmtId="164" fontId="17" fillId="0" borderId="0" xfId="63" applyNumberFormat="1" applyFont="1" applyFill="1" applyBorder="1" applyAlignment="1">
      <alignment horizontal="right"/>
    </xf>
    <xf numFmtId="164" fontId="17" fillId="0" borderId="31" xfId="63" applyNumberFormat="1" applyFont="1" applyFill="1" applyBorder="1" applyAlignment="1">
      <alignment horizontal="right"/>
    </xf>
    <xf numFmtId="164" fontId="17" fillId="0" borderId="12" xfId="63" applyNumberFormat="1" applyFont="1" applyFill="1" applyBorder="1" applyAlignment="1">
      <alignment horizontal="right"/>
    </xf>
    <xf numFmtId="171" fontId="16" fillId="0" borderId="0" xfId="55" applyNumberFormat="1" applyFont="1" applyFill="1" applyBorder="1" applyAlignment="1">
      <alignment horizontal="right"/>
    </xf>
    <xf numFmtId="164" fontId="5" fillId="0" borderId="31" xfId="63" applyNumberFormat="1" applyFont="1" applyFill="1" applyBorder="1" applyAlignment="1">
      <alignment horizontal="right"/>
    </xf>
    <xf numFmtId="43" fontId="58" fillId="28" borderId="0" xfId="37" applyFont="1" applyFill="1" applyBorder="1"/>
    <xf numFmtId="43" fontId="62" fillId="28" borderId="0" xfId="37" applyFont="1" applyFill="1" applyBorder="1"/>
    <xf numFmtId="43" fontId="62" fillId="28" borderId="0" xfId="37" applyFont="1" applyFill="1"/>
    <xf numFmtId="43" fontId="62" fillId="0" borderId="0" xfId="37" applyFont="1"/>
    <xf numFmtId="43" fontId="11" fillId="0" borderId="0" xfId="37" applyFont="1"/>
    <xf numFmtId="43" fontId="86" fillId="28" borderId="0" xfId="37" applyFont="1" applyFill="1" applyBorder="1" applyAlignment="1" applyProtection="1">
      <alignment horizontal="center"/>
    </xf>
    <xf numFmtId="43" fontId="11" fillId="28" borderId="0" xfId="37" applyFont="1" applyFill="1"/>
    <xf numFmtId="43" fontId="62" fillId="28" borderId="0" xfId="37" applyFont="1" applyFill="1" applyBorder="1" applyAlignment="1">
      <alignment horizontal="left"/>
    </xf>
    <xf numFmtId="43" fontId="62" fillId="28" borderId="0" xfId="37" applyFont="1" applyFill="1" applyBorder="1" applyAlignment="1">
      <alignment horizontal="center"/>
    </xf>
    <xf numFmtId="43" fontId="58" fillId="28" borderId="0" xfId="37" applyFont="1" applyFill="1" applyBorder="1" applyAlignment="1">
      <alignment horizontal="left"/>
    </xf>
    <xf numFmtId="43" fontId="86" fillId="28" borderId="0" xfId="37" quotePrefix="1" applyFont="1" applyFill="1" applyBorder="1" applyAlignment="1" applyProtection="1">
      <alignment horizontal="center"/>
    </xf>
    <xf numFmtId="43" fontId="58" fillId="28" borderId="0" xfId="37" applyFont="1" applyFill="1" applyBorder="1" applyAlignment="1">
      <alignment horizontal="center"/>
    </xf>
    <xf numFmtId="43" fontId="5" fillId="28" borderId="0" xfId="37" applyFont="1" applyFill="1" applyBorder="1" applyAlignment="1">
      <alignment horizontal="left"/>
    </xf>
    <xf numFmtId="43" fontId="5" fillId="28" borderId="0" xfId="37" applyFont="1" applyFill="1"/>
    <xf numFmtId="43" fontId="5" fillId="28" borderId="0" xfId="37" applyFont="1" applyFill="1" applyBorder="1" applyAlignment="1">
      <alignment horizontal="center"/>
    </xf>
    <xf numFmtId="43" fontId="0" fillId="28" borderId="0" xfId="37" applyFont="1" applyFill="1"/>
    <xf numFmtId="0" fontId="93" fillId="0" borderId="0" xfId="0" applyFont="1" applyFill="1"/>
    <xf numFmtId="0" fontId="1" fillId="0" borderId="0" xfId="0" applyFont="1" applyFill="1"/>
    <xf numFmtId="37" fontId="0" fillId="0" borderId="0" xfId="0" applyNumberFormat="1" applyFill="1"/>
    <xf numFmtId="10" fontId="0" fillId="0" borderId="0" xfId="0" applyNumberFormat="1" applyFill="1"/>
    <xf numFmtId="10" fontId="8" fillId="0" borderId="0" xfId="0" applyNumberFormat="1" applyFont="1" applyFill="1"/>
    <xf numFmtId="9" fontId="5" fillId="24" borderId="0" xfId="63" applyNumberFormat="1" applyFont="1" applyFill="1" applyBorder="1" applyAlignment="1">
      <alignment horizontal="center" vertical="center"/>
    </xf>
    <xf numFmtId="164" fontId="5" fillId="27" borderId="0" xfId="63" applyNumberFormat="1" applyFont="1" applyFill="1" applyBorder="1" applyAlignment="1">
      <alignment horizontal="center" vertical="center"/>
    </xf>
    <xf numFmtId="37" fontId="0" fillId="0" borderId="0" xfId="0" applyNumberFormat="1"/>
    <xf numFmtId="37" fontId="105" fillId="0" borderId="0" xfId="0" applyNumberFormat="1" applyFont="1"/>
    <xf numFmtId="0" fontId="105" fillId="0" borderId="0" xfId="0" applyFont="1"/>
    <xf numFmtId="10" fontId="0" fillId="0" borderId="0" xfId="0" applyNumberFormat="1"/>
    <xf numFmtId="171" fontId="100" fillId="0" borderId="0" xfId="55" applyNumberFormat="1" applyFont="1" applyFill="1" applyBorder="1" applyAlignment="1">
      <alignment horizontal="right"/>
    </xf>
    <xf numFmtId="9" fontId="90" fillId="0" borderId="0" xfId="0" applyNumberFormat="1" applyFont="1" applyBorder="1"/>
    <xf numFmtId="9" fontId="90" fillId="0" borderId="14" xfId="0" applyNumberFormat="1" applyFont="1" applyBorder="1"/>
    <xf numFmtId="164" fontId="16" fillId="0" borderId="0" xfId="63" applyNumberFormat="1" applyFont="1" applyFill="1" applyBorder="1" applyAlignment="1">
      <alignment horizontal="right"/>
    </xf>
    <xf numFmtId="0" fontId="90" fillId="0" borderId="29" xfId="0" applyFont="1" applyFill="1" applyBorder="1" applyAlignment="1">
      <alignment horizontal="right"/>
    </xf>
    <xf numFmtId="0" fontId="90" fillId="0" borderId="14" xfId="0" applyFont="1" applyFill="1" applyBorder="1" applyAlignment="1">
      <alignment horizontal="right"/>
    </xf>
    <xf numFmtId="164" fontId="50" fillId="0" borderId="0" xfId="0" applyNumberFormat="1" applyFont="1" applyFill="1" applyBorder="1"/>
    <xf numFmtId="171" fontId="95" fillId="0" borderId="29" xfId="0" applyNumberFormat="1" applyFont="1" applyFill="1" applyBorder="1"/>
    <xf numFmtId="164" fontId="90" fillId="23" borderId="0" xfId="63" applyNumberFormat="1" applyFont="1" applyFill="1" applyBorder="1"/>
    <xf numFmtId="164" fontId="50" fillId="23" borderId="0" xfId="63" applyNumberFormat="1" applyFont="1" applyFill="1" applyBorder="1"/>
    <xf numFmtId="164" fontId="6" fillId="23" borderId="14" xfId="63" applyNumberFormat="1" applyFont="1" applyFill="1" applyBorder="1"/>
    <xf numFmtId="171" fontId="90" fillId="0" borderId="13" xfId="0" applyNumberFormat="1" applyFont="1" applyFill="1" applyBorder="1"/>
    <xf numFmtId="164" fontId="16" fillId="16" borderId="0" xfId="56" applyNumberFormat="1" applyFont="1" applyFill="1" applyBorder="1" applyAlignment="1">
      <alignment horizontal="center"/>
    </xf>
    <xf numFmtId="9" fontId="16" fillId="16" borderId="0" xfId="56" applyNumberFormat="1" applyFont="1" applyFill="1" applyBorder="1" applyAlignment="1">
      <alignment horizontal="center"/>
    </xf>
    <xf numFmtId="164" fontId="106" fillId="0" borderId="14" xfId="0" applyNumberFormat="1" applyFont="1" applyBorder="1"/>
    <xf numFmtId="164" fontId="106" fillId="0" borderId="21" xfId="0" applyNumberFormat="1" applyFont="1" applyBorder="1"/>
    <xf numFmtId="0" fontId="16" fillId="0" borderId="0" xfId="74" applyFont="1" applyFill="1" applyBorder="1"/>
    <xf numFmtId="0" fontId="93" fillId="21" borderId="0" xfId="74" applyFont="1" applyFill="1" applyBorder="1" applyAlignment="1">
      <alignment horizontal="left"/>
    </xf>
    <xf numFmtId="0" fontId="92" fillId="21" borderId="0" xfId="74" applyFont="1" applyFill="1" applyBorder="1"/>
    <xf numFmtId="173" fontId="93" fillId="21" borderId="71" xfId="74" applyNumberFormat="1" applyFont="1" applyFill="1" applyBorder="1"/>
    <xf numFmtId="173" fontId="93" fillId="21" borderId="0" xfId="74" applyNumberFormat="1" applyFont="1" applyFill="1" applyBorder="1"/>
    <xf numFmtId="39" fontId="16" fillId="19" borderId="28" xfId="0" applyNumberFormat="1" applyFont="1" applyFill="1" applyBorder="1"/>
    <xf numFmtId="171" fontId="16" fillId="19" borderId="29" xfId="55" applyNumberFormat="1" applyFont="1" applyFill="1" applyBorder="1"/>
    <xf numFmtId="7" fontId="3" fillId="19" borderId="20" xfId="55" applyNumberFormat="1" applyFont="1" applyFill="1" applyBorder="1"/>
    <xf numFmtId="7" fontId="3" fillId="19" borderId="28" xfId="55" applyNumberFormat="1" applyFont="1" applyFill="1" applyBorder="1"/>
    <xf numFmtId="7" fontId="3" fillId="19" borderId="29" xfId="55" applyNumberFormat="1" applyFont="1" applyFill="1" applyBorder="1"/>
    <xf numFmtId="7" fontId="3" fillId="19" borderId="72" xfId="55" applyNumberFormat="1" applyFont="1" applyFill="1" applyBorder="1"/>
    <xf numFmtId="39" fontId="16" fillId="19" borderId="21" xfId="0" applyNumberFormat="1" applyFont="1" applyFill="1" applyBorder="1"/>
    <xf numFmtId="171" fontId="16" fillId="19" borderId="14" xfId="55" applyNumberFormat="1" applyFont="1" applyFill="1" applyBorder="1"/>
    <xf numFmtId="7" fontId="3" fillId="19" borderId="22" xfId="55" applyNumberFormat="1" applyFont="1" applyFill="1" applyBorder="1"/>
    <xf numFmtId="7" fontId="3" fillId="19" borderId="21" xfId="55" applyNumberFormat="1" applyFont="1" applyFill="1" applyBorder="1"/>
    <xf numFmtId="7" fontId="3" fillId="19" borderId="14" xfId="55" applyNumberFormat="1" applyFont="1" applyFill="1" applyBorder="1"/>
    <xf numFmtId="7" fontId="3" fillId="19" borderId="73" xfId="55" applyNumberFormat="1" applyFont="1" applyFill="1" applyBorder="1"/>
    <xf numFmtId="10" fontId="6" fillId="0" borderId="0" xfId="0" applyNumberFormat="1" applyFont="1" applyBorder="1"/>
    <xf numFmtId="171" fontId="16" fillId="23" borderId="0" xfId="55" applyNumberFormat="1" applyFont="1" applyFill="1" applyBorder="1"/>
    <xf numFmtId="171" fontId="3" fillId="23" borderId="12" xfId="55" applyNumberFormat="1" applyFont="1" applyFill="1" applyBorder="1"/>
    <xf numFmtId="164" fontId="3" fillId="23" borderId="12" xfId="63" applyNumberFormat="1" applyFont="1" applyFill="1" applyBorder="1"/>
    <xf numFmtId="171" fontId="16" fillId="23" borderId="12" xfId="55" applyNumberFormat="1" applyFont="1" applyFill="1" applyBorder="1"/>
    <xf numFmtId="164" fontId="16" fillId="23" borderId="13" xfId="0" applyNumberFormat="1" applyFont="1" applyFill="1" applyBorder="1"/>
    <xf numFmtId="164" fontId="3" fillId="23" borderId="13" xfId="63" applyNumberFormat="1" applyFont="1" applyFill="1" applyBorder="1"/>
    <xf numFmtId="164" fontId="3" fillId="23" borderId="0" xfId="63" applyNumberFormat="1" applyFont="1" applyFill="1" applyBorder="1"/>
    <xf numFmtId="197" fontId="20" fillId="0" borderId="0" xfId="0" applyNumberFormat="1" applyFont="1" applyFill="1" applyBorder="1" applyAlignment="1" applyProtection="1">
      <alignment horizontal="center"/>
    </xf>
    <xf numFmtId="164" fontId="5" fillId="0" borderId="0" xfId="63" applyNumberFormat="1" applyFont="1" applyFill="1" applyBorder="1" applyAlignment="1">
      <alignment horizontal="center"/>
    </xf>
    <xf numFmtId="0" fontId="2" fillId="0" borderId="0" xfId="0" applyFont="1" applyFill="1" applyBorder="1"/>
    <xf numFmtId="164" fontId="66" fillId="0" borderId="0" xfId="63" applyNumberFormat="1" applyFont="1" applyFill="1" applyBorder="1" applyAlignment="1">
      <alignment horizontal="center"/>
    </xf>
    <xf numFmtId="0" fontId="16" fillId="0" borderId="0" xfId="56" applyFont="1" applyFill="1" applyBorder="1" applyAlignment="1">
      <alignment horizontal="center"/>
    </xf>
    <xf numFmtId="0" fontId="71" fillId="0" borderId="0" xfId="0" applyFont="1" applyFill="1"/>
    <xf numFmtId="164" fontId="76" fillId="0" borderId="0" xfId="56" applyNumberFormat="1" applyFont="1" applyFill="1" applyBorder="1" applyAlignment="1">
      <alignment horizontal="center"/>
    </xf>
    <xf numFmtId="164" fontId="5" fillId="0" borderId="0" xfId="56" applyNumberFormat="1" applyFont="1" applyFill="1" applyBorder="1" applyAlignment="1">
      <alignment horizontal="center"/>
    </xf>
    <xf numFmtId="171" fontId="17" fillId="0" borderId="0" xfId="56" applyNumberFormat="1" applyFont="1" applyFill="1" applyBorder="1" applyAlignment="1">
      <alignment horizontal="center"/>
    </xf>
    <xf numFmtId="171" fontId="17" fillId="0" borderId="0" xfId="63" applyNumberFormat="1" applyFont="1" applyFill="1" applyBorder="1" applyAlignment="1">
      <alignment horizontal="center"/>
    </xf>
    <xf numFmtId="164" fontId="16" fillId="0" borderId="13" xfId="63" applyNumberFormat="1" applyFont="1" applyFill="1" applyBorder="1"/>
    <xf numFmtId="164" fontId="16" fillId="0" borderId="21" xfId="0" applyNumberFormat="1" applyFont="1" applyFill="1" applyBorder="1"/>
    <xf numFmtId="164" fontId="16" fillId="0" borderId="14" xfId="0" applyNumberFormat="1" applyFont="1" applyFill="1" applyBorder="1"/>
    <xf numFmtId="164" fontId="16" fillId="0" borderId="22" xfId="0" applyNumberFormat="1" applyFont="1" applyFill="1" applyBorder="1"/>
    <xf numFmtId="170" fontId="2" fillId="21" borderId="0" xfId="74" applyNumberFormat="1" applyFont="1" applyFill="1" applyBorder="1" applyAlignment="1">
      <alignment horizontal="center"/>
    </xf>
    <xf numFmtId="170" fontId="2" fillId="21" borderId="71" xfId="74" applyNumberFormat="1" applyFont="1" applyFill="1" applyBorder="1" applyAlignment="1">
      <alignment horizontal="center"/>
    </xf>
    <xf numFmtId="173" fontId="5" fillId="0" borderId="0" xfId="74" applyNumberFormat="1" applyFont="1" applyFill="1"/>
    <xf numFmtId="164" fontId="5" fillId="23" borderId="13" xfId="0" applyNumberFormat="1" applyFont="1" applyFill="1" applyBorder="1"/>
    <xf numFmtId="164" fontId="17" fillId="23" borderId="12" xfId="63" applyNumberFormat="1" applyFont="1" applyFill="1" applyBorder="1"/>
    <xf numFmtId="164" fontId="17" fillId="23" borderId="13" xfId="63" applyNumberFormat="1" applyFont="1" applyFill="1" applyBorder="1"/>
    <xf numFmtId="164" fontId="17" fillId="23" borderId="0" xfId="63" applyNumberFormat="1" applyFont="1" applyFill="1" applyBorder="1"/>
    <xf numFmtId="164" fontId="17" fillId="23" borderId="31" xfId="63" applyNumberFormat="1" applyFont="1" applyFill="1" applyBorder="1"/>
    <xf numFmtId="164" fontId="5" fillId="23" borderId="31" xfId="63" applyNumberFormat="1" applyFont="1" applyFill="1" applyBorder="1"/>
    <xf numFmtId="164" fontId="5" fillId="23" borderId="0" xfId="63" applyNumberFormat="1" applyFont="1" applyFill="1" applyBorder="1"/>
    <xf numFmtId="44" fontId="8" fillId="0" borderId="0" xfId="0" applyNumberFormat="1" applyFont="1"/>
    <xf numFmtId="0" fontId="93" fillId="25" borderId="0" xfId="0" applyFont="1" applyFill="1"/>
    <xf numFmtId="0" fontId="16" fillId="0" borderId="14" xfId="0" applyFont="1" applyFill="1" applyBorder="1"/>
    <xf numFmtId="0" fontId="92" fillId="25" borderId="0" xfId="0" applyFont="1" applyFill="1"/>
    <xf numFmtId="0" fontId="92" fillId="25" borderId="0" xfId="0" applyFont="1" applyFill="1" applyBorder="1"/>
    <xf numFmtId="171" fontId="107" fillId="0" borderId="13" xfId="0" applyNumberFormat="1" applyFont="1" applyFill="1" applyBorder="1"/>
    <xf numFmtId="171" fontId="107" fillId="0" borderId="0" xfId="0" applyNumberFormat="1" applyFont="1" applyFill="1" applyBorder="1"/>
    <xf numFmtId="171" fontId="107" fillId="0" borderId="12" xfId="0" applyNumberFormat="1" applyFont="1" applyFill="1" applyBorder="1"/>
    <xf numFmtId="164" fontId="107" fillId="0" borderId="13" xfId="0" applyNumberFormat="1" applyFont="1" applyFill="1" applyBorder="1"/>
    <xf numFmtId="164" fontId="107" fillId="0" borderId="0" xfId="0" applyNumberFormat="1" applyFont="1" applyFill="1" applyBorder="1"/>
    <xf numFmtId="164" fontId="107" fillId="0" borderId="12" xfId="0" applyNumberFormat="1" applyFont="1" applyFill="1" applyBorder="1"/>
    <xf numFmtId="173" fontId="5" fillId="0" borderId="13" xfId="0" applyNumberFormat="1" applyFont="1" applyFill="1" applyBorder="1"/>
    <xf numFmtId="173" fontId="5" fillId="0" borderId="12" xfId="0" applyNumberFormat="1" applyFont="1" applyFill="1" applyBorder="1"/>
    <xf numFmtId="173" fontId="16" fillId="0" borderId="13" xfId="0" applyNumberFormat="1" applyFont="1" applyFill="1" applyBorder="1"/>
    <xf numFmtId="173" fontId="16" fillId="0" borderId="0" xfId="0" applyNumberFormat="1" applyFont="1" applyFill="1" applyBorder="1"/>
    <xf numFmtId="173" fontId="16" fillId="0" borderId="12" xfId="0" applyNumberFormat="1" applyFont="1" applyFill="1" applyBorder="1"/>
    <xf numFmtId="164" fontId="16" fillId="0" borderId="0" xfId="0" applyNumberFormat="1" applyFont="1" applyFill="1" applyBorder="1"/>
    <xf numFmtId="164" fontId="16" fillId="0" borderId="12" xfId="0" applyNumberFormat="1" applyFont="1" applyFill="1" applyBorder="1"/>
    <xf numFmtId="171" fontId="90" fillId="0" borderId="12" xfId="0" applyNumberFormat="1" applyFont="1" applyFill="1" applyBorder="1"/>
    <xf numFmtId="173" fontId="90" fillId="0" borderId="13" xfId="0" applyNumberFormat="1" applyFont="1" applyFill="1" applyBorder="1"/>
    <xf numFmtId="173" fontId="90" fillId="0" borderId="0" xfId="0" applyNumberFormat="1" applyFont="1" applyFill="1" applyBorder="1"/>
    <xf numFmtId="173" fontId="90" fillId="0" borderId="12" xfId="0" applyNumberFormat="1" applyFont="1" applyFill="1" applyBorder="1"/>
    <xf numFmtId="171" fontId="16" fillId="0" borderId="0" xfId="0" applyNumberFormat="1" applyFont="1" applyFill="1" applyBorder="1" applyAlignment="1">
      <alignment horizontal="right"/>
    </xf>
    <xf numFmtId="164" fontId="90" fillId="0" borderId="14" xfId="0" applyNumberFormat="1" applyFont="1" applyFill="1" applyBorder="1" applyAlignment="1">
      <alignment horizontal="right"/>
    </xf>
    <xf numFmtId="9" fontId="108" fillId="0" borderId="28" xfId="0" applyNumberFormat="1" applyFont="1" applyFill="1" applyBorder="1" applyAlignment="1">
      <alignment horizontal="right"/>
    </xf>
    <xf numFmtId="9" fontId="108" fillId="0" borderId="29" xfId="0" applyNumberFormat="1" applyFont="1" applyFill="1" applyBorder="1" applyAlignment="1">
      <alignment horizontal="right"/>
    </xf>
    <xf numFmtId="9" fontId="108" fillId="0" borderId="30" xfId="0" applyNumberFormat="1" applyFont="1" applyFill="1" applyBorder="1" applyAlignment="1">
      <alignment horizontal="right"/>
    </xf>
    <xf numFmtId="9" fontId="108" fillId="0" borderId="20" xfId="0" applyNumberFormat="1" applyFont="1" applyFill="1" applyBorder="1"/>
    <xf numFmtId="9" fontId="108" fillId="0" borderId="29" xfId="0" applyNumberFormat="1" applyFont="1" applyFill="1" applyBorder="1"/>
    <xf numFmtId="9" fontId="108" fillId="0" borderId="30" xfId="0" applyNumberFormat="1" applyFont="1" applyFill="1" applyBorder="1"/>
    <xf numFmtId="9" fontId="108" fillId="0" borderId="0" xfId="0" applyNumberFormat="1" applyFont="1" applyFill="1" applyBorder="1" applyAlignment="1">
      <alignment horizontal="right"/>
    </xf>
    <xf numFmtId="9" fontId="108" fillId="0" borderId="12" xfId="0" applyNumberFormat="1" applyFont="1" applyFill="1" applyBorder="1" applyAlignment="1">
      <alignment horizontal="right"/>
    </xf>
    <xf numFmtId="9" fontId="108" fillId="0" borderId="13" xfId="0" applyNumberFormat="1" applyFont="1" applyFill="1" applyBorder="1" applyAlignment="1">
      <alignment horizontal="right"/>
    </xf>
    <xf numFmtId="9" fontId="108" fillId="0" borderId="31" xfId="0" applyNumberFormat="1" applyFont="1" applyFill="1" applyBorder="1" applyAlignment="1">
      <alignment horizontal="right"/>
    </xf>
    <xf numFmtId="9" fontId="108" fillId="0" borderId="12" xfId="0" applyNumberFormat="1" applyFont="1" applyFill="1" applyBorder="1"/>
    <xf numFmtId="9" fontId="108" fillId="0" borderId="0" xfId="0" applyNumberFormat="1" applyFont="1" applyFill="1" applyBorder="1"/>
    <xf numFmtId="9" fontId="108" fillId="0" borderId="13" xfId="0" applyNumberFormat="1" applyFont="1" applyFill="1" applyBorder="1"/>
    <xf numFmtId="9" fontId="108" fillId="0" borderId="13" xfId="0" quotePrefix="1" applyNumberFormat="1" applyFont="1" applyFill="1" applyBorder="1" applyAlignment="1">
      <alignment horizontal="right"/>
    </xf>
    <xf numFmtId="9" fontId="108" fillId="0" borderId="0" xfId="0" quotePrefix="1" applyNumberFormat="1" applyFont="1" applyFill="1" applyBorder="1" applyAlignment="1">
      <alignment horizontal="right"/>
    </xf>
    <xf numFmtId="9" fontId="108" fillId="0" borderId="12" xfId="0" quotePrefix="1" applyNumberFormat="1" applyFont="1" applyFill="1" applyBorder="1" applyAlignment="1">
      <alignment horizontal="right"/>
    </xf>
    <xf numFmtId="9" fontId="108" fillId="0" borderId="31" xfId="0" applyNumberFormat="1" applyFont="1" applyFill="1" applyBorder="1"/>
    <xf numFmtId="9" fontId="108" fillId="0" borderId="0" xfId="0" applyNumberFormat="1" applyFont="1" applyFill="1"/>
    <xf numFmtId="9" fontId="108" fillId="0" borderId="14" xfId="0" applyNumberFormat="1" applyFont="1" applyFill="1" applyBorder="1" applyAlignment="1">
      <alignment horizontal="right"/>
    </xf>
    <xf numFmtId="9" fontId="108" fillId="0" borderId="22" xfId="0" applyNumberFormat="1" applyFont="1" applyFill="1" applyBorder="1" applyAlignment="1">
      <alignment horizontal="right"/>
    </xf>
    <xf numFmtId="9" fontId="108" fillId="0" borderId="14" xfId="0" applyNumberFormat="1" applyFont="1" applyFill="1" applyBorder="1"/>
    <xf numFmtId="9" fontId="108" fillId="0" borderId="21" xfId="0" applyNumberFormat="1" applyFont="1" applyFill="1" applyBorder="1" applyAlignment="1">
      <alignment horizontal="right"/>
    </xf>
    <xf numFmtId="9" fontId="108" fillId="0" borderId="32" xfId="0" applyNumberFormat="1" applyFont="1" applyFill="1" applyBorder="1" applyAlignment="1">
      <alignment horizontal="right"/>
    </xf>
    <xf numFmtId="9" fontId="108" fillId="0" borderId="22" xfId="0" quotePrefix="1" applyNumberFormat="1" applyFont="1" applyFill="1" applyBorder="1" applyAlignment="1">
      <alignment horizontal="right"/>
    </xf>
    <xf numFmtId="9" fontId="108" fillId="0" borderId="21" xfId="0" quotePrefix="1" applyNumberFormat="1" applyFont="1" applyFill="1" applyBorder="1" applyAlignment="1">
      <alignment horizontal="right"/>
    </xf>
    <xf numFmtId="9" fontId="108" fillId="0" borderId="14" xfId="0" quotePrefix="1" applyNumberFormat="1" applyFont="1" applyFill="1" applyBorder="1" applyAlignment="1">
      <alignment horizontal="right"/>
    </xf>
    <xf numFmtId="9" fontId="108" fillId="0" borderId="22" xfId="0" applyNumberFormat="1" applyFont="1" applyFill="1" applyBorder="1"/>
    <xf numFmtId="9" fontId="108" fillId="0" borderId="32" xfId="0" applyNumberFormat="1" applyFont="1" applyFill="1" applyBorder="1"/>
    <xf numFmtId="9" fontId="90" fillId="0" borderId="21" xfId="0" applyNumberFormat="1" applyFont="1" applyFill="1" applyBorder="1" applyAlignment="1">
      <alignment horizontal="right"/>
    </xf>
    <xf numFmtId="9" fontId="90" fillId="0" borderId="13" xfId="0" applyNumberFormat="1" applyFont="1" applyFill="1" applyBorder="1" applyAlignment="1">
      <alignment horizontal="right"/>
    </xf>
    <xf numFmtId="9" fontId="90" fillId="0" borderId="12" xfId="0" quotePrefix="1" applyNumberFormat="1" applyFont="1" applyFill="1" applyBorder="1" applyAlignment="1">
      <alignment horizontal="right"/>
    </xf>
    <xf numFmtId="9" fontId="90" fillId="0" borderId="29" xfId="0" applyNumberFormat="1" applyFont="1" applyFill="1" applyBorder="1"/>
    <xf numFmtId="0" fontId="5" fillId="0" borderId="28" xfId="0" applyFont="1" applyFill="1" applyBorder="1"/>
    <xf numFmtId="9" fontId="6" fillId="0" borderId="20" xfId="0" applyNumberFormat="1" applyFont="1" applyFill="1" applyBorder="1"/>
    <xf numFmtId="9" fontId="6" fillId="0" borderId="28" xfId="0" applyNumberFormat="1" applyFont="1" applyFill="1" applyBorder="1"/>
    <xf numFmtId="9" fontId="50" fillId="0" borderId="20" xfId="0" applyNumberFormat="1" applyFont="1" applyFill="1" applyBorder="1" applyAlignment="1">
      <alignment horizontal="right"/>
    </xf>
    <xf numFmtId="9" fontId="108" fillId="0" borderId="20" xfId="37" applyNumberFormat="1" applyFont="1" applyFill="1" applyBorder="1" applyAlignment="1">
      <alignment horizontal="right"/>
    </xf>
    <xf numFmtId="9" fontId="108" fillId="0" borderId="20" xfId="0" applyNumberFormat="1" applyFont="1" applyFill="1" applyBorder="1" applyAlignment="1">
      <alignment horizontal="right"/>
    </xf>
    <xf numFmtId="9" fontId="108" fillId="0" borderId="28" xfId="0" applyNumberFormat="1" applyFont="1" applyFill="1" applyBorder="1"/>
    <xf numFmtId="9" fontId="6" fillId="0" borderId="12" xfId="0" applyNumberFormat="1" applyFont="1" applyFill="1" applyBorder="1" applyAlignment="1">
      <alignment horizontal="right"/>
    </xf>
    <xf numFmtId="9" fontId="6" fillId="0" borderId="21" xfId="0" applyNumberFormat="1" applyFont="1" applyFill="1" applyBorder="1"/>
    <xf numFmtId="9" fontId="108" fillId="0" borderId="21" xfId="0" applyNumberFormat="1" applyFont="1" applyFill="1" applyBorder="1"/>
    <xf numFmtId="164" fontId="5" fillId="0" borderId="0" xfId="74" applyNumberFormat="1" applyFont="1" applyFill="1" applyBorder="1"/>
    <xf numFmtId="0" fontId="93" fillId="25" borderId="0" xfId="0" quotePrefix="1" applyFont="1" applyFill="1" applyAlignment="1" applyProtection="1">
      <alignment horizontal="left"/>
    </xf>
    <xf numFmtId="164" fontId="16" fillId="0" borderId="13" xfId="70" applyNumberFormat="1" applyFont="1" applyFill="1" applyBorder="1" applyProtection="1"/>
    <xf numFmtId="164" fontId="5" fillId="25" borderId="0" xfId="0" applyNumberFormat="1" applyFont="1" applyFill="1" applyBorder="1" applyAlignment="1">
      <alignment horizontal="right"/>
    </xf>
    <xf numFmtId="164" fontId="5" fillId="25" borderId="12" xfId="0" applyNumberFormat="1" applyFont="1" applyFill="1" applyBorder="1" applyAlignment="1">
      <alignment horizontal="right"/>
    </xf>
    <xf numFmtId="164" fontId="5" fillId="25" borderId="13" xfId="0" applyNumberFormat="1" applyFont="1" applyFill="1" applyBorder="1" applyAlignment="1">
      <alignment horizontal="right"/>
    </xf>
    <xf numFmtId="164" fontId="106" fillId="0" borderId="21" xfId="0" applyNumberFormat="1" applyFont="1" applyFill="1" applyBorder="1"/>
    <xf numFmtId="7" fontId="90" fillId="0" borderId="21" xfId="0" applyNumberFormat="1" applyFont="1" applyFill="1" applyBorder="1" applyAlignment="1">
      <alignment horizontal="right"/>
    </xf>
    <xf numFmtId="8" fontId="50" fillId="0" borderId="13" xfId="63" applyNumberFormat="1" applyFont="1" applyFill="1" applyBorder="1" applyAlignment="1">
      <alignment horizontal="right"/>
    </xf>
    <xf numFmtId="8" fontId="50" fillId="0" borderId="0" xfId="63" applyNumberFormat="1" applyFont="1" applyFill="1" applyBorder="1" applyAlignment="1">
      <alignment horizontal="right"/>
    </xf>
    <xf numFmtId="9" fontId="5" fillId="0" borderId="15" xfId="0" applyNumberFormat="1" applyFont="1" applyFill="1" applyBorder="1" applyAlignment="1">
      <alignment horizontal="right"/>
    </xf>
    <xf numFmtId="164" fontId="19" fillId="0" borderId="13" xfId="63" applyNumberFormat="1" applyFont="1" applyFill="1" applyBorder="1" applyAlignment="1">
      <alignment horizontal="right"/>
    </xf>
    <xf numFmtId="164" fontId="5" fillId="19" borderId="0" xfId="63" applyNumberFormat="1" applyFont="1" applyFill="1" applyBorder="1"/>
    <xf numFmtId="8" fontId="5" fillId="16" borderId="0" xfId="63" applyNumberFormat="1" applyFont="1" applyFill="1" applyAlignment="1">
      <alignment horizontal="center"/>
    </xf>
    <xf numFmtId="9" fontId="58" fillId="23" borderId="0" xfId="64" applyFont="1" applyFill="1" applyBorder="1"/>
    <xf numFmtId="9" fontId="58" fillId="23" borderId="0" xfId="0" applyNumberFormat="1" applyFont="1" applyFill="1" applyBorder="1" applyAlignment="1">
      <alignment horizontal="center" vertical="center"/>
    </xf>
    <xf numFmtId="164" fontId="66" fillId="0" borderId="14" xfId="63" applyNumberFormat="1" applyFont="1" applyFill="1" applyBorder="1" applyAlignment="1">
      <alignment horizontal="center"/>
    </xf>
    <xf numFmtId="9" fontId="58" fillId="28" borderId="0" xfId="0" applyNumberFormat="1" applyFont="1" applyFill="1" applyAlignment="1">
      <alignment horizontal="center" vertical="center"/>
    </xf>
    <xf numFmtId="9" fontId="62" fillId="28" borderId="0" xfId="64" applyFont="1" applyFill="1" applyAlignment="1">
      <alignment horizontal="left"/>
    </xf>
    <xf numFmtId="9" fontId="62" fillId="28" borderId="0" xfId="0" applyNumberFormat="1" applyFont="1" applyFill="1" applyAlignment="1">
      <alignment horizontal="center" vertical="center"/>
    </xf>
    <xf numFmtId="0" fontId="58" fillId="28" borderId="0" xfId="0" applyFont="1" applyFill="1" applyBorder="1"/>
    <xf numFmtId="9" fontId="58" fillId="28" borderId="0" xfId="64" applyFont="1" applyFill="1"/>
    <xf numFmtId="171" fontId="62" fillId="22" borderId="0" xfId="0" applyNumberFormat="1" applyFont="1" applyFill="1"/>
    <xf numFmtId="9" fontId="58" fillId="22" borderId="0" xfId="0" applyNumberFormat="1" applyFont="1" applyFill="1" applyAlignment="1">
      <alignment horizontal="center" vertical="center"/>
    </xf>
    <xf numFmtId="0" fontId="5" fillId="0" borderId="13" xfId="0" applyFont="1" applyFill="1" applyBorder="1" applyAlignment="1">
      <alignment horizontal="left"/>
    </xf>
    <xf numFmtId="9" fontId="90" fillId="0" borderId="28" xfId="0" applyNumberFormat="1" applyFont="1" applyFill="1" applyBorder="1" applyAlignment="1">
      <alignment horizontal="right"/>
    </xf>
    <xf numFmtId="9" fontId="90" fillId="0" borderId="30" xfId="0" applyNumberFormat="1" applyFont="1" applyFill="1" applyBorder="1"/>
    <xf numFmtId="9" fontId="90" fillId="0" borderId="31" xfId="0" applyNumberFormat="1" applyFont="1" applyFill="1" applyBorder="1"/>
    <xf numFmtId="9" fontId="90" fillId="0" borderId="32" xfId="0" applyNumberFormat="1" applyFont="1" applyFill="1" applyBorder="1"/>
    <xf numFmtId="9" fontId="90" fillId="0" borderId="20" xfId="0" applyNumberFormat="1" applyFont="1" applyFill="1" applyBorder="1"/>
    <xf numFmtId="9" fontId="90" fillId="0" borderId="28" xfId="0" applyNumberFormat="1" applyFont="1" applyFill="1" applyBorder="1"/>
    <xf numFmtId="9" fontId="90" fillId="0" borderId="13" xfId="0" applyNumberFormat="1" applyFont="1" applyFill="1" applyBorder="1"/>
    <xf numFmtId="168" fontId="95" fillId="16" borderId="31" xfId="0" applyNumberFormat="1" applyFont="1" applyFill="1" applyBorder="1" applyAlignment="1">
      <alignment horizontal="right"/>
    </xf>
    <xf numFmtId="8" fontId="8" fillId="0" borderId="0" xfId="0" applyNumberFormat="1" applyFont="1"/>
    <xf numFmtId="168" fontId="16" fillId="0" borderId="30" xfId="55" applyNumberFormat="1" applyFont="1" applyFill="1" applyBorder="1"/>
    <xf numFmtId="164" fontId="90" fillId="0" borderId="12" xfId="63" applyNumberFormat="1" applyFont="1" applyFill="1" applyBorder="1"/>
    <xf numFmtId="0" fontId="1" fillId="29" borderId="0" xfId="78" applyFont="1" applyFill="1" applyAlignment="1">
      <alignment vertical="top"/>
    </xf>
    <xf numFmtId="0" fontId="1" fillId="29" borderId="0" xfId="49" applyFill="1" applyAlignment="1">
      <alignment vertical="top"/>
    </xf>
    <xf numFmtId="0" fontId="1" fillId="29" borderId="0" xfId="49" applyFill="1"/>
    <xf numFmtId="0" fontId="56" fillId="29" borderId="0" xfId="78" applyFont="1" applyFill="1" applyAlignment="1">
      <alignment horizontal="left" vertical="top"/>
    </xf>
    <xf numFmtId="0" fontId="1" fillId="29" borderId="0" xfId="49" applyFont="1" applyFill="1" applyAlignment="1">
      <alignment vertical="top"/>
    </xf>
    <xf numFmtId="0" fontId="43" fillId="29" borderId="0" xfId="78" applyFont="1" applyFill="1" applyAlignment="1">
      <alignment vertical="top"/>
    </xf>
    <xf numFmtId="0" fontId="0" fillId="29" borderId="0" xfId="0" applyFill="1" applyAlignment="1">
      <alignment vertical="top"/>
    </xf>
    <xf numFmtId="0" fontId="110" fillId="29" borderId="0" xfId="0" applyFont="1" applyFill="1" applyAlignment="1">
      <alignment vertical="top"/>
    </xf>
    <xf numFmtId="0" fontId="111" fillId="29" borderId="0" xfId="0" applyFont="1" applyFill="1" applyAlignment="1">
      <alignment vertical="top"/>
    </xf>
    <xf numFmtId="0" fontId="111" fillId="29" borderId="0" xfId="0" applyFont="1" applyFill="1" applyAlignment="1">
      <alignment vertical="top"/>
    </xf>
    <xf numFmtId="0" fontId="110" fillId="29" borderId="0" xfId="0" applyFont="1" applyFill="1" applyAlignment="1">
      <alignment vertical="top"/>
    </xf>
    <xf numFmtId="0" fontId="0" fillId="29" borderId="0" xfId="0" applyFill="1" applyAlignment="1">
      <alignment vertical="top"/>
    </xf>
    <xf numFmtId="0" fontId="0" fillId="29" borderId="78" xfId="0" applyFill="1" applyBorder="1" applyAlignment="1">
      <alignment vertical="top"/>
    </xf>
    <xf numFmtId="0" fontId="110" fillId="29" borderId="74" xfId="0" applyFont="1" applyFill="1" applyBorder="1" applyAlignment="1">
      <alignment vertical="top"/>
    </xf>
    <xf numFmtId="0" fontId="110" fillId="29" borderId="75" xfId="0" applyFont="1" applyFill="1" applyBorder="1" applyAlignment="1">
      <alignment vertical="top"/>
    </xf>
    <xf numFmtId="0" fontId="110" fillId="29" borderId="76" xfId="0" applyFont="1" applyFill="1" applyBorder="1" applyAlignment="1">
      <alignment vertical="top"/>
    </xf>
    <xf numFmtId="0" fontId="110" fillId="29" borderId="77" xfId="0" applyFont="1" applyFill="1" applyBorder="1" applyAlignment="1">
      <alignment vertical="top"/>
    </xf>
    <xf numFmtId="9" fontId="110" fillId="29" borderId="74" xfId="0" applyNumberFormat="1" applyFont="1" applyFill="1" applyBorder="1" applyAlignment="1">
      <alignment vertical="top"/>
    </xf>
    <xf numFmtId="3" fontId="110" fillId="29" borderId="74" xfId="0" applyNumberFormat="1" applyFont="1" applyFill="1" applyBorder="1" applyAlignment="1">
      <alignment vertical="top"/>
    </xf>
    <xf numFmtId="0" fontId="0" fillId="29" borderId="79" xfId="0" applyFill="1" applyBorder="1" applyAlignment="1">
      <alignment vertical="top"/>
    </xf>
    <xf numFmtId="2" fontId="1" fillId="0" borderId="0" xfId="49" applyNumberFormat="1" applyAlignment="1">
      <alignment horizontal="left"/>
    </xf>
    <xf numFmtId="0" fontId="1" fillId="0" borderId="0" xfId="49" applyNumberFormat="1" applyAlignment="1">
      <alignment horizontal="left"/>
    </xf>
    <xf numFmtId="1" fontId="1" fillId="0" borderId="0" xfId="49" applyNumberFormat="1" applyAlignment="1">
      <alignment horizontal="left"/>
    </xf>
    <xf numFmtId="0" fontId="1" fillId="0" borderId="0" xfId="49" applyFont="1"/>
    <xf numFmtId="220" fontId="1" fillId="0" borderId="0" xfId="49" applyNumberFormat="1" applyAlignment="1">
      <alignment horizontal="left"/>
    </xf>
    <xf numFmtId="49" fontId="1" fillId="0" borderId="0" xfId="49" applyNumberFormat="1"/>
  </cellXfs>
  <cellStyles count="79">
    <cellStyle name=" 1" xfId="75"/>
    <cellStyle name="_COV" xfId="1"/>
    <cellStyle name="_COV_A_Nov20" xfId="2"/>
    <cellStyle name="_COV_A_Nov20 2 2" xfId="3"/>
    <cellStyle name="_SUMMARY " xfId="4"/>
    <cellStyle name="0_Capex &amp; Depreciation " xfId="6"/>
    <cellStyle name="0_Pension_UTX Example_Acute Care " xfId="76"/>
    <cellStyle name="0_Quarterly " xfId="7"/>
    <cellStyle name="0_TPP.N Ver 15_Acute Care " xfId="77"/>
    <cellStyle name="0_Valuing BP " xfId="8"/>
    <cellStyle name="20% - Accent1" xfId="9" builtinId="30" customBuiltin="1"/>
    <cellStyle name="20% - Accent2" xfId="10" builtinId="34" customBuiltin="1"/>
    <cellStyle name="20% - Accent3" xfId="11" builtinId="38" customBuiltin="1"/>
    <cellStyle name="20% - Accent4" xfId="12" builtinId="42" customBuiltin="1"/>
    <cellStyle name="20% - Accent5" xfId="13" builtinId="46" customBuiltin="1"/>
    <cellStyle name="20% - Accent6" xfId="14" builtinId="50" customBuiltin="1"/>
    <cellStyle name="40% - Accent1" xfId="15" builtinId="31" customBuiltin="1"/>
    <cellStyle name="40% - Accent2" xfId="16" builtinId="35" customBuiltin="1"/>
    <cellStyle name="40% - Accent3" xfId="17" builtinId="39" customBuiltin="1"/>
    <cellStyle name="40% - Accent4" xfId="18" builtinId="43" customBuiltin="1"/>
    <cellStyle name="40% - Accent5" xfId="19" builtinId="47" customBuiltin="1"/>
    <cellStyle name="40% - Accent6" xfId="20" builtinId="51" customBuiltin="1"/>
    <cellStyle name="60% - Accent1" xfId="21" builtinId="32" customBuiltin="1"/>
    <cellStyle name="60% - Accent2" xfId="22" builtinId="36" customBuiltin="1"/>
    <cellStyle name="60% - Accent3" xfId="23" builtinId="40" customBuiltin="1"/>
    <cellStyle name="60% - Accent4" xfId="24" builtinId="44" customBuiltin="1"/>
    <cellStyle name="60% - Accent5" xfId="25" builtinId="48" customBuiltin="1"/>
    <cellStyle name="60% - Accent6" xfId="26" builtinId="52" customBuiltin="1"/>
    <cellStyle name="Accent1" xfId="27" builtinId="29" customBuiltin="1"/>
    <cellStyle name="Accent2" xfId="28" builtinId="33" customBuiltin="1"/>
    <cellStyle name="Accent3" xfId="29" builtinId="37" customBuiltin="1"/>
    <cellStyle name="Accent4" xfId="30" builtinId="41" customBuiltin="1"/>
    <cellStyle name="Accent5" xfId="31" builtinId="45" customBuiltin="1"/>
    <cellStyle name="Accent6" xfId="32" builtinId="49" customBuiltin="1"/>
    <cellStyle name="Bad" xfId="33" builtinId="27" customBuiltin="1"/>
    <cellStyle name="c_HardInc " xfId="34"/>
    <cellStyle name="Calculation" xfId="35" builtinId="22" customBuiltin="1"/>
    <cellStyle name="Check Cell" xfId="36" builtinId="23" customBuiltin="1"/>
    <cellStyle name="Comma" xfId="37" builtinId="3"/>
    <cellStyle name="Comma_HOLXcurrent" xfId="38"/>
    <cellStyle name="Currency" xfId="39" builtinId="4"/>
    <cellStyle name="Explanatory Text" xfId="40" builtinId="53" customBuiltin="1"/>
    <cellStyle name="Good" xfId="41" builtinId="26" customBuiltin="1"/>
    <cellStyle name="Heading 1" xfId="42" builtinId="16" customBuiltin="1"/>
    <cellStyle name="Heading 2" xfId="43" builtinId="17" customBuiltin="1"/>
    <cellStyle name="Heading 3" xfId="44" builtinId="18" customBuiltin="1"/>
    <cellStyle name="Heading 4" xfId="45" builtinId="19" customBuiltin="1"/>
    <cellStyle name="Input" xfId="46" builtinId="20" customBuiltin="1"/>
    <cellStyle name="Linked Cell" xfId="47" builtinId="24" customBuiltin="1"/>
    <cellStyle name="Neutral" xfId="48" builtinId="28" customBuiltin="1"/>
    <cellStyle name="Normal" xfId="0" builtinId="0"/>
    <cellStyle name="Normal 1" xfId="49"/>
    <cellStyle name="Normal 2" xfId="50"/>
    <cellStyle name="Normal 3" xfId="51"/>
    <cellStyle name="Normal 7" xfId="74"/>
    <cellStyle name="Normal_bec" xfId="52"/>
    <cellStyle name="Normal_bec_AFFX" xfId="53"/>
    <cellStyle name="Normal_BS" xfId="54"/>
    <cellStyle name="Normal_DisclaimerSheet Samples" xfId="78"/>
    <cellStyle name="Normal_HOLXcurrent" xfId="55"/>
    <cellStyle name="Normal_HRC(1)" xfId="56"/>
    <cellStyle name="Normal_ILMN (Ejemplo completo)" xfId="57"/>
    <cellStyle name="Normal_Internet Security Systems Model" xfId="58"/>
    <cellStyle name="Normal_Internet Security Systems Model_ILMN (Ejemplo completo)" xfId="59"/>
    <cellStyle name="Note" xfId="60" builtinId="10" customBuiltin="1"/>
    <cellStyle name="Output" xfId="61" builtinId="21" customBuiltin="1"/>
    <cellStyle name="p " xfId="62"/>
    <cellStyle name="Percent" xfId="63" builtinId="5"/>
    <cellStyle name="Percent 2" xfId="64"/>
    <cellStyle name="Percent 8" xfId="65"/>
    <cellStyle name="RRSInstruction" xfId="66"/>
    <cellStyle name="RRSInstruction 2" xfId="5"/>
    <cellStyle name="s_HardInc " xfId="67"/>
    <cellStyle name="s_Valuation " xfId="68"/>
    <cellStyle name="ssp " xfId="69"/>
    <cellStyle name="Style 1" xfId="70"/>
    <cellStyle name="Title" xfId="71" builtinId="15" customBuiltin="1"/>
    <cellStyle name="Total" xfId="72" builtinId="25" customBuiltin="1"/>
    <cellStyle name="Warning Text" xfId="73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74BE74"/>
      <rgbColor rgb="002270AB"/>
      <rgbColor rgb="00F8CD14"/>
      <rgbColor rgb="00F26163"/>
      <rgbColor rgb="00A8D7E2"/>
      <rgbColor rgb="00B2122B"/>
      <rgbColor rgb="00238B45"/>
      <rgbColor rgb="001B4694"/>
      <rgbColor rgb="0041A95C"/>
      <rgbColor rgb="00800080"/>
      <rgbColor rgb="00238B45"/>
      <rgbColor rgb="00C0C0C0"/>
      <rgbColor rgb="00808080"/>
      <rgbColor rgb="00137CB1"/>
      <rgbColor rgb="00EACC80"/>
      <rgbColor rgb="004AAC6B"/>
      <rgbColor rgb="00A8D7E2"/>
      <rgbColor rgb="00E58061"/>
      <rgbColor rgb="00BCE3A1"/>
      <rgbColor rgb="008E466A"/>
      <rgbColor rgb="00F3A7A9"/>
      <rgbColor rgb="001275A6"/>
      <rgbColor rgb="00E5BF61"/>
      <rgbColor rgb="004AAC6B"/>
      <rgbColor rgb="0097D0DD"/>
      <rgbColor rgb="00763A58"/>
      <rgbColor rgb="00EF8D8F"/>
      <rgbColor rgb="00E2704C"/>
      <rgbColor rgb="00A5D981"/>
      <rgbColor rgb="0069ADCA"/>
      <rgbColor rgb="00C6D9E2"/>
      <rgbColor rgb="00E3EEDE"/>
      <rgbColor rgb="00F3EEA1"/>
      <rgbColor rgb="009DC9DC"/>
      <rgbColor rgb="00EFC1D2"/>
      <rgbColor rgb="009DC9DC"/>
      <rgbColor rgb="00EFC49F"/>
      <rgbColor rgb="004091BF"/>
      <rgbColor rgb="0097D0DD"/>
      <rgbColor rgb="00A5D981"/>
      <rgbColor rgb="00F8CD14"/>
      <rgbColor rgb="00EACC80"/>
      <rgbColor rgb="00FC7114"/>
      <rgbColor rgb="004091BF"/>
      <rgbColor rgb="00969696"/>
      <rgbColor rgb="00003366"/>
      <rgbColor rgb="0041A95C"/>
      <rgbColor rgb="00125A31"/>
      <rgbColor rgb="00125A31"/>
      <rgbColor rgb="00DDDDDD"/>
      <rgbColor rgb="008E466A"/>
      <rgbColor rgb="001B4694"/>
      <rgbColor rgb="00333333"/>
    </indexedColors>
    <mruColors>
      <color rgb="FF808080"/>
      <color rgb="FF238B45"/>
      <color rgb="FF137CB1"/>
      <color rgb="FFD9D9D9"/>
      <color rgb="FFC0C0C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worksheets/sheet10.xml" Type="http://schemas.openxmlformats.org/officeDocument/2006/relationships/worksheet"/>
<Relationship Id="rId11" Target="worksheets/sheet11.xml" Type="http://schemas.openxmlformats.org/officeDocument/2006/relationships/worksheet"/>
<Relationship Id="rId12" Target="externalLinks/externalLink1.xml" Type="http://schemas.openxmlformats.org/officeDocument/2006/relationships/externalLink"/>
<Relationship Id="rId13" Target="externalLinks/externalLink2.xml" Type="http://schemas.openxmlformats.org/officeDocument/2006/relationships/externalLink"/>
<Relationship Id="rId14" Target="externalLinks/externalLink3.xml" Type="http://schemas.openxmlformats.org/officeDocument/2006/relationships/externalLink"/>
<Relationship Id="rId15" Target="externalLinks/externalLink4.xml" Type="http://schemas.openxmlformats.org/officeDocument/2006/relationships/externalLink"/>
<Relationship Id="rId16" Target="externalLinks/externalLink5.xml" Type="http://schemas.openxmlformats.org/officeDocument/2006/relationships/externalLink"/>
<Relationship Id="rId17" Target="theme/theme1.xml" Type="http://schemas.openxmlformats.org/officeDocument/2006/relationships/theme"/>
<Relationship Id="rId18" Target="styles.xml" Type="http://schemas.openxmlformats.org/officeDocument/2006/relationships/styles"/>
<Relationship Id="rId19" Target="sharedStrings.xml" Type="http://schemas.openxmlformats.org/officeDocument/2006/relationships/sharedStrings"/>
<Relationship Id="rId2" Target="worksheets/sheet2.xml" Type="http://schemas.openxmlformats.org/officeDocument/2006/relationships/worksheet"/>
<Relationship Id="rId20" Target="calcChain.xml" Type="http://schemas.openxmlformats.org/officeDocument/2006/relationships/calcChain"/>
<Relationship Id="rId21" Target="../customXml/item1.xml" Type="http://schemas.openxmlformats.org/officeDocument/2006/relationships/customXml"/>
<Relationship Id="rId22" Target="../customXml/item2.xml" Type="http://schemas.openxmlformats.org/officeDocument/2006/relationships/customXml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167</xdr:row>
      <xdr:rowOff>0</xdr:rowOff>
    </xdr:from>
    <xdr:to>
      <xdr:col>7</xdr:col>
      <xdr:colOff>390525</xdr:colOff>
      <xdr:row>190</xdr:row>
      <xdr:rowOff>104775</xdr:rowOff>
    </xdr:to>
    <xdr:pic>
      <xdr:nvPicPr>
        <xdr:cNvPr id="16776193" name="Picture 1" descr="C:\Users\jerrosen\AppData\Local\Temp\MercuryPriceRatingHistoryChart\BRKR.O_2018_04_01_19_00_35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669875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file://///MSAD/ROOT/NA/NY/LIB/ER/HEALTH/RubinJ/Company/Pfe/PFEwork.xls" TargetMode="External" Type="http://schemas.openxmlformats.org/officeDocument/2006/relationships/externalLinkPath"/>
</Relationships>

</file>

<file path=xl/externalLinks/_rels/externalLink2.xml.rels><?xml version="1.0" encoding="UTF-8" standalone="yes"?>
<Relationships xmlns="http://schemas.openxmlformats.org/package/2006/relationships">
<Relationship Id="rId1" Target="Documents%20and%20Settings/rockefel/Local%20Settings/Temporary%20Internet%20Files/OLK56/USERS/LADIWALA/VALTN/BBL/BIO-VL3.XLS" TargetMode="External" Type="http://schemas.microsoft.com/office/2006/relationships/xlExternalLinkPath/xlStartup"/>
</Relationships>

</file>

<file path=xl/externalLinks/_rels/externalLink3.xml.rels><?xml version="1.0" encoding="UTF-8" standalone="yes"?>
<Relationships xmlns="http://schemas.openxmlformats.org/package/2006/relationships">
<Relationship Id="rId1" Target="Documents%20and%20Settings/bosesub/Local%20Settings/Temporary%20Internet%20Files/OLKAD4/TMO.xls" TargetMode="External" Type="http://schemas.microsoft.com/office/2006/relationships/xlExternalLinkPath/xlStartup"/>
</Relationships>

</file>

<file path=xl/externalLinks/_rels/externalLink4.xml.rels><?xml version="1.0" encoding="UTF-8" standalone="yes"?>
<Relationships xmlns="http://schemas.openxmlformats.org/package/2006/relationships">
<Relationship Id="rId1" Target="I" TargetMode="External" Type="http://schemas.microsoft.com/office/2006/relationships/xlExternalLinkPath/xlPathMissing"/>
</Relationships>

</file>

<file path=xl/externalLinks/_rels/externalLink5.xml.rels><?xml version="1.0" encoding="UTF-8" standalone="yes"?>
<Relationships xmlns="http://schemas.openxmlformats.org/package/2006/relationships">
<Relationship Id="rId1" Target="file://///MSAD/ROOT/NA/NY/USERS/beuchaw/Desktop/DS_Tools.xls" TargetMode="External" Type="http://schemas.openxmlformats.org/officeDocument/2006/relationships/externalLinkPath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Y UPLOAD shadow"/>
      <sheetName val="NY UPLOAD"/>
      <sheetName val="Client Title Page "/>
      <sheetName val="Title Page"/>
      <sheetName val="__FDSCACHE__"/>
      <sheetName val="Drivers"/>
      <sheetName val="Valuations"/>
      <sheetName val="Lipitor NPV"/>
      <sheetName val="mwareTaxoPres"/>
      <sheetName val="mwareValPrintout"/>
      <sheetName val="Lipitor NPV-Mar 2010"/>
      <sheetName val="5 yr Sales and Earnings"/>
      <sheetName val="Qtr Income"/>
      <sheetName val="Qtr Margin"/>
      <sheetName val="Qtr Sales"/>
      <sheetName val="Gross Mgn Calc"/>
      <sheetName val="Alliance revenues"/>
      <sheetName val="Product History"/>
      <sheetName val="mwarePreview"/>
      <sheetName val="BalanceSheet"/>
      <sheetName val="Cashflow"/>
      <sheetName val="ROIC"/>
      <sheetName val="RI Valuation"/>
      <sheetName val="Dynamic Convergence"/>
      <sheetName val="Global Feed"/>
      <sheetName val="Summary"/>
      <sheetName val="Q-Preview"/>
      <sheetName val="PFE Qtr Incomesolo"/>
      <sheetName val="PFE Qtr Marginsolo"/>
      <sheetName val="PFE Qrt Salessolo"/>
      <sheetName val="PFE 2 Qtr Salessolo"/>
      <sheetName val="PHAPharmaSales"/>
      <sheetName val="Combined products"/>
      <sheetName val="PFE-PHA mergerold"/>
      <sheetName val="P&amp;L Charts"/>
      <sheetName val="setbacks"/>
      <sheetName val="mwareDates"/>
      <sheetName val="TO DO"/>
      <sheetName val="mwareSettings"/>
      <sheetName val="mStartup"/>
      <sheetName val="EPS Sensitivity"/>
      <sheetName val="PFE Qtr Income"/>
      <sheetName val="PFE Qtr Margin"/>
      <sheetName val="PFE Qtr Sales"/>
      <sheetName val="PFE Q-Preview"/>
      <sheetName val="Implied ROIC "/>
      <sheetName val="P&amp;L Charts (2)"/>
      <sheetName val="ADJ ROIC"/>
      <sheetName val="PFEwork"/>
      <sheetName val="xbrlPreview"/>
      <sheetName val="xbrldates"/>
      <sheetName val="xbrlSettings"/>
      <sheetName val="BS CHeck"/>
      <sheetName val="MWare_Cached"/>
      <sheetName val="Sheet1"/>
      <sheetName val=""/>
      <sheetName val="Torcetrapib"/>
      <sheetName val="Divestiture calculation"/>
      <sheetName val="Annu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>
        <row r="5">
          <cell r="C5" t="str">
            <v>2001A</v>
          </cell>
        </row>
        <row r="6">
          <cell r="C6">
            <v>6449</v>
          </cell>
        </row>
        <row r="7">
          <cell r="C7">
            <v>3582</v>
          </cell>
        </row>
        <row r="8">
          <cell r="C8">
            <v>551</v>
          </cell>
        </row>
        <row r="9">
          <cell r="C9">
            <v>604</v>
          </cell>
        </row>
        <row r="10">
          <cell r="C10">
            <v>284</v>
          </cell>
        </row>
        <row r="11">
          <cell r="C11">
            <v>0</v>
          </cell>
        </row>
        <row r="12">
          <cell r="C12">
            <v>0</v>
          </cell>
        </row>
        <row r="13">
          <cell r="C13">
            <v>2367</v>
          </cell>
        </row>
        <row r="14">
          <cell r="C14">
            <v>1751</v>
          </cell>
        </row>
        <row r="15">
          <cell r="C15">
            <v>323</v>
          </cell>
        </row>
        <row r="16">
          <cell r="C16">
            <v>149</v>
          </cell>
        </row>
        <row r="17">
          <cell r="C17">
            <v>0</v>
          </cell>
        </row>
        <row r="18">
          <cell r="C18">
            <v>0</v>
          </cell>
        </row>
        <row r="19">
          <cell r="C19">
            <v>0</v>
          </cell>
        </row>
        <row r="20">
          <cell r="C20">
            <v>0</v>
          </cell>
        </row>
        <row r="21">
          <cell r="C21">
            <v>0</v>
          </cell>
        </row>
        <row r="22">
          <cell r="C22">
            <v>0</v>
          </cell>
        </row>
        <row r="23">
          <cell r="C23">
            <v>1507</v>
          </cell>
        </row>
        <row r="24">
          <cell r="C24">
            <v>1067</v>
          </cell>
        </row>
        <row r="25">
          <cell r="C25">
            <v>365</v>
          </cell>
        </row>
        <row r="26">
          <cell r="C26">
            <v>0</v>
          </cell>
        </row>
        <row r="27">
          <cell r="C27">
            <v>0</v>
          </cell>
        </row>
        <row r="28">
          <cell r="C28">
            <v>1518</v>
          </cell>
        </row>
        <row r="29">
          <cell r="C29">
            <v>0</v>
          </cell>
        </row>
        <row r="30">
          <cell r="C30">
            <v>0</v>
          </cell>
        </row>
        <row r="31">
          <cell r="C31">
            <v>0</v>
          </cell>
        </row>
        <row r="32">
          <cell r="C32">
            <v>261</v>
          </cell>
        </row>
        <row r="33">
          <cell r="C33">
            <v>0</v>
          </cell>
        </row>
        <row r="34">
          <cell r="C34">
            <v>989</v>
          </cell>
        </row>
        <row r="35">
          <cell r="C35">
            <v>323</v>
          </cell>
        </row>
        <row r="36">
          <cell r="C36">
            <v>3050</v>
          </cell>
        </row>
        <row r="37">
          <cell r="C37">
            <v>3050</v>
          </cell>
        </row>
        <row r="38">
          <cell r="C38">
            <v>3050</v>
          </cell>
        </row>
        <row r="45">
          <cell r="C45">
            <v>1378</v>
          </cell>
        </row>
        <row r="47">
          <cell r="C47">
            <v>1378</v>
          </cell>
        </row>
        <row r="48">
          <cell r="C48">
            <v>1201.5</v>
          </cell>
        </row>
        <row r="49">
          <cell r="C49">
            <v>24116</v>
          </cell>
        </row>
        <row r="50">
          <cell r="C50">
            <v>1201.5</v>
          </cell>
        </row>
        <row r="51">
          <cell r="C51">
            <v>2986</v>
          </cell>
        </row>
        <row r="52">
          <cell r="C52">
            <v>1880.25</v>
          </cell>
        </row>
        <row r="53">
          <cell r="C53">
            <v>5033.5</v>
          </cell>
        </row>
        <row r="54">
          <cell r="C54">
            <v>31803.75</v>
          </cell>
        </row>
        <row r="55">
          <cell r="C55">
            <v>5033.5</v>
          </cell>
        </row>
        <row r="56">
          <cell r="C56">
            <v>26770.25</v>
          </cell>
        </row>
        <row r="57">
          <cell r="C57">
            <v>11023</v>
          </cell>
        </row>
        <row r="58">
          <cell r="C58">
            <v>278</v>
          </cell>
        </row>
        <row r="59">
          <cell r="C59">
            <v>11178.25</v>
          </cell>
        </row>
        <row r="60">
          <cell r="C60">
            <v>278</v>
          </cell>
        </row>
        <row r="61">
          <cell r="C61">
            <v>11178.25</v>
          </cell>
        </row>
        <row r="62">
          <cell r="C62">
            <v>16</v>
          </cell>
        </row>
        <row r="63">
          <cell r="C63">
            <v>2850.8362414456324</v>
          </cell>
        </row>
        <row r="64">
          <cell r="C64">
            <v>16</v>
          </cell>
        </row>
        <row r="65">
          <cell r="C65">
            <v>8311.4137585543685</v>
          </cell>
        </row>
        <row r="66">
          <cell r="C66">
            <v>8311.4137585543685</v>
          </cell>
        </row>
        <row r="67">
          <cell r="C67">
            <v>8311.4137585543685</v>
          </cell>
        </row>
        <row r="68">
          <cell r="C68">
            <v>-523</v>
          </cell>
        </row>
        <row r="69">
          <cell r="C69">
            <v>8311.4137585543685</v>
          </cell>
        </row>
        <row r="70">
          <cell r="C70">
            <v>-523</v>
          </cell>
        </row>
        <row r="71">
          <cell r="C71">
            <v>-523</v>
          </cell>
        </row>
        <row r="72">
          <cell r="C72">
            <v>7788</v>
          </cell>
        </row>
        <row r="73">
          <cell r="C73">
            <v>0.24</v>
          </cell>
        </row>
        <row r="74">
          <cell r="C74">
            <v>1.3066206191722007</v>
          </cell>
        </row>
        <row r="75">
          <cell r="C75">
            <v>0.24</v>
          </cell>
        </row>
        <row r="76">
          <cell r="C76" t="str">
            <v>--</v>
          </cell>
        </row>
        <row r="77">
          <cell r="C77">
            <v>1.3066206191722007</v>
          </cell>
        </row>
        <row r="78">
          <cell r="C78">
            <v>1.3066206191722007</v>
          </cell>
        </row>
        <row r="79">
          <cell r="C79">
            <v>6361</v>
          </cell>
        </row>
        <row r="80">
          <cell r="C80">
            <v>6361</v>
          </cell>
        </row>
        <row r="81">
          <cell r="C81" t="str">
            <v>2001A</v>
          </cell>
        </row>
        <row r="82">
          <cell r="C82" t="str">
            <v>2001A</v>
          </cell>
        </row>
        <row r="83">
          <cell r="C83">
            <v>0.84173250009825884</v>
          </cell>
        </row>
        <row r="84">
          <cell r="C84">
            <v>0.84173250009825884</v>
          </cell>
        </row>
        <row r="85">
          <cell r="C85">
            <v>0.34273474040011004</v>
          </cell>
        </row>
        <row r="86">
          <cell r="C86">
            <v>0.35147584797390247</v>
          </cell>
        </row>
        <row r="87">
          <cell r="C87">
            <v>0.34273474040011004</v>
          </cell>
        </row>
        <row r="88">
          <cell r="C88">
            <v>0.35147584797390247</v>
          </cell>
        </row>
        <row r="89">
          <cell r="C89" t="str">
            <v>--</v>
          </cell>
        </row>
        <row r="90">
          <cell r="C90" t="str">
            <v>--</v>
          </cell>
        </row>
        <row r="91">
          <cell r="C91" t="str">
            <v>--</v>
          </cell>
        </row>
        <row r="92">
          <cell r="C92" t="str">
            <v>--</v>
          </cell>
        </row>
        <row r="93">
          <cell r="C93" t="str">
            <v>--</v>
          </cell>
        </row>
        <row r="94">
          <cell r="C94" t="str">
            <v>--</v>
          </cell>
        </row>
        <row r="95">
          <cell r="C95" t="str">
            <v>--</v>
          </cell>
        </row>
        <row r="96">
          <cell r="C96" t="str">
            <v>--</v>
          </cell>
        </row>
        <row r="97">
          <cell r="C97" t="str">
            <v>--</v>
          </cell>
        </row>
        <row r="98">
          <cell r="C98" t="str">
            <v>--</v>
          </cell>
        </row>
        <row r="99">
          <cell r="C99" t="str">
            <v>--</v>
          </cell>
        </row>
        <row r="100">
          <cell r="C100" t="str">
            <v>--</v>
          </cell>
        </row>
        <row r="101">
          <cell r="C101" t="str">
            <v>--</v>
          </cell>
        </row>
        <row r="102">
          <cell r="C102" t="str">
            <v>--</v>
          </cell>
        </row>
        <row r="103">
          <cell r="C103">
            <v>10</v>
          </cell>
        </row>
        <row r="104">
          <cell r="C104">
            <v>7</v>
          </cell>
        </row>
        <row r="105">
          <cell r="C105">
            <v>10</v>
          </cell>
        </row>
        <row r="106">
          <cell r="C106">
            <v>7</v>
          </cell>
        </row>
        <row r="107">
          <cell r="C107">
            <v>0.26741582351965498</v>
          </cell>
        </row>
        <row r="108">
          <cell r="C108">
            <v>0.41594791839442691</v>
          </cell>
        </row>
        <row r="109">
          <cell r="C109" t="e">
            <v>#REF!</v>
          </cell>
        </row>
        <row r="110">
          <cell r="C110" t="e">
            <v>#REF!</v>
          </cell>
        </row>
        <row r="111">
          <cell r="C111" t="e">
            <v>#REF!</v>
          </cell>
        </row>
        <row r="112">
          <cell r="C112" t="e">
            <v>#REF!</v>
          </cell>
        </row>
        <row r="113">
          <cell r="C113" t="e">
            <v>#REF!</v>
          </cell>
        </row>
        <row r="114">
          <cell r="C114" t="e">
            <v>#REF!</v>
          </cell>
        </row>
        <row r="115">
          <cell r="C115" t="e">
            <v>#REF!</v>
          </cell>
        </row>
        <row r="116">
          <cell r="C116" t="e">
            <v>#REF!</v>
          </cell>
        </row>
        <row r="117">
          <cell r="C117" t="e">
            <v>#REF!</v>
          </cell>
        </row>
        <row r="120">
          <cell r="C120" t="str">
            <v>2001A</v>
          </cell>
        </row>
        <row r="121">
          <cell r="C121" t="str">
            <v>2001A</v>
          </cell>
        </row>
        <row r="122">
          <cell r="C122">
            <v>0.15826749990174116</v>
          </cell>
        </row>
        <row r="123">
          <cell r="C123">
            <v>0.15826749990174116</v>
          </cell>
        </row>
        <row r="124">
          <cell r="C124">
            <v>0.15826749990174116</v>
          </cell>
        </row>
        <row r="125">
          <cell r="C125">
            <v>0.15826749990174116</v>
          </cell>
        </row>
        <row r="126">
          <cell r="C126">
            <v>0</v>
          </cell>
        </row>
        <row r="127">
          <cell r="C127">
            <v>0.34659434815076839</v>
          </cell>
        </row>
        <row r="128">
          <cell r="C128">
            <v>0.34659434815076839</v>
          </cell>
        </row>
        <row r="129">
          <cell r="C129">
            <v>0.15240341154738041</v>
          </cell>
        </row>
        <row r="130">
          <cell r="C130">
            <v>0.15240341154738041</v>
          </cell>
        </row>
        <row r="131">
          <cell r="C131">
            <v>0.15240341154738041</v>
          </cell>
        </row>
        <row r="132">
          <cell r="C132">
            <v>0.15240341154738041</v>
          </cell>
        </row>
        <row r="133">
          <cell r="C133">
            <v>6449</v>
          </cell>
        </row>
        <row r="134">
          <cell r="C134">
            <v>6449</v>
          </cell>
        </row>
        <row r="135">
          <cell r="C135">
            <v>3582</v>
          </cell>
        </row>
        <row r="136">
          <cell r="C136">
            <v>551</v>
          </cell>
        </row>
        <row r="137">
          <cell r="C137">
            <v>604</v>
          </cell>
        </row>
        <row r="138">
          <cell r="C138">
            <v>284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 t="str">
            <v>_2001</v>
          </cell>
        </row>
        <row r="142">
          <cell r="C142" t="str">
            <v>2001-fy</v>
          </cell>
        </row>
        <row r="143">
          <cell r="C143">
            <v>323</v>
          </cell>
        </row>
        <row r="144">
          <cell r="C144">
            <v>149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1507</v>
          </cell>
        </row>
        <row r="152">
          <cell r="C152">
            <v>1067</v>
          </cell>
        </row>
        <row r="153">
          <cell r="C153">
            <v>365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1518</v>
          </cell>
        </row>
        <row r="157">
          <cell r="C157">
            <v>0</v>
          </cell>
        </row>
        <row r="158">
          <cell r="C158">
            <v>2004</v>
          </cell>
        </row>
        <row r="159">
          <cell r="C159">
            <v>0</v>
          </cell>
        </row>
        <row r="160">
          <cell r="C160">
            <v>10862</v>
          </cell>
        </row>
        <row r="161">
          <cell r="C161">
            <v>50</v>
          </cell>
        </row>
        <row r="162">
          <cell r="C162">
            <v>5</v>
          </cell>
        </row>
        <row r="163">
          <cell r="C163">
            <v>323</v>
          </cell>
        </row>
        <row r="164">
          <cell r="C164">
            <v>2723</v>
          </cell>
        </row>
        <row r="165">
          <cell r="C165">
            <v>10</v>
          </cell>
        </row>
        <row r="166">
          <cell r="C166">
            <v>0</v>
          </cell>
        </row>
        <row r="167">
          <cell r="C167">
            <v>4588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721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io"/>
      <sheetName val="Bio (2)"/>
      <sheetName val="Bio (3)"/>
      <sheetName val="Bio (4)"/>
      <sheetName val="Bio (5)"/>
      <sheetName val="Sheet1"/>
      <sheetName val="Sheet2"/>
      <sheetName val="FF-manpwr"/>
    </sheetNames>
    <sheetDataSet>
      <sheetData sheetId="0" refreshError="1">
        <row r="5">
          <cell r="A5" t="str">
            <v>Present Market Value</v>
          </cell>
        </row>
        <row r="6">
          <cell r="A6" t="str">
            <v>(Dollars in millions except per share data)</v>
          </cell>
        </row>
        <row r="8">
          <cell r="C8" t="str">
            <v>PUBLIC</v>
          </cell>
          <cell r="D8" t="str">
            <v>PUBLIC COMPARABLES(2)</v>
          </cell>
          <cell r="H8" t="str">
            <v>TRANSACTION COMPARABLES</v>
          </cell>
        </row>
        <row r="9">
          <cell r="B9" t="str">
            <v>Target</v>
          </cell>
          <cell r="C9" t="str">
            <v>COMP.</v>
          </cell>
          <cell r="J9" t="str">
            <v xml:space="preserve">J &amp; W </v>
          </cell>
          <cell r="K9" t="str">
            <v xml:space="preserve">Baxter </v>
          </cell>
          <cell r="L9" t="str">
            <v>E. Merck/</v>
          </cell>
        </row>
        <row r="10">
          <cell r="B10" t="str">
            <v>@ Offer</v>
          </cell>
          <cell r="C10" t="str">
            <v xml:space="preserve">AVG (1)  </v>
          </cell>
          <cell r="D10" t="str">
            <v>Fisher</v>
          </cell>
          <cell r="E10" t="str">
            <v>VWR</v>
          </cell>
          <cell r="H10" t="str">
            <v>Cosa Rocas</v>
          </cell>
          <cell r="I10" t="str">
            <v>CMS/ FSE</v>
          </cell>
          <cell r="J10" t="str">
            <v>Scientific</v>
          </cell>
          <cell r="K10" t="str">
            <v>Industrial</v>
          </cell>
          <cell r="L10" t="str">
            <v>VWR Equity Purch.</v>
          </cell>
        </row>
        <row r="12">
          <cell r="A12" t="str">
            <v>Market Value or Offer Price</v>
          </cell>
          <cell r="B12">
            <v>123.12350330737669</v>
          </cell>
          <cell r="D12">
            <v>562.5</v>
          </cell>
          <cell r="E12">
            <v>962.55</v>
          </cell>
          <cell r="H12">
            <v>5.5</v>
          </cell>
          <cell r="I12">
            <v>310</v>
          </cell>
          <cell r="J12">
            <v>35</v>
          </cell>
          <cell r="K12">
            <v>475</v>
          </cell>
          <cell r="L12">
            <v>250.88399999999999</v>
          </cell>
        </row>
        <row r="13">
          <cell r="A13" t="str">
            <v>Total Debt (net) (3)</v>
          </cell>
          <cell r="B13">
            <v>-43.806672424171659</v>
          </cell>
          <cell r="D13">
            <v>843.8</v>
          </cell>
          <cell r="E13">
            <v>232.4</v>
          </cell>
          <cell r="H13">
            <v>1</v>
          </cell>
          <cell r="I13">
            <v>0</v>
          </cell>
          <cell r="J13">
            <v>0</v>
          </cell>
          <cell r="K13">
            <v>0</v>
          </cell>
          <cell r="L13">
            <v>408.1</v>
          </cell>
        </row>
        <row r="14">
          <cell r="A14" t="str">
            <v xml:space="preserve">Market Capitalization </v>
          </cell>
          <cell r="B14">
            <v>79.316830883205029</v>
          </cell>
          <cell r="D14">
            <v>1406.3</v>
          </cell>
          <cell r="E14">
            <v>1194.95</v>
          </cell>
          <cell r="H14">
            <v>6.5</v>
          </cell>
          <cell r="I14">
            <v>310</v>
          </cell>
          <cell r="J14">
            <v>35</v>
          </cell>
          <cell r="K14">
            <v>475</v>
          </cell>
          <cell r="L14">
            <v>658.98400000000004</v>
          </cell>
        </row>
        <row r="15">
          <cell r="A15" t="str">
            <v>Annual Sales 1997</v>
          </cell>
          <cell r="B15">
            <v>72.008708029808247</v>
          </cell>
          <cell r="D15">
            <v>2175.3000000000002</v>
          </cell>
          <cell r="E15">
            <v>1230.2</v>
          </cell>
          <cell r="H15">
            <v>10.6</v>
          </cell>
          <cell r="I15">
            <v>764.6</v>
          </cell>
          <cell r="J15">
            <v>21.2</v>
          </cell>
          <cell r="K15">
            <v>479</v>
          </cell>
          <cell r="L15">
            <v>1066</v>
          </cell>
        </row>
        <row r="16">
          <cell r="A16" t="str">
            <v xml:space="preserve">P/E - 1995  </v>
          </cell>
        </row>
        <row r="17">
          <cell r="A17" t="str">
            <v xml:space="preserve">P/E - 1997  </v>
          </cell>
          <cell r="B17">
            <v>20.52516680159685</v>
          </cell>
          <cell r="C17">
            <v>18.990875803081629</v>
          </cell>
          <cell r="D17">
            <v>11.917372881355933</v>
          </cell>
          <cell r="E17">
            <v>32.547169811320757</v>
          </cell>
          <cell r="H17">
            <v>5.6701030927835054</v>
          </cell>
          <cell r="I17">
            <v>19.62025316455696</v>
          </cell>
          <cell r="J17">
            <v>11.29032258064516</v>
          </cell>
          <cell r="K17">
            <v>21.59090909090909</v>
          </cell>
          <cell r="L17">
            <v>30.299999999999997</v>
          </cell>
        </row>
        <row r="18">
          <cell r="A18" t="str">
            <v>P/E - 1998E</v>
          </cell>
          <cell r="B18">
            <v>15.338354997244787</v>
          </cell>
          <cell r="C18">
            <v>16.877516373793622</v>
          </cell>
          <cell r="D18">
            <v>26.533018867924525</v>
          </cell>
          <cell r="E18">
            <v>25.555555555555554</v>
          </cell>
          <cell r="H18">
            <v>4.9107142857142856</v>
          </cell>
          <cell r="I18">
            <v>23.308270676691727</v>
          </cell>
          <cell r="J18">
            <v>10.416666666666668</v>
          </cell>
          <cell r="K18">
            <v>14.660493827160494</v>
          </cell>
          <cell r="L18">
            <v>12.757894736842106</v>
          </cell>
        </row>
        <row r="19">
          <cell r="A19" t="str">
            <v>P/E - 1999E</v>
          </cell>
          <cell r="B19">
            <v>13.649789138902332</v>
          </cell>
          <cell r="C19">
            <v>12.811435440561425</v>
          </cell>
          <cell r="D19">
            <v>13.14252336448598</v>
          </cell>
          <cell r="E19">
            <v>20.17543859649123</v>
          </cell>
          <cell r="H19" t="str">
            <v>na</v>
          </cell>
          <cell r="I19">
            <v>14.761904761904763</v>
          </cell>
          <cell r="J19">
            <v>9.6106150793650809</v>
          </cell>
          <cell r="K19">
            <v>11.098130841121495</v>
          </cell>
          <cell r="L19">
            <v>8.08</v>
          </cell>
        </row>
        <row r="21">
          <cell r="A21" t="str">
            <v xml:space="preserve">Market Value/ Book Value </v>
          </cell>
          <cell r="B21">
            <v>1.8858988512728747</v>
          </cell>
          <cell r="C21">
            <v>2.1165257419001238</v>
          </cell>
          <cell r="D21">
            <v>-1.5818335208098986</v>
          </cell>
          <cell r="E21">
            <v>2.814473684210526</v>
          </cell>
          <cell r="H21">
            <v>1.9642857142857144</v>
          </cell>
          <cell r="I21">
            <v>1.2291831879460746</v>
          </cell>
          <cell r="J21">
            <v>1.8041237113402062</v>
          </cell>
          <cell r="K21">
            <v>6.4189189189189193</v>
          </cell>
          <cell r="L21">
            <v>2.1665284974093262</v>
          </cell>
        </row>
        <row r="22">
          <cell r="A22" t="str">
            <v>Market Cap/ Annual Sales</v>
          </cell>
          <cell r="B22">
            <v>1.1014894316722299</v>
          </cell>
          <cell r="C22">
            <v>0.84246521368052796</v>
          </cell>
          <cell r="D22">
            <v>0.64648554222406096</v>
          </cell>
          <cell r="E22">
            <v>0.97134612258169406</v>
          </cell>
          <cell r="H22">
            <v>0.6132075471698113</v>
          </cell>
          <cell r="I22">
            <v>0.40544075333507718</v>
          </cell>
          <cell r="J22">
            <v>1.6509433962264151</v>
          </cell>
          <cell r="K22">
            <v>0.99164926931106467</v>
          </cell>
          <cell r="L22">
            <v>0.61818386491557231</v>
          </cell>
        </row>
        <row r="23">
          <cell r="A23" t="str">
            <v>Market Cap/1997 EBIT</v>
          </cell>
          <cell r="B23">
            <v>8.328183563424167</v>
          </cell>
          <cell r="C23">
            <v>11.347888984485635</v>
          </cell>
          <cell r="D23">
            <v>12.973247232472323</v>
          </cell>
          <cell r="E23">
            <v>15.458602846054335</v>
          </cell>
          <cell r="H23">
            <v>5</v>
          </cell>
          <cell r="I23">
            <v>14.485981308411215</v>
          </cell>
          <cell r="J23">
            <v>6.7307692307692308</v>
          </cell>
          <cell r="K23">
            <v>10.795454545454545</v>
          </cell>
          <cell r="L23">
            <v>13.991167728237793</v>
          </cell>
        </row>
        <row r="24">
          <cell r="A24" t="str">
            <v>Market Cap/1997  EBITDA</v>
          </cell>
          <cell r="B24">
            <v>7.7583655034326382</v>
          </cell>
          <cell r="C24">
            <v>8.8797536968242294</v>
          </cell>
          <cell r="D24">
            <v>9.0495495495495497</v>
          </cell>
          <cell r="E24">
            <v>12.033736153071501</v>
          </cell>
          <cell r="H24">
            <v>4.6428571428571432</v>
          </cell>
          <cell r="I24">
            <v>8.7570621468926557</v>
          </cell>
          <cell r="J24">
            <v>5.7377049180327875</v>
          </cell>
          <cell r="K24">
            <v>10.416666666666666</v>
          </cell>
          <cell r="L24">
            <v>11.520699300699301</v>
          </cell>
        </row>
        <row r="25">
          <cell r="A25" t="str">
            <v>Market Cap/1998 EBIT</v>
          </cell>
          <cell r="B25">
            <v>7.63972247777241</v>
          </cell>
          <cell r="C25">
            <v>7.949698111747316</v>
          </cell>
          <cell r="D25">
            <v>9.4956110735989192</v>
          </cell>
          <cell r="E25">
            <v>13.687857961053838</v>
          </cell>
          <cell r="H25">
            <v>3.8235294117647061</v>
          </cell>
          <cell r="I25">
            <v>9.1715976331360949</v>
          </cell>
          <cell r="J25">
            <v>6.25</v>
          </cell>
          <cell r="K25">
            <v>7.3302469135802468</v>
          </cell>
          <cell r="L25">
            <v>5.8890437890974088</v>
          </cell>
        </row>
        <row r="26">
          <cell r="A26" t="str">
            <v>Market Cap/1998 EBITDA</v>
          </cell>
          <cell r="B26">
            <v>7.1150894065699646</v>
          </cell>
          <cell r="C26">
            <v>6.4657417325103301</v>
          </cell>
          <cell r="D26">
            <v>7.0279860069965014</v>
          </cell>
          <cell r="E26">
            <v>10.833635539437898</v>
          </cell>
          <cell r="H26">
            <v>3.6111111111111112</v>
          </cell>
          <cell r="I26">
            <v>6.485355648535565</v>
          </cell>
          <cell r="J26">
            <v>5.384615384615385</v>
          </cell>
          <cell r="K26">
            <v>7.0684523809523805</v>
          </cell>
          <cell r="L26">
            <v>4.8490360559234729</v>
          </cell>
        </row>
        <row r="27">
          <cell r="A27" t="str">
            <v>Market Cap/1999 EBIT</v>
          </cell>
          <cell r="B27">
            <v>6.8077486250560355</v>
          </cell>
          <cell r="C27">
            <v>7.7663158778228114</v>
          </cell>
          <cell r="D27">
            <v>9.2763852242744065</v>
          </cell>
          <cell r="E27">
            <v>11.413085004775549</v>
          </cell>
          <cell r="H27" t="str">
            <v>na</v>
          </cell>
          <cell r="I27">
            <v>10.898976412995106</v>
          </cell>
          <cell r="J27">
            <v>5.7294051434676447</v>
          </cell>
          <cell r="K27">
            <v>5.5490654205607477</v>
          </cell>
          <cell r="L27">
            <v>3.7309780608634115</v>
          </cell>
        </row>
        <row r="28">
          <cell r="A28" t="str">
            <v>Market Cap/1999 EBITDA</v>
          </cell>
          <cell r="B28">
            <v>6.3403612624054064</v>
          </cell>
          <cell r="C28">
            <v>5.9545385789637573</v>
          </cell>
          <cell r="D28">
            <v>6.6147695202257761</v>
          </cell>
          <cell r="E28">
            <v>9.2131842713955301</v>
          </cell>
          <cell r="H28" t="str">
            <v>na</v>
          </cell>
          <cell r="I28">
            <v>6.5886467581382835</v>
          </cell>
          <cell r="J28">
            <v>4.8840830731199594</v>
          </cell>
          <cell r="K28">
            <v>5.3543613707165116</v>
          </cell>
          <cell r="L28">
            <v>3.0721864801864802</v>
          </cell>
        </row>
        <row r="30">
          <cell r="A30" t="str">
            <v>Acquisition of Stock</v>
          </cell>
          <cell r="F30" t="str">
            <v>Target Assumptions</v>
          </cell>
        </row>
        <row r="31">
          <cell r="A31" t="str">
            <v>Accretion/(Dilution) To FSH</v>
          </cell>
          <cell r="F31" t="str">
            <v xml:space="preserve">Sales 5 Yr. CAGR </v>
          </cell>
          <cell r="I31">
            <v>7.0000000000000062E-2</v>
          </cell>
        </row>
        <row r="32">
          <cell r="F32" t="str">
            <v>Tax Rate</v>
          </cell>
          <cell r="I32">
            <v>0.4</v>
          </cell>
        </row>
        <row r="33">
          <cell r="B33">
            <v>1998</v>
          </cell>
          <cell r="C33">
            <v>1999</v>
          </cell>
          <cell r="D33">
            <v>2000</v>
          </cell>
          <cell r="F33" t="str">
            <v>Purchase Multiple of 1997 EBIT:</v>
          </cell>
          <cell r="I33">
            <v>8.328183563424167</v>
          </cell>
        </row>
        <row r="34">
          <cell r="A34" t="str">
            <v>Cash for Stock (Debt Financing) (4)</v>
          </cell>
          <cell r="F34" t="str">
            <v>Terminal Multiple of 2002E EBIT:</v>
          </cell>
          <cell r="I34">
            <v>7.204202264628802</v>
          </cell>
        </row>
        <row r="35">
          <cell r="A35" t="str">
            <v xml:space="preserve">            Incremental Net income (chk with Bob)</v>
          </cell>
          <cell r="B35">
            <v>-0.93498943367478837</v>
          </cell>
          <cell r="C35">
            <v>5.8021980701662201E-2</v>
          </cell>
          <cell r="D35">
            <v>1.2004916335835834</v>
          </cell>
        </row>
        <row r="36">
          <cell r="A36" t="str">
            <v xml:space="preserve">            Per share</v>
          </cell>
          <cell r="B36">
            <v>-2.3374735841869665E-2</v>
          </cell>
          <cell r="C36">
            <v>1.4505495175416439E-3</v>
          </cell>
          <cell r="D36">
            <v>3.0012290839589451E-2</v>
          </cell>
          <cell r="F36" t="str">
            <v>Fisher Assumptions</v>
          </cell>
        </row>
        <row r="37">
          <cell r="A37" t="str">
            <v xml:space="preserve">            Dilution Threshold</v>
          </cell>
          <cell r="B37">
            <v>0</v>
          </cell>
          <cell r="C37">
            <v>0</v>
          </cell>
          <cell r="D37">
            <v>0</v>
          </cell>
          <cell r="F37" t="str">
            <v>Tax rate</v>
          </cell>
          <cell r="I37">
            <v>0.4</v>
          </cell>
        </row>
        <row r="38">
          <cell r="F38" t="str">
            <v>Debt financing cost</v>
          </cell>
          <cell r="I38">
            <v>0.09</v>
          </cell>
        </row>
        <row r="39">
          <cell r="A39" t="str">
            <v>Stock for Stock (Purchase)</v>
          </cell>
          <cell r="D39" t="str">
            <v xml:space="preserve"> </v>
          </cell>
          <cell r="F39" t="str">
            <v>Goodwill amortization (Years)</v>
          </cell>
          <cell r="I39">
            <v>25</v>
          </cell>
        </row>
        <row r="40">
          <cell r="A40" t="str">
            <v xml:space="preserve">            Incremental Net income</v>
          </cell>
          <cell r="B40">
            <v>5.713679744923553</v>
          </cell>
          <cell r="C40">
            <v>6.7066911593000036</v>
          </cell>
          <cell r="D40">
            <v>7.8491608121819247</v>
          </cell>
          <cell r="F40" t="str">
            <v>Goodwill Tax Deductible</v>
          </cell>
          <cell r="I40" t="str">
            <v>No</v>
          </cell>
        </row>
        <row r="41">
          <cell r="A41" t="str">
            <v xml:space="preserve">            Per share</v>
          </cell>
          <cell r="B41">
            <v>2.2013779555791091E-2</v>
          </cell>
          <cell r="C41">
            <v>-5.4591629269827857E-2</v>
          </cell>
          <cell r="D41">
            <v>-0.12543788746897855</v>
          </cell>
        </row>
        <row r="42">
          <cell r="A42" t="str">
            <v xml:space="preserve">            Dilution Threshold</v>
          </cell>
          <cell r="B42">
            <v>0</v>
          </cell>
          <cell r="C42">
            <v>0</v>
          </cell>
          <cell r="D42">
            <v>0</v>
          </cell>
          <cell r="I42">
            <v>1998</v>
          </cell>
          <cell r="J42">
            <v>1999</v>
          </cell>
          <cell r="K42">
            <v>2000</v>
          </cell>
        </row>
        <row r="43">
          <cell r="F43" t="str">
            <v>EBIT</v>
          </cell>
          <cell r="I43">
            <v>10.382161277975143</v>
          </cell>
          <cell r="J43">
            <v>11.65096351990408</v>
          </cell>
          <cell r="K43">
            <v>13.0464277509508</v>
          </cell>
        </row>
        <row r="44">
          <cell r="F44" t="str">
            <v>Depreciation &amp; Amortization</v>
          </cell>
          <cell r="I44">
            <v>0.76553151278094744</v>
          </cell>
          <cell r="J44">
            <v>0.85886480068499138</v>
          </cell>
          <cell r="K44">
            <v>0.95085718078720227</v>
          </cell>
        </row>
        <row r="45">
          <cell r="A45" t="str">
            <v>IRR @</v>
          </cell>
          <cell r="B45">
            <v>79.316830883205029</v>
          </cell>
          <cell r="C45" t="str">
            <v>*    equals:</v>
          </cell>
          <cell r="D45">
            <v>0.1455104494284723</v>
          </cell>
          <cell r="F45" t="str">
            <v xml:space="preserve">Working Capital </v>
          </cell>
          <cell r="I45">
            <v>-1.254072741210507</v>
          </cell>
          <cell r="J45">
            <v>-1.3438219478321969</v>
          </cell>
          <cell r="K45">
            <v>-1.4380477381261798</v>
          </cell>
        </row>
        <row r="46">
          <cell r="F46" t="str">
            <v>Capex</v>
          </cell>
          <cell r="I46">
            <v>-1.1557397638784226</v>
          </cell>
          <cell r="J46">
            <v>-1.2366415473499122</v>
          </cell>
          <cell r="K46">
            <v>-1.3232064556644063</v>
          </cell>
        </row>
        <row r="47">
          <cell r="A47" t="str">
            <v>PV @</v>
          </cell>
          <cell r="B47">
            <v>0.15</v>
          </cell>
          <cell r="C47" t="str">
            <v>equals:</v>
          </cell>
          <cell r="D47">
            <v>77.935092001174382</v>
          </cell>
          <cell r="F47" t="str">
            <v>Purchase Accounting Outflows</v>
          </cell>
          <cell r="I47">
            <v>0</v>
          </cell>
          <cell r="J47">
            <v>0</v>
          </cell>
          <cell r="K47">
            <v>0</v>
          </cell>
        </row>
        <row r="48">
          <cell r="A48" t="str">
            <v>NPV @</v>
          </cell>
          <cell r="B48">
            <v>0.15</v>
          </cell>
          <cell r="C48" t="str">
            <v>equals:</v>
          </cell>
          <cell r="D48">
            <v>-1.3817388820306462</v>
          </cell>
          <cell r="F48" t="str">
            <v>Free Cash Flow</v>
          </cell>
          <cell r="I48">
            <v>8.7378802856671616</v>
          </cell>
          <cell r="J48">
            <v>9.929364825406962</v>
          </cell>
          <cell r="K48">
            <v>11.236030737947416</v>
          </cell>
        </row>
        <row r="49">
          <cell r="F49" t="str">
            <v>Interest (after tax)</v>
          </cell>
          <cell r="I49">
            <v>-4.2831088676930715</v>
          </cell>
          <cell r="J49">
            <v>-4.2668058947267342</v>
          </cell>
          <cell r="K49">
            <v>-4.2126885244999297</v>
          </cell>
        </row>
        <row r="50">
          <cell r="B50" t="str">
            <v>* Unlevered</v>
          </cell>
          <cell r="F50" t="str">
            <v>Taxes</v>
          </cell>
          <cell r="I50">
            <v>-4.1528645111900575</v>
          </cell>
          <cell r="J50">
            <v>-4.6603854079616323</v>
          </cell>
          <cell r="K50">
            <v>-5.2185711003803199</v>
          </cell>
        </row>
        <row r="51">
          <cell r="F51" t="str">
            <v>Excess Cash Flow</v>
          </cell>
          <cell r="I51">
            <v>0.30190690678403254</v>
          </cell>
          <cell r="J51">
            <v>1.0021735227185955</v>
          </cell>
          <cell r="K51">
            <v>1.8047711130671669</v>
          </cell>
        </row>
        <row r="52">
          <cell r="A52" t="str">
            <v>Fisher 1997 = Target 1998</v>
          </cell>
        </row>
        <row r="54">
          <cell r="A54" t="str">
            <v>(1) Average multiples include all figures.</v>
          </cell>
        </row>
        <row r="55">
          <cell r="A55" t="str">
            <v>(2) Excludes extraordinary items.  Balance sheet data as of latest quarter.  All data sourced from SEC filings and company earnings releases.</v>
          </cell>
        </row>
        <row r="56">
          <cell r="A56" t="str">
            <v xml:space="preserve">(3) Includes debt less cash.  Target balance sheet estimated as of 06/30/98.  </v>
          </cell>
        </row>
        <row r="57">
          <cell r="A57" t="str">
            <v>(4) Consideration: 100% Debt.</v>
          </cell>
        </row>
        <row r="58">
          <cell r="A58" t="str">
            <v>Present Market Value</v>
          </cell>
        </row>
        <row r="59">
          <cell r="A59" t="str">
            <v>(U.S. $ in millions except per share amounts)</v>
          </cell>
        </row>
        <row r="61">
          <cell r="D61" t="str">
            <v>PUBLIC COMPARABLES(1)</v>
          </cell>
          <cell r="H61" t="str">
            <v>TRANSACTION COMPARABLES</v>
          </cell>
        </row>
        <row r="62">
          <cell r="B62" t="str">
            <v>Target</v>
          </cell>
          <cell r="J62" t="str">
            <v xml:space="preserve">J &amp; W </v>
          </cell>
          <cell r="K62" t="str">
            <v>Baxter</v>
          </cell>
          <cell r="L62" t="str">
            <v>E. Merck/</v>
          </cell>
        </row>
        <row r="63">
          <cell r="A63" t="str">
            <v xml:space="preserve"> </v>
          </cell>
          <cell r="B63" t="str">
            <v>@ Offer</v>
          </cell>
          <cell r="D63" t="str">
            <v>Fisher</v>
          </cell>
          <cell r="E63" t="str">
            <v>VWR</v>
          </cell>
          <cell r="H63" t="str">
            <v>Cosa Rocas</v>
          </cell>
          <cell r="I63" t="str">
            <v>CMS/ FSE</v>
          </cell>
          <cell r="J63" t="str">
            <v>Scientific</v>
          </cell>
          <cell r="K63" t="str">
            <v>Industrial</v>
          </cell>
          <cell r="L63" t="str">
            <v>VWR Equity Purch.</v>
          </cell>
        </row>
        <row r="64">
          <cell r="D64" t="str">
            <v xml:space="preserve"> </v>
          </cell>
        </row>
        <row r="65">
          <cell r="A65" t="str">
            <v>Offer price per share</v>
          </cell>
          <cell r="B65">
            <v>60.118898099305028</v>
          </cell>
          <cell r="D65">
            <v>14.0625</v>
          </cell>
          <cell r="E65">
            <v>34.5</v>
          </cell>
          <cell r="H65">
            <v>5.5</v>
          </cell>
          <cell r="I65">
            <v>310</v>
          </cell>
          <cell r="J65">
            <v>35</v>
          </cell>
          <cell r="K65">
            <v>475</v>
          </cell>
          <cell r="L65">
            <v>12.12</v>
          </cell>
        </row>
        <row r="66">
          <cell r="A66" t="str">
            <v>Shares Outstanding (mms)</v>
          </cell>
          <cell r="B66">
            <v>2.048</v>
          </cell>
          <cell r="D66">
            <v>40</v>
          </cell>
          <cell r="E66">
            <v>27.9</v>
          </cell>
          <cell r="H66">
            <v>1</v>
          </cell>
          <cell r="I66" t="str">
            <v>n/a</v>
          </cell>
          <cell r="J66">
            <v>1</v>
          </cell>
          <cell r="K66" t="str">
            <v>n/a</v>
          </cell>
          <cell r="L66">
            <v>20.7</v>
          </cell>
        </row>
        <row r="68">
          <cell r="A68" t="str">
            <v>EPS - 1997</v>
          </cell>
          <cell r="B68">
            <v>2.9290333511261792</v>
          </cell>
          <cell r="D68">
            <v>1.18</v>
          </cell>
          <cell r="E68">
            <v>1.06</v>
          </cell>
          <cell r="H68">
            <v>0.97</v>
          </cell>
          <cell r="I68">
            <v>15.8</v>
          </cell>
          <cell r="J68">
            <v>3.1</v>
          </cell>
          <cell r="K68">
            <v>22</v>
          </cell>
          <cell r="L68">
            <v>0.4</v>
          </cell>
        </row>
        <row r="69">
          <cell r="A69" t="str">
            <v xml:space="preserve">EPS - 1998E </v>
          </cell>
          <cell r="B69">
            <v>3.9195140619775799</v>
          </cell>
          <cell r="D69">
            <v>0.53</v>
          </cell>
          <cell r="E69">
            <v>1.35</v>
          </cell>
          <cell r="H69">
            <v>1.1200000000000001</v>
          </cell>
          <cell r="I69">
            <v>13.3</v>
          </cell>
          <cell r="J69">
            <v>3.36</v>
          </cell>
          <cell r="K69">
            <v>32.4</v>
          </cell>
          <cell r="L69">
            <v>0.95</v>
          </cell>
        </row>
        <row r="70">
          <cell r="A70" t="str">
            <v>EPS - 1999E</v>
          </cell>
          <cell r="B70">
            <v>4.4043829166535815</v>
          </cell>
          <cell r="D70">
            <v>1.07</v>
          </cell>
          <cell r="E70">
            <v>1.71</v>
          </cell>
          <cell r="H70" t="str">
            <v>na</v>
          </cell>
          <cell r="I70">
            <v>21</v>
          </cell>
          <cell r="J70">
            <v>3.6418064516129025</v>
          </cell>
          <cell r="K70">
            <v>42.8</v>
          </cell>
          <cell r="L70">
            <v>1.5</v>
          </cell>
        </row>
        <row r="72">
          <cell r="A72" t="str">
            <v>Annual Sales (1997)</v>
          </cell>
          <cell r="B72">
            <v>72.008708029808247</v>
          </cell>
          <cell r="D72">
            <v>2175.3000000000002</v>
          </cell>
          <cell r="E72">
            <v>1230.2</v>
          </cell>
          <cell r="H72">
            <v>10.6</v>
          </cell>
          <cell r="I72">
            <v>764.6</v>
          </cell>
          <cell r="J72">
            <v>21.2</v>
          </cell>
          <cell r="K72">
            <v>479</v>
          </cell>
          <cell r="L72">
            <v>1066</v>
          </cell>
        </row>
        <row r="73">
          <cell r="A73" t="str">
            <v>1997 EBIT</v>
          </cell>
          <cell r="B73">
            <v>9.5239052164447724</v>
          </cell>
          <cell r="D73">
            <v>108.4</v>
          </cell>
          <cell r="E73">
            <v>77.3</v>
          </cell>
          <cell r="H73">
            <v>1.3</v>
          </cell>
          <cell r="I73">
            <v>21.4</v>
          </cell>
          <cell r="J73">
            <v>5.2</v>
          </cell>
          <cell r="K73">
            <v>44</v>
          </cell>
          <cell r="L73">
            <v>47.1</v>
          </cell>
        </row>
        <row r="74">
          <cell r="A74" t="str">
            <v>1997 EBITDA</v>
          </cell>
          <cell r="B74">
            <v>10.223394457004096</v>
          </cell>
          <cell r="D74">
            <v>155.4</v>
          </cell>
          <cell r="E74">
            <v>99.3</v>
          </cell>
          <cell r="H74">
            <v>1.4</v>
          </cell>
          <cell r="I74">
            <v>35.4</v>
          </cell>
          <cell r="J74">
            <v>6.1</v>
          </cell>
          <cell r="K74">
            <v>45.6</v>
          </cell>
          <cell r="L74">
            <v>57.2</v>
          </cell>
        </row>
        <row r="75">
          <cell r="A75" t="str">
            <v>1998 EBIT</v>
          </cell>
          <cell r="B75">
            <v>10.382161277975143</v>
          </cell>
          <cell r="D75">
            <v>148.1</v>
          </cell>
          <cell r="E75">
            <v>87.3</v>
          </cell>
          <cell r="H75">
            <v>1.7</v>
          </cell>
          <cell r="I75">
            <v>33.799999999999997</v>
          </cell>
          <cell r="J75">
            <v>5.6</v>
          </cell>
          <cell r="K75">
            <v>64.8</v>
          </cell>
          <cell r="L75">
            <v>111.9</v>
          </cell>
        </row>
        <row r="76">
          <cell r="A76" t="str">
            <v>1998 EBITDA</v>
          </cell>
          <cell r="B76">
            <v>11.147692790756091</v>
          </cell>
          <cell r="D76">
            <v>200.1</v>
          </cell>
          <cell r="E76">
            <v>110.3</v>
          </cell>
          <cell r="H76">
            <v>1.8</v>
          </cell>
          <cell r="I76">
            <v>47.8</v>
          </cell>
          <cell r="J76">
            <v>6.5</v>
          </cell>
          <cell r="K76">
            <v>67.2</v>
          </cell>
          <cell r="L76">
            <v>135.9</v>
          </cell>
        </row>
        <row r="77">
          <cell r="A77" t="str">
            <v>1999 EBIT</v>
          </cell>
          <cell r="B77">
            <v>11.65096351990408</v>
          </cell>
          <cell r="D77">
            <v>151.6</v>
          </cell>
          <cell r="E77">
            <v>104.7</v>
          </cell>
          <cell r="H77" t="str">
            <v>na</v>
          </cell>
          <cell r="I77">
            <v>28.443037974683541</v>
          </cell>
          <cell r="J77">
            <v>6.1088366285119653</v>
          </cell>
          <cell r="K77">
            <v>85.6</v>
          </cell>
          <cell r="L77">
            <v>176.625</v>
          </cell>
        </row>
        <row r="78">
          <cell r="A78" t="str">
            <v>1999 EBITDA</v>
          </cell>
          <cell r="B78">
            <v>12.509828320589071</v>
          </cell>
          <cell r="D78">
            <v>212.6</v>
          </cell>
          <cell r="E78">
            <v>129.69999999999999</v>
          </cell>
          <cell r="H78" t="str">
            <v>na</v>
          </cell>
          <cell r="I78">
            <v>47.050632911392405</v>
          </cell>
          <cell r="J78">
            <v>7.1661352757544208</v>
          </cell>
          <cell r="K78">
            <v>88.712727272727264</v>
          </cell>
          <cell r="L78">
            <v>214.5</v>
          </cell>
        </row>
        <row r="79">
          <cell r="A79" t="str">
            <v>Depreciation &amp; Amortization (1997)</v>
          </cell>
          <cell r="B79">
            <v>0.69948924055932338</v>
          </cell>
          <cell r="D79">
            <v>47</v>
          </cell>
          <cell r="E79">
            <v>22</v>
          </cell>
          <cell r="H79">
            <v>0.8</v>
          </cell>
          <cell r="I79">
            <v>14</v>
          </cell>
          <cell r="J79">
            <v>0.9</v>
          </cell>
          <cell r="K79" t="str">
            <v>n/a</v>
          </cell>
          <cell r="L79">
            <v>9.8000000000000007</v>
          </cell>
        </row>
        <row r="80">
          <cell r="A80" t="str">
            <v>Book Value (1997)</v>
          </cell>
          <cell r="B80">
            <v>65.286376957213434</v>
          </cell>
          <cell r="D80">
            <v>-355.6</v>
          </cell>
          <cell r="E80">
            <v>342</v>
          </cell>
          <cell r="H80">
            <v>2.8</v>
          </cell>
          <cell r="I80">
            <v>252.2</v>
          </cell>
          <cell r="J80">
            <v>19.399999999999999</v>
          </cell>
          <cell r="K80">
            <v>74</v>
          </cell>
          <cell r="L80">
            <v>115.8</v>
          </cell>
        </row>
        <row r="82">
          <cell r="A82" t="str">
            <v>(1) Excludes extraordinary items.  Balance sheet data as of latest quarter.  All data sourced from SEC filings and company earnings releases.</v>
          </cell>
        </row>
        <row r="84">
          <cell r="A84" t="str">
            <v>EPS Analysis</v>
          </cell>
        </row>
        <row r="86">
          <cell r="B86" t="str">
            <v>Acquisition of 100% Of Stock</v>
          </cell>
        </row>
        <row r="87">
          <cell r="A87" t="str">
            <v xml:space="preserve"> </v>
          </cell>
          <cell r="B87" t="str">
            <v xml:space="preserve">        Debt (1)</v>
          </cell>
          <cell r="F87" t="str">
            <v xml:space="preserve">          Stock (Purchase)</v>
          </cell>
          <cell r="J87" t="str">
            <v>Debt Balance</v>
          </cell>
        </row>
        <row r="88">
          <cell r="B88">
            <v>1998</v>
          </cell>
          <cell r="C88">
            <v>1999</v>
          </cell>
          <cell r="D88">
            <v>2000</v>
          </cell>
          <cell r="E88" t="str">
            <v>CAGR</v>
          </cell>
          <cell r="F88">
            <v>1998</v>
          </cell>
          <cell r="G88">
            <v>1999</v>
          </cell>
          <cell r="H88">
            <v>2000</v>
          </cell>
          <cell r="J88">
            <v>1998</v>
          </cell>
          <cell r="K88">
            <v>1999</v>
          </cell>
          <cell r="L88">
            <v>2000</v>
          </cell>
        </row>
        <row r="89">
          <cell r="A89" t="str">
            <v>Net Income (mm)</v>
          </cell>
          <cell r="B89">
            <v>8.0271647989300838</v>
          </cell>
          <cell r="C89">
            <v>9.0201762133065344</v>
          </cell>
          <cell r="D89">
            <v>10.162645866188456</v>
          </cell>
          <cell r="E89">
            <v>0.12518078364180929</v>
          </cell>
          <cell r="F89">
            <v>8.0271647989300838</v>
          </cell>
          <cell r="G89">
            <v>9.0201762133065344</v>
          </cell>
          <cell r="H89">
            <v>10.162645866188456</v>
          </cell>
          <cell r="J89">
            <v>79.316830883205029</v>
          </cell>
          <cell r="K89">
            <v>79.014923976421002</v>
          </cell>
          <cell r="L89">
            <v>78.012750453702409</v>
          </cell>
        </row>
        <row r="90">
          <cell r="A90" t="str">
            <v>Incremental Goodwill Amortization</v>
          </cell>
          <cell r="B90">
            <v>-2.3134850540065304</v>
          </cell>
          <cell r="C90">
            <v>-2.3134850540065304</v>
          </cell>
          <cell r="D90">
            <v>-2.3134850540065304</v>
          </cell>
          <cell r="F90">
            <v>-2.3134850540065304</v>
          </cell>
          <cell r="G90">
            <v>-2.3134850540065304</v>
          </cell>
          <cell r="H90">
            <v>-2.3134850540065304</v>
          </cell>
        </row>
        <row r="91">
          <cell r="A91" t="str">
            <v>Interest on Debt (after tax)</v>
          </cell>
          <cell r="B91">
            <v>-6.6486691785983414</v>
          </cell>
          <cell r="C91">
            <v>-6.6486691785983414</v>
          </cell>
          <cell r="D91">
            <v>-6.6486691785983414</v>
          </cell>
          <cell r="F91">
            <v>0</v>
          </cell>
          <cell r="G91">
            <v>0</v>
          </cell>
          <cell r="H91">
            <v>0</v>
          </cell>
        </row>
        <row r="92">
          <cell r="A92" t="str">
            <v>Incremental Net Income</v>
          </cell>
          <cell r="B92">
            <v>-0.93498943367478837</v>
          </cell>
          <cell r="C92">
            <v>5.8021980701662201E-2</v>
          </cell>
          <cell r="D92">
            <v>1.2004916335835834</v>
          </cell>
          <cell r="F92">
            <v>5.713679744923553</v>
          </cell>
          <cell r="G92">
            <v>6.7066911593000036</v>
          </cell>
          <cell r="H92">
            <v>7.8491608121819247</v>
          </cell>
        </row>
        <row r="93">
          <cell r="A93" t="str">
            <v>Fisher Fully-Diluted Net Income</v>
          </cell>
          <cell r="B93">
            <v>21.200000000000003</v>
          </cell>
          <cell r="C93">
            <v>42.800000000000004</v>
          </cell>
          <cell r="D93">
            <v>63.8</v>
          </cell>
          <cell r="E93">
            <v>0.7347720202563075</v>
          </cell>
          <cell r="F93">
            <v>21.200000000000003</v>
          </cell>
          <cell r="G93">
            <v>42.800000000000004</v>
          </cell>
          <cell r="H93">
            <v>63.8</v>
          </cell>
        </row>
        <row r="94">
          <cell r="A94" t="str">
            <v>Total Net Income</v>
          </cell>
          <cell r="B94">
            <v>20.265010566325216</v>
          </cell>
          <cell r="C94">
            <v>42.858021980701665</v>
          </cell>
          <cell r="D94">
            <v>65.000491633583579</v>
          </cell>
          <cell r="F94">
            <v>26.913679744923556</v>
          </cell>
          <cell r="G94">
            <v>49.506691159300004</v>
          </cell>
          <cell r="H94">
            <v>71.649160812181918</v>
          </cell>
        </row>
        <row r="95">
          <cell r="A95" t="str">
            <v>Fisher Shares (fully diluted) - pre-Acq.</v>
          </cell>
          <cell r="B95">
            <v>40</v>
          </cell>
          <cell r="C95">
            <v>40</v>
          </cell>
          <cell r="D95">
            <v>40</v>
          </cell>
          <cell r="F95">
            <v>40</v>
          </cell>
          <cell r="G95">
            <v>40</v>
          </cell>
          <cell r="H95">
            <v>40</v>
          </cell>
        </row>
        <row r="96">
          <cell r="A96" t="str">
            <v>Fisher Shares  issued - Acq. Currency</v>
          </cell>
          <cell r="B96">
            <v>0</v>
          </cell>
          <cell r="C96">
            <v>0</v>
          </cell>
          <cell r="D96">
            <v>0</v>
          </cell>
          <cell r="F96">
            <v>8.7554491240801209</v>
          </cell>
          <cell r="G96">
            <v>8.7554491240801209</v>
          </cell>
          <cell r="H96">
            <v>8.7554491240801209</v>
          </cell>
        </row>
        <row r="97">
          <cell r="A97" t="str">
            <v>Total Shares (pro forma for acquisition)</v>
          </cell>
          <cell r="B97">
            <v>40</v>
          </cell>
          <cell r="C97">
            <v>40</v>
          </cell>
          <cell r="D97">
            <v>40</v>
          </cell>
          <cell r="F97">
            <v>48.755449124080123</v>
          </cell>
          <cell r="G97">
            <v>48.755449124080123</v>
          </cell>
          <cell r="H97">
            <v>48.755449124080123</v>
          </cell>
        </row>
        <row r="98">
          <cell r="A98" t="str">
            <v>Fisher EPS (pro forma for acquisition)</v>
          </cell>
          <cell r="B98">
            <v>0.50662526415813036</v>
          </cell>
          <cell r="C98">
            <v>1.0714505495175417</v>
          </cell>
          <cell r="D98">
            <v>1.6250122908395894</v>
          </cell>
          <cell r="F98">
            <v>0.55201377955579112</v>
          </cell>
          <cell r="G98">
            <v>1.0154083707301722</v>
          </cell>
          <cell r="H98">
            <v>1.4695621125310214</v>
          </cell>
        </row>
        <row r="99">
          <cell r="A99" t="str">
            <v>Accretion (Dilution) per share</v>
          </cell>
          <cell r="B99">
            <v>-2.3374735841869665E-2</v>
          </cell>
          <cell r="C99">
            <v>1.4505495175416439E-3</v>
          </cell>
          <cell r="D99">
            <v>3.0012290839589451E-2</v>
          </cell>
          <cell r="F99">
            <v>2.2013779555791091E-2</v>
          </cell>
          <cell r="G99">
            <v>-5.4591629269827857E-2</v>
          </cell>
          <cell r="H99">
            <v>-0.12543788746897855</v>
          </cell>
        </row>
        <row r="101">
          <cell r="A101" t="str">
            <v>Goodwill Calculation</v>
          </cell>
        </row>
        <row r="102">
          <cell r="A102" t="str">
            <v>Purchase Price of Equity</v>
          </cell>
          <cell r="B102">
            <v>123.12350330737669</v>
          </cell>
          <cell r="C102">
            <v>123.12350330737669</v>
          </cell>
          <cell r="D102">
            <v>123.12350330737669</v>
          </cell>
          <cell r="F102">
            <v>123.12350330737669</v>
          </cell>
          <cell r="G102">
            <v>123.12350330737669</v>
          </cell>
          <cell r="H102">
            <v>123.12350330737669</v>
          </cell>
        </row>
        <row r="103">
          <cell r="A103" t="str">
            <v>Add Purchase Accounting</v>
          </cell>
          <cell r="B103">
            <v>0</v>
          </cell>
          <cell r="F103">
            <v>0</v>
          </cell>
        </row>
        <row r="104">
          <cell r="A104" t="str">
            <v>Less Net BV of Assets</v>
          </cell>
          <cell r="B104">
            <v>65.286376957213434</v>
          </cell>
          <cell r="C104">
            <v>65.286376957213434</v>
          </cell>
          <cell r="D104">
            <v>65.286376957213434</v>
          </cell>
          <cell r="F104">
            <v>65.286376957213434</v>
          </cell>
          <cell r="G104">
            <v>65.286376957213434</v>
          </cell>
          <cell r="H104">
            <v>65.286376957213434</v>
          </cell>
        </row>
        <row r="105">
          <cell r="A105" t="str">
            <v>Less Asset Write-up</v>
          </cell>
          <cell r="B105">
            <v>0</v>
          </cell>
          <cell r="C105">
            <v>0</v>
          </cell>
          <cell r="D105">
            <v>0</v>
          </cell>
          <cell r="F105">
            <v>0</v>
          </cell>
          <cell r="G105">
            <v>0</v>
          </cell>
          <cell r="H105">
            <v>0</v>
          </cell>
        </row>
        <row r="106">
          <cell r="A106" t="str">
            <v>Total Goodwill</v>
          </cell>
          <cell r="B106">
            <v>57.83712635016326</v>
          </cell>
          <cell r="C106">
            <v>57.83712635016326</v>
          </cell>
          <cell r="D106">
            <v>57.83712635016326</v>
          </cell>
          <cell r="F106">
            <v>57.83712635016326</v>
          </cell>
          <cell r="G106">
            <v>57.83712635016326</v>
          </cell>
          <cell r="H106">
            <v>57.83712635016326</v>
          </cell>
        </row>
        <row r="108">
          <cell r="A108" t="str">
            <v xml:space="preserve">Total Annual Goodwill Expense </v>
          </cell>
          <cell r="B108">
            <v>2.3134850540065304</v>
          </cell>
          <cell r="C108">
            <v>2.3134850540065304</v>
          </cell>
          <cell r="D108">
            <v>2.3134850540065304</v>
          </cell>
          <cell r="F108">
            <v>2.3134850540065304</v>
          </cell>
          <cell r="G108">
            <v>2.3134850540065304</v>
          </cell>
          <cell r="H108">
            <v>2.3134850540065304</v>
          </cell>
        </row>
        <row r="110">
          <cell r="A110" t="str">
            <v>Dilution Purchase Price Threshold</v>
          </cell>
          <cell r="B110">
            <v>0</v>
          </cell>
          <cell r="C110">
            <v>0</v>
          </cell>
          <cell r="D110">
            <v>0</v>
          </cell>
          <cell r="F110">
            <v>0</v>
          </cell>
          <cell r="G110">
            <v>0</v>
          </cell>
          <cell r="H110">
            <v>0</v>
          </cell>
        </row>
        <row r="112">
          <cell r="A112" t="str">
            <v>(1) Capital structure of acquisition: 100% debt.</v>
          </cell>
        </row>
        <row r="113">
          <cell r="G113">
            <v>1</v>
          </cell>
          <cell r="H113">
            <v>2</v>
          </cell>
          <cell r="J113">
            <v>3</v>
          </cell>
          <cell r="K113">
            <v>4</v>
          </cell>
          <cell r="L113">
            <v>5</v>
          </cell>
        </row>
        <row r="115">
          <cell r="A115" t="str">
            <v>Income Statements ($000's)</v>
          </cell>
          <cell r="O115" t="str">
            <v>Income Statements (FFR in millions)</v>
          </cell>
        </row>
        <row r="116">
          <cell r="A116" t="str">
            <v>Fiscal Year Ended June 30,</v>
          </cell>
          <cell r="O116" t="str">
            <v>Year Ended Dec 31,</v>
          </cell>
        </row>
        <row r="117">
          <cell r="A117" t="str">
            <v xml:space="preserve">Exchange rate: per Fr. Franc </v>
          </cell>
          <cell r="B117">
            <v>0.16746211169722849</v>
          </cell>
          <cell r="C117" t="str">
            <v>1995A</v>
          </cell>
          <cell r="D117" t="str">
            <v>1996A</v>
          </cell>
          <cell r="E117" t="str">
            <v>1997A</v>
          </cell>
          <cell r="F117" t="str">
            <v>1998E</v>
          </cell>
          <cell r="G117" t="str">
            <v>1999E</v>
          </cell>
          <cell r="H117" t="str">
            <v>2000E</v>
          </cell>
          <cell r="I117" t="str">
            <v>2001E</v>
          </cell>
          <cell r="J117" t="str">
            <v>2002E</v>
          </cell>
          <cell r="K117" t="str">
            <v>2003E</v>
          </cell>
          <cell r="Q117" t="str">
            <v>1995A</v>
          </cell>
          <cell r="R117" t="str">
            <v>1996A</v>
          </cell>
          <cell r="S117" t="str">
            <v>1997A</v>
          </cell>
        </row>
        <row r="119">
          <cell r="A119" t="str">
            <v>Total Sales (2)</v>
          </cell>
          <cell r="C119">
            <v>59.551369002763117</v>
          </cell>
          <cell r="D119">
            <v>62.831784308800131</v>
          </cell>
          <cell r="E119">
            <v>65.779117474671352</v>
          </cell>
          <cell r="F119">
            <v>72.008708029808247</v>
          </cell>
          <cell r="G119">
            <v>77.049317591894834</v>
          </cell>
          <cell r="H119">
            <v>82.442769823327481</v>
          </cell>
          <cell r="I119">
            <v>88.213763710960421</v>
          </cell>
          <cell r="J119">
            <v>94.388727170727662</v>
          </cell>
          <cell r="K119">
            <v>100.9959380726786</v>
          </cell>
          <cell r="O119" t="str">
            <v>Total Sales</v>
          </cell>
          <cell r="Q119">
            <v>355.61099999999999</v>
          </cell>
          <cell r="R119">
            <v>375.2</v>
          </cell>
          <cell r="S119">
            <v>392.8</v>
          </cell>
        </row>
        <row r="120">
          <cell r="A120" t="str">
            <v>Annual Growth</v>
          </cell>
          <cell r="C120" t="str">
            <v>na</v>
          </cell>
          <cell r="D120">
            <v>5.5085472609115005E-2</v>
          </cell>
          <cell r="E120">
            <v>4.6908315565032055E-2</v>
          </cell>
          <cell r="F120">
            <v>9.4704684317718835E-2</v>
          </cell>
          <cell r="G120">
            <v>7.0000000000000062E-2</v>
          </cell>
          <cell r="H120">
            <v>7.0000000000000062E-2</v>
          </cell>
          <cell r="I120">
            <v>7.0000000000000284E-2</v>
          </cell>
          <cell r="J120">
            <v>7.0000000000000062E-2</v>
          </cell>
          <cell r="K120">
            <v>7.0000000000000062E-2</v>
          </cell>
          <cell r="O120" t="str">
            <v>Annual Growth</v>
          </cell>
          <cell r="Q120" t="str">
            <v>n/a</v>
          </cell>
          <cell r="R120">
            <v>5.5085472609115005E-2</v>
          </cell>
          <cell r="S120">
            <v>4.6908315565032055E-2</v>
          </cell>
        </row>
        <row r="122">
          <cell r="A122" t="str">
            <v xml:space="preserve">Cost of Sales </v>
          </cell>
          <cell r="C122">
            <v>33.289458260068656</v>
          </cell>
          <cell r="D122">
            <v>34.816545256635685</v>
          </cell>
          <cell r="E122">
            <v>36.6407100393536</v>
          </cell>
          <cell r="F122">
            <v>40.00669848446789</v>
          </cell>
          <cell r="G122">
            <v>42.753077116302435</v>
          </cell>
          <cell r="H122">
            <v>45.333578665326968</v>
          </cell>
          <cell r="I122">
            <v>48.065860353345059</v>
          </cell>
          <cell r="J122">
            <v>50.958526942225582</v>
          </cell>
          <cell r="K122">
            <v>54.020644137817989</v>
          </cell>
          <cell r="O122" t="str">
            <v xml:space="preserve">Cost of Sales </v>
          </cell>
          <cell r="Q122">
            <v>198.78800000000001</v>
          </cell>
          <cell r="R122">
            <v>207.90700000000001</v>
          </cell>
          <cell r="S122">
            <v>218.8</v>
          </cell>
        </row>
        <row r="123">
          <cell r="A123" t="str">
            <v>Adjustments to COGS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O123" t="str">
            <v>Adjustments to COGS</v>
          </cell>
          <cell r="Q123">
            <v>0</v>
          </cell>
          <cell r="R123">
            <v>0</v>
          </cell>
          <cell r="S123">
            <v>0</v>
          </cell>
        </row>
        <row r="124">
          <cell r="A124" t="str">
            <v xml:space="preserve">Total Gross Profit </v>
          </cell>
          <cell r="C124">
            <v>26.261910742694461</v>
          </cell>
          <cell r="D124">
            <v>28.015239052164446</v>
          </cell>
          <cell r="E124">
            <v>29.138407435317752</v>
          </cell>
          <cell r="F124">
            <v>32.002009545340357</v>
          </cell>
          <cell r="G124">
            <v>34.296240475592398</v>
          </cell>
          <cell r="H124">
            <v>37.109191158000513</v>
          </cell>
          <cell r="I124">
            <v>40.147903357615363</v>
          </cell>
          <cell r="J124">
            <v>43.430200228502081</v>
          </cell>
          <cell r="K124">
            <v>46.975293934860609</v>
          </cell>
          <cell r="O124" t="str">
            <v xml:space="preserve">Total Gross Profit </v>
          </cell>
          <cell r="Q124">
            <v>156.82299999999998</v>
          </cell>
          <cell r="R124">
            <v>167.29299999999998</v>
          </cell>
          <cell r="S124">
            <v>174</v>
          </cell>
        </row>
        <row r="125">
          <cell r="A125" t="str">
            <v>Gross Margin %</v>
          </cell>
          <cell r="C125">
            <v>0.44099591969877194</v>
          </cell>
          <cell r="D125">
            <v>0.44587686567164181</v>
          </cell>
          <cell r="E125">
            <v>0.44297352342158852</v>
          </cell>
          <cell r="F125">
            <v>0.44441860465116273</v>
          </cell>
          <cell r="G125">
            <v>0.44512062595088026</v>
          </cell>
          <cell r="H125">
            <v>0.45012062595088032</v>
          </cell>
          <cell r="I125">
            <v>0.45512062595088038</v>
          </cell>
          <cell r="J125">
            <v>0.46012062595088038</v>
          </cell>
          <cell r="K125">
            <v>0.46512062595088027</v>
          </cell>
          <cell r="O125" t="str">
            <v>Gross Margin %</v>
          </cell>
          <cell r="Q125">
            <v>0.44099591969877194</v>
          </cell>
          <cell r="R125">
            <v>0.44587686567164175</v>
          </cell>
          <cell r="S125">
            <v>0.44297352342158858</v>
          </cell>
        </row>
        <row r="127">
          <cell r="A127" t="str">
            <v>Operating Expenses:</v>
          </cell>
          <cell r="O127" t="str">
            <v>Operating Expenses:</v>
          </cell>
        </row>
        <row r="128">
          <cell r="A128" t="str">
            <v>Employee costs</v>
          </cell>
          <cell r="C128">
            <v>7.7074436908649409</v>
          </cell>
          <cell r="D128">
            <v>8.3349242233944558</v>
          </cell>
          <cell r="E128">
            <v>9.0429540316503392</v>
          </cell>
          <cell r="F128">
            <v>9.5453403667420247</v>
          </cell>
          <cell r="G128">
            <v>10.180105501130368</v>
          </cell>
          <cell r="H128">
            <v>10.857082516955538</v>
          </cell>
          <cell r="I128">
            <v>11.579078504333081</v>
          </cell>
          <cell r="J128">
            <v>12.34908722487123</v>
          </cell>
          <cell r="K128">
            <v>13.170301525325167</v>
          </cell>
          <cell r="O128" t="str">
            <v>Employee costs</v>
          </cell>
          <cell r="Q128">
            <v>46.024999999999999</v>
          </cell>
          <cell r="R128">
            <v>49.771999999999998</v>
          </cell>
          <cell r="S128">
            <v>54</v>
          </cell>
        </row>
        <row r="129">
          <cell r="A129" t="str">
            <v>As a % of Sales</v>
          </cell>
          <cell r="C129">
            <v>0.12942513026874872</v>
          </cell>
          <cell r="D129">
            <v>0.13265458422174839</v>
          </cell>
          <cell r="E129">
            <v>0.13747454175152751</v>
          </cell>
          <cell r="F129">
            <v>0.13255813953488374</v>
          </cell>
          <cell r="G129">
            <v>0.13212453814388175</v>
          </cell>
          <cell r="H129">
            <v>0.13169235507518681</v>
          </cell>
          <cell r="I129">
            <v>0.13126158568942681</v>
          </cell>
          <cell r="J129">
            <v>0.1308322253624053</v>
          </cell>
          <cell r="K129">
            <v>0.13040426948505163</v>
          </cell>
          <cell r="O129" t="str">
            <v>As a % of Sales</v>
          </cell>
          <cell r="Q129">
            <v>0.12942513026874872</v>
          </cell>
          <cell r="R129">
            <v>0.13265458422174839</v>
          </cell>
          <cell r="S129">
            <v>0.13747454175152748</v>
          </cell>
        </row>
        <row r="131">
          <cell r="A131" t="str">
            <v>Allocation to provisions</v>
          </cell>
          <cell r="C131">
            <v>1.3050322364565017</v>
          </cell>
          <cell r="D131">
            <v>1.4302938960060285</v>
          </cell>
          <cell r="E131">
            <v>1.4974462027966173</v>
          </cell>
          <cell r="F131">
            <v>1.6387842250690781</v>
          </cell>
          <cell r="G131">
            <v>1.7534991208239135</v>
          </cell>
          <cell r="H131">
            <v>1.8762440592815874</v>
          </cell>
          <cell r="I131">
            <v>2.0075811434312985</v>
          </cell>
          <cell r="J131">
            <v>2.1481118234714898</v>
          </cell>
          <cell r="K131">
            <v>2.2984796511144943</v>
          </cell>
          <cell r="O131" t="str">
            <v>Allocation to provisions</v>
          </cell>
          <cell r="Q131">
            <v>7.7930000000000001</v>
          </cell>
          <cell r="R131">
            <v>8.5410000000000004</v>
          </cell>
          <cell r="S131">
            <v>8.9420000000000002</v>
          </cell>
        </row>
        <row r="132">
          <cell r="A132" t="str">
            <v>As a % of Sales</v>
          </cell>
          <cell r="C132">
            <v>2.191439522399476E-2</v>
          </cell>
          <cell r="D132">
            <v>2.2763859275053304E-2</v>
          </cell>
          <cell r="E132">
            <v>2.2764765784114054E-2</v>
          </cell>
          <cell r="F132">
            <v>2.2758139534883724E-2</v>
          </cell>
          <cell r="G132">
            <v>2.2758139534883721E-2</v>
          </cell>
          <cell r="H132">
            <v>2.2758139534883717E-2</v>
          </cell>
          <cell r="I132">
            <v>2.275813953488371E-2</v>
          </cell>
          <cell r="J132">
            <v>2.2758139534883714E-2</v>
          </cell>
          <cell r="K132">
            <v>2.2758139534883717E-2</v>
          </cell>
          <cell r="O132" t="str">
            <v>As a % of Sales</v>
          </cell>
          <cell r="Q132">
            <v>2.191439522399476E-2</v>
          </cell>
          <cell r="R132">
            <v>2.2763859275053307E-2</v>
          </cell>
          <cell r="S132">
            <v>2.2764765784114054E-2</v>
          </cell>
        </row>
        <row r="134">
          <cell r="A134" t="str">
            <v>Other Expenses</v>
          </cell>
          <cell r="C134">
            <v>8.5841078455999327</v>
          </cell>
          <cell r="D134">
            <v>9.3658209830025942</v>
          </cell>
          <cell r="E134">
            <v>9.421418404086074</v>
          </cell>
          <cell r="F134">
            <v>10.003349242233943</v>
          </cell>
          <cell r="G134">
            <v>10.598548522146864</v>
          </cell>
          <cell r="H134">
            <v>11.229162159214603</v>
          </cell>
          <cell r="I134">
            <v>11.897297307687875</v>
          </cell>
          <cell r="J134">
            <v>12.605186497495305</v>
          </cell>
          <cell r="K134">
            <v>13.355195094096278</v>
          </cell>
          <cell r="O134" t="str">
            <v>Other Expenses</v>
          </cell>
          <cell r="Q134">
            <v>51.26</v>
          </cell>
          <cell r="R134">
            <v>55.927999999999997</v>
          </cell>
          <cell r="S134">
            <v>56.26</v>
          </cell>
        </row>
        <row r="135">
          <cell r="A135" t="str">
            <v>As a % of Sales</v>
          </cell>
          <cell r="C135">
            <v>0.14414627219068027</v>
          </cell>
          <cell r="D135">
            <v>0.14906183368869935</v>
          </cell>
          <cell r="E135">
            <v>0.14322810590631363</v>
          </cell>
          <cell r="F135">
            <v>0.13891860465116279</v>
          </cell>
          <cell r="G135">
            <v>0.13755538469897846</v>
          </cell>
          <cell r="H135">
            <v>0.13620554213884831</v>
          </cell>
          <cell r="I135">
            <v>0.13486894569729888</v>
          </cell>
          <cell r="J135">
            <v>0.13354546538905435</v>
          </cell>
          <cell r="K135">
            <v>0.13223497250439542</v>
          </cell>
          <cell r="O135" t="str">
            <v>As a % of Sales</v>
          </cell>
          <cell r="Q135">
            <v>0.14414627219068027</v>
          </cell>
          <cell r="R135">
            <v>0.14906183368869935</v>
          </cell>
          <cell r="S135">
            <v>0.14322810590631363</v>
          </cell>
        </row>
        <row r="137">
          <cell r="A137" t="str">
            <v xml:space="preserve">Depreciation &amp; Amortization </v>
          </cell>
          <cell r="C137">
            <v>0.51930000837310553</v>
          </cell>
          <cell r="D137">
            <v>0.55882106673365151</v>
          </cell>
          <cell r="E137">
            <v>0.65276731139579669</v>
          </cell>
          <cell r="F137">
            <v>0.69948924055932338</v>
          </cell>
          <cell r="G137">
            <v>0.76553151278094744</v>
          </cell>
          <cell r="H137">
            <v>0.83619674405808542</v>
          </cell>
          <cell r="I137">
            <v>0.91180854152462287</v>
          </cell>
          <cell r="J137">
            <v>0.99271316481381811</v>
          </cell>
          <cell r="K137">
            <v>1.079281111733257</v>
          </cell>
          <cell r="O137" t="str">
            <v xml:space="preserve">Depreciation &amp; Amortization </v>
          </cell>
          <cell r="Q137">
            <v>3.101</v>
          </cell>
          <cell r="R137">
            <v>3.3370000000000002</v>
          </cell>
          <cell r="S137">
            <v>3.8980000000000001</v>
          </cell>
        </row>
        <row r="138">
          <cell r="A138" t="str">
            <v>As a % of Sales</v>
          </cell>
          <cell r="C138">
            <v>8.7202026933924995E-3</v>
          </cell>
          <cell r="D138">
            <v>8.8939232409381667E-3</v>
          </cell>
          <cell r="E138">
            <v>9.9236252545824855E-3</v>
          </cell>
          <cell r="F138">
            <v>9.7139534883720936E-3</v>
          </cell>
          <cell r="G138">
            <v>9.9356040612289236E-3</v>
          </cell>
          <cell r="H138">
            <v>1.0142754129319422E-2</v>
          </cell>
          <cell r="I138">
            <v>1.0336352323796519E-2</v>
          </cell>
          <cell r="J138">
            <v>1.0517285215831193E-2</v>
          </cell>
          <cell r="K138">
            <v>1.0686381376611263E-2</v>
          </cell>
          <cell r="O138" t="str">
            <v>As a % of Sales</v>
          </cell>
          <cell r="Q138">
            <v>8.7202026933924995E-3</v>
          </cell>
          <cell r="R138">
            <v>8.8939232409381667E-3</v>
          </cell>
          <cell r="S138">
            <v>9.9236252545824855E-3</v>
          </cell>
        </row>
        <row r="140">
          <cell r="A140" t="str">
            <v>Operating Income</v>
          </cell>
          <cell r="C140">
            <v>8.1460269613999792</v>
          </cell>
          <cell r="D140">
            <v>8.3253788830277173</v>
          </cell>
          <cell r="E140">
            <v>8.5238214853889254</v>
          </cell>
          <cell r="F140">
            <v>10.115046470735988</v>
          </cell>
          <cell r="G140">
            <v>10.998555818710303</v>
          </cell>
          <cell r="H140">
            <v>12.310505678490699</v>
          </cell>
          <cell r="I140">
            <v>13.752137860638483</v>
          </cell>
          <cell r="J140">
            <v>15.335101517850237</v>
          </cell>
          <cell r="K140">
            <v>17.072036552591417</v>
          </cell>
          <cell r="O140" t="str">
            <v>Operating Income</v>
          </cell>
          <cell r="Q140">
            <v>48.64399999999997</v>
          </cell>
          <cell r="R140">
            <v>49.714999999999989</v>
          </cell>
          <cell r="S140">
            <v>50.899999999999991</v>
          </cell>
        </row>
        <row r="141">
          <cell r="A141" t="str">
            <v>Operating Margin</v>
          </cell>
          <cell r="C141">
            <v>0.13678991932195569</v>
          </cell>
          <cell r="D141">
            <v>0.1325026652452026</v>
          </cell>
          <cell r="E141">
            <v>0.12958248472505085</v>
          </cell>
          <cell r="F141">
            <v>0.14046976744186038</v>
          </cell>
          <cell r="G141">
            <v>0.14274695951190736</v>
          </cell>
          <cell r="H141">
            <v>0.14932183507264207</v>
          </cell>
          <cell r="I141">
            <v>0.15589560270547442</v>
          </cell>
          <cell r="J141">
            <v>0.1624675104487058</v>
          </cell>
          <cell r="K141">
            <v>0.16903686304993826</v>
          </cell>
          <cell r="O141" t="str">
            <v>Operating Margin</v>
          </cell>
          <cell r="Q141">
            <v>0.13678991932195564</v>
          </cell>
          <cell r="R141">
            <v>0.13250266524520254</v>
          </cell>
          <cell r="S141">
            <v>0.12958248472505088</v>
          </cell>
        </row>
        <row r="143">
          <cell r="A143" t="str">
            <v>Employee Profit Sharing</v>
          </cell>
          <cell r="C143">
            <v>0.54709871891484552</v>
          </cell>
          <cell r="D143">
            <v>0.51578330402746375</v>
          </cell>
          <cell r="E143">
            <v>0.46889391275223974</v>
          </cell>
          <cell r="F143">
            <v>0.59114125429121656</v>
          </cell>
          <cell r="G143">
            <v>0.61639454073515865</v>
          </cell>
          <cell r="H143">
            <v>0.65954215858661991</v>
          </cell>
          <cell r="I143">
            <v>0.70571010968768333</v>
          </cell>
          <cell r="J143">
            <v>0.75510981736582139</v>
          </cell>
          <cell r="K143">
            <v>0.80796750458142885</v>
          </cell>
          <cell r="O143" t="str">
            <v>Employee Profit Sharing</v>
          </cell>
          <cell r="Q143">
            <v>3.2669999999999999</v>
          </cell>
          <cell r="R143">
            <v>3.08</v>
          </cell>
          <cell r="S143">
            <v>2.8</v>
          </cell>
        </row>
        <row r="144">
          <cell r="A144" t="str">
            <v>As a % of Sales</v>
          </cell>
          <cell r="C144">
            <v>9.1870049014231847E-3</v>
          </cell>
          <cell r="D144">
            <v>8.2089552238805968E-3</v>
          </cell>
          <cell r="E144">
            <v>7.1283095723014252E-3</v>
          </cell>
          <cell r="F144">
            <v>8.2093023255813951E-3</v>
          </cell>
          <cell r="G144">
            <v>8.0000000000000002E-3</v>
          </cell>
          <cell r="H144">
            <v>8.0000000000000002E-3</v>
          </cell>
          <cell r="I144">
            <v>8.0000000000000002E-3</v>
          </cell>
          <cell r="J144">
            <v>8.0000000000000002E-3</v>
          </cell>
          <cell r="K144">
            <v>8.0000000000000002E-3</v>
          </cell>
          <cell r="O144" t="str">
            <v>As a % of Sales</v>
          </cell>
          <cell r="Q144">
            <v>9.1870049014231847E-3</v>
          </cell>
          <cell r="R144">
            <v>8.2089552238805968E-3</v>
          </cell>
          <cell r="S144">
            <v>7.1283095723014252E-3</v>
          </cell>
        </row>
        <row r="146">
          <cell r="A146" t="str">
            <v>Adjustments / (Cost Savings)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O146" t="str">
            <v>Adjustments / Cost Savings</v>
          </cell>
          <cell r="Q146">
            <v>0</v>
          </cell>
          <cell r="R146">
            <v>0</v>
          </cell>
          <cell r="S146">
            <v>0</v>
          </cell>
        </row>
        <row r="147">
          <cell r="A147" t="str">
            <v>As a % of EBIT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O147" t="str">
            <v>As a % of EBIT</v>
          </cell>
          <cell r="Q147">
            <v>0</v>
          </cell>
          <cell r="R147">
            <v>0</v>
          </cell>
          <cell r="S147">
            <v>0</v>
          </cell>
        </row>
        <row r="149">
          <cell r="A149" t="str">
            <v>Adj. EBIT</v>
          </cell>
          <cell r="C149">
            <v>7.5989282424851332</v>
          </cell>
          <cell r="D149">
            <v>7.8095955790002538</v>
          </cell>
          <cell r="E149">
            <v>8.0549275726366858</v>
          </cell>
          <cell r="F149">
            <v>9.5239052164447724</v>
          </cell>
          <cell r="G149">
            <v>10.382161277975143</v>
          </cell>
          <cell r="H149">
            <v>11.65096351990408</v>
          </cell>
          <cell r="I149">
            <v>13.0464277509508</v>
          </cell>
          <cell r="J149">
            <v>14.579991700484415</v>
          </cell>
          <cell r="K149">
            <v>16.264069048009986</v>
          </cell>
          <cell r="O149" t="str">
            <v>Adj. EBIT</v>
          </cell>
          <cell r="Q149">
            <v>45.376999999999967</v>
          </cell>
          <cell r="R149">
            <v>46.634999999999991</v>
          </cell>
          <cell r="S149">
            <v>48.099999999999994</v>
          </cell>
        </row>
        <row r="150">
          <cell r="A150" t="str">
            <v>As a % Of Sales</v>
          </cell>
          <cell r="C150">
            <v>0.12760291442053248</v>
          </cell>
          <cell r="D150">
            <v>0.12429371002132202</v>
          </cell>
          <cell r="E150">
            <v>0.12245417515274942</v>
          </cell>
          <cell r="F150">
            <v>0.13226046511627898</v>
          </cell>
          <cell r="G150">
            <v>0.13474695951190735</v>
          </cell>
          <cell r="H150">
            <v>0.14132183507264209</v>
          </cell>
          <cell r="I150">
            <v>0.14789560270547442</v>
          </cell>
          <cell r="J150">
            <v>0.1544675104487058</v>
          </cell>
          <cell r="K150">
            <v>0.16103686304993822</v>
          </cell>
          <cell r="O150" t="str">
            <v>As a % Of Sales</v>
          </cell>
          <cell r="Q150">
            <v>0.12760291442053245</v>
          </cell>
          <cell r="R150">
            <v>0.12429371002132195</v>
          </cell>
          <cell r="S150">
            <v>0.12245417515274948</v>
          </cell>
        </row>
        <row r="152">
          <cell r="A152" t="str">
            <v>Other Expenses /  (Income)</v>
          </cell>
          <cell r="C152">
            <v>-0.15523737754333083</v>
          </cell>
          <cell r="D152">
            <v>-0.2850205141086829</v>
          </cell>
          <cell r="E152">
            <v>-0.30143180105501127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O152" t="str">
            <v>Extra-ordinary (gains)/ losses</v>
          </cell>
          <cell r="Q152">
            <v>-0.92700000000000005</v>
          </cell>
          <cell r="R152">
            <v>-1.702</v>
          </cell>
          <cell r="S152">
            <v>-1.8</v>
          </cell>
        </row>
        <row r="153">
          <cell r="A153" t="str">
            <v>Financial (income)/ expense</v>
          </cell>
          <cell r="C153">
            <v>-2.1133718496190235</v>
          </cell>
          <cell r="D153">
            <v>-2.5852800803818137</v>
          </cell>
          <cell r="E153">
            <v>-2.5829356108180521</v>
          </cell>
          <cell r="F153">
            <v>-0.47375031399145945</v>
          </cell>
          <cell r="G153">
            <v>-2.9964467202416638</v>
          </cell>
          <cell r="H153">
            <v>-3.3826635022734748</v>
          </cell>
          <cell r="I153">
            <v>-3.8913153593632961</v>
          </cell>
          <cell r="J153">
            <v>-4.4721487484191682</v>
          </cell>
          <cell r="K153">
            <v>-5.1329555676969463</v>
          </cell>
          <cell r="O153" t="str">
            <v>Financial (income)/ expense</v>
          </cell>
          <cell r="Q153">
            <v>-12.62</v>
          </cell>
          <cell r="R153">
            <v>-15.438000000000001</v>
          </cell>
          <cell r="S153">
            <v>-15.423999999999999</v>
          </cell>
        </row>
        <row r="154">
          <cell r="A154" t="str">
            <v>Pre-tax Income</v>
          </cell>
          <cell r="C154">
            <v>9.8675374696474876</v>
          </cell>
          <cell r="D154">
            <v>10.67989617349075</v>
          </cell>
          <cell r="E154">
            <v>10.93929498450975</v>
          </cell>
          <cell r="F154">
            <v>9.9976555304362318</v>
          </cell>
          <cell r="G154">
            <v>13.378607998216808</v>
          </cell>
          <cell r="H154">
            <v>15.033627022177555</v>
          </cell>
          <cell r="I154">
            <v>16.937743110314095</v>
          </cell>
          <cell r="J154">
            <v>19.052140448903582</v>
          </cell>
          <cell r="K154">
            <v>21.397024615706933</v>
          </cell>
          <cell r="O154" t="str">
            <v>Pre-tax Income</v>
          </cell>
          <cell r="Q154">
            <v>58.923999999999964</v>
          </cell>
          <cell r="R154">
            <v>63.774999999999991</v>
          </cell>
          <cell r="S154">
            <v>65.323999999999984</v>
          </cell>
        </row>
        <row r="156">
          <cell r="A156" t="str">
            <v xml:space="preserve">Income Taxes @ </v>
          </cell>
          <cell r="C156">
            <v>3.6920371765887965</v>
          </cell>
          <cell r="D156">
            <v>3.0735995980909316</v>
          </cell>
          <cell r="E156">
            <v>4.3757849786485803</v>
          </cell>
          <cell r="F156">
            <v>3.9989952273298162</v>
          </cell>
          <cell r="G156">
            <v>5.3514431992867229</v>
          </cell>
          <cell r="H156">
            <v>6.0134508088710197</v>
          </cell>
          <cell r="I156">
            <v>6.7750972441256403</v>
          </cell>
          <cell r="J156">
            <v>7.6208561795614331</v>
          </cell>
          <cell r="K156">
            <v>8.5588098462827755</v>
          </cell>
          <cell r="O156" t="str">
            <v xml:space="preserve">Income Taxes @ </v>
          </cell>
          <cell r="Q156">
            <v>22.047000000000001</v>
          </cell>
          <cell r="R156">
            <v>18.353999999999999</v>
          </cell>
          <cell r="S156">
            <v>26.13</v>
          </cell>
        </row>
        <row r="157">
          <cell r="A157" t="str">
            <v>Net Income (check with RG)</v>
          </cell>
          <cell r="C157">
            <v>6.1755002930586915</v>
          </cell>
          <cell r="D157">
            <v>7.6062965753998188</v>
          </cell>
          <cell r="E157">
            <v>6.5635100058611702</v>
          </cell>
          <cell r="F157">
            <v>5.9986603031064156</v>
          </cell>
          <cell r="G157">
            <v>8.0271647989300838</v>
          </cell>
          <cell r="H157">
            <v>9.0201762133065344</v>
          </cell>
          <cell r="I157">
            <v>10.162645866188456</v>
          </cell>
          <cell r="J157">
            <v>11.43128426934215</v>
          </cell>
          <cell r="K157">
            <v>12.838214769424157</v>
          </cell>
          <cell r="O157" t="str">
            <v>Net Income (check with RG)</v>
          </cell>
          <cell r="Q157">
            <v>36.876999999999967</v>
          </cell>
          <cell r="R157">
            <v>45.420999999999992</v>
          </cell>
          <cell r="S157">
            <v>39.193999999999988</v>
          </cell>
        </row>
        <row r="159">
          <cell r="A159" t="str">
            <v>Return on Sales</v>
          </cell>
          <cell r="C159">
            <v>0.10370039172016608</v>
          </cell>
          <cell r="D159">
            <v>0.12105810234541584</v>
          </cell>
          <cell r="E159">
            <v>9.9781059063136404E-2</v>
          </cell>
          <cell r="F159">
            <v>8.3304651162790622E-2</v>
          </cell>
          <cell r="G159">
            <v>0.1041821660439274</v>
          </cell>
          <cell r="H159">
            <v>0.10941136782081093</v>
          </cell>
          <cell r="I159">
            <v>0.11520476441167607</v>
          </cell>
          <cell r="J159">
            <v>0.12110857527155298</v>
          </cell>
          <cell r="K159">
            <v>0.12711614956420855</v>
          </cell>
          <cell r="O159" t="str">
            <v>Return on Sales</v>
          </cell>
          <cell r="Q159">
            <v>0.10370039172016604</v>
          </cell>
          <cell r="R159">
            <v>0.12105810234541577</v>
          </cell>
          <cell r="S159">
            <v>9.9781059063136418E-2</v>
          </cell>
        </row>
        <row r="160">
          <cell r="A160" t="str">
            <v>Adj. EBIT Growth</v>
          </cell>
          <cell r="C160" t="str">
            <v>na</v>
          </cell>
          <cell r="D160">
            <v>2.7723295942879478E-2</v>
          </cell>
          <cell r="E160">
            <v>3.1414173903719478E-2</v>
          </cell>
          <cell r="F160">
            <v>0.18237006237006237</v>
          </cell>
          <cell r="G160">
            <v>9.0115980999940559E-2</v>
          </cell>
          <cell r="H160">
            <v>0.12220983742764524</v>
          </cell>
          <cell r="I160">
            <v>0.11977243158153916</v>
          </cell>
          <cell r="J160">
            <v>0.11754665559097988</v>
          </cell>
          <cell r="K160">
            <v>0.11550605666460134</v>
          </cell>
          <cell r="O160" t="str">
            <v>Adj. EBIT Growth</v>
          </cell>
          <cell r="Q160" t="str">
            <v>n/a</v>
          </cell>
          <cell r="R160">
            <v>2.7723295942879034E-2</v>
          </cell>
          <cell r="S160">
            <v>3.1414173903720366E-2</v>
          </cell>
        </row>
        <row r="161">
          <cell r="A161" t="str">
            <v>Book Value</v>
          </cell>
          <cell r="C161">
            <v>50.510926902788235</v>
          </cell>
          <cell r="D161">
            <v>55.225990119735414</v>
          </cell>
          <cell r="E161">
            <v>59.281085154483797</v>
          </cell>
          <cell r="F161">
            <v>65.286376957213434</v>
          </cell>
          <cell r="G161">
            <v>71.515673723998518</v>
          </cell>
          <cell r="H161">
            <v>80.535849937305045</v>
          </cell>
          <cell r="I161">
            <v>90.698495803493486</v>
          </cell>
          <cell r="J161">
            <v>102.12978007283563</v>
          </cell>
          <cell r="K161">
            <v>114.96799484225981</v>
          </cell>
          <cell r="O161" t="str">
            <v>Book Value</v>
          </cell>
          <cell r="Q161">
            <v>301.62599999999998</v>
          </cell>
          <cell r="R161">
            <v>329.78200000000004</v>
          </cell>
          <cell r="S161">
            <v>353.99700000000001</v>
          </cell>
        </row>
        <row r="162">
          <cell r="A162" t="str">
            <v>EPS</v>
          </cell>
          <cell r="O162" t="str">
            <v>EPS</v>
          </cell>
        </row>
        <row r="163">
          <cell r="A163" t="str">
            <v>Capital Expenditures  (4)</v>
          </cell>
          <cell r="C163">
            <v>7.1338859583019332E-2</v>
          </cell>
          <cell r="D163">
            <v>0.94247676463200203</v>
          </cell>
          <cell r="E163">
            <v>0.98668676212007034</v>
          </cell>
          <cell r="F163">
            <v>1.0801306204471237</v>
          </cell>
          <cell r="G163">
            <v>1.1557397638784226</v>
          </cell>
          <cell r="H163">
            <v>1.2366415473499122</v>
          </cell>
          <cell r="I163">
            <v>1.3232064556644063</v>
          </cell>
          <cell r="J163">
            <v>1.4158309075609148</v>
          </cell>
          <cell r="K163">
            <v>1.5149390710901789</v>
          </cell>
          <cell r="O163" t="str">
            <v>Capital Expenditures  (4)</v>
          </cell>
          <cell r="Q163">
            <v>0.42599999999999999</v>
          </cell>
          <cell r="R163">
            <v>5.6280000000000001</v>
          </cell>
          <cell r="S163">
            <v>5.8920000000000003</v>
          </cell>
        </row>
        <row r="164">
          <cell r="A164" t="str">
            <v>D&amp;A</v>
          </cell>
          <cell r="C164">
            <v>0.51930000837310553</v>
          </cell>
          <cell r="D164">
            <v>0.55882106673365151</v>
          </cell>
          <cell r="E164">
            <v>0.65276731139579669</v>
          </cell>
          <cell r="F164">
            <v>0.69948924055932338</v>
          </cell>
          <cell r="G164">
            <v>0.76553151278094744</v>
          </cell>
          <cell r="H164">
            <v>0.83619674405808542</v>
          </cell>
          <cell r="I164">
            <v>0.91180854152462287</v>
          </cell>
          <cell r="J164">
            <v>0.99271316481381811</v>
          </cell>
          <cell r="K164">
            <v>1.079281111733257</v>
          </cell>
          <cell r="O164" t="str">
            <v>D&amp;A</v>
          </cell>
          <cell r="Q164">
            <v>3.101</v>
          </cell>
          <cell r="R164">
            <v>3.3370000000000002</v>
          </cell>
          <cell r="S164">
            <v>3.8980000000000001</v>
          </cell>
        </row>
        <row r="165">
          <cell r="A165" t="str">
            <v>Tax Rate</v>
          </cell>
          <cell r="C165">
            <v>0.37415993483130827</v>
          </cell>
          <cell r="D165">
            <v>0.28779302234417864</v>
          </cell>
          <cell r="E165">
            <v>0.40000612332374025</v>
          </cell>
          <cell r="F165">
            <v>0.39999329994472477</v>
          </cell>
          <cell r="G165">
            <v>0.39999999999999997</v>
          </cell>
          <cell r="H165">
            <v>0.39999999999999986</v>
          </cell>
          <cell r="I165">
            <v>0.40000000000000013</v>
          </cell>
          <cell r="J165">
            <v>0.4</v>
          </cell>
          <cell r="K165">
            <v>0.40000000000000013</v>
          </cell>
          <cell r="O165" t="str">
            <v>Tax Rate</v>
          </cell>
          <cell r="Q165">
            <v>0.37415993483130838</v>
          </cell>
          <cell r="R165">
            <v>0.28779302234417881</v>
          </cell>
          <cell r="S165">
            <v>0.40000612332374019</v>
          </cell>
        </row>
        <row r="166">
          <cell r="A166" t="str">
            <v>EPS</v>
          </cell>
          <cell r="O166" t="str">
            <v>EPS</v>
          </cell>
        </row>
        <row r="169">
          <cell r="A169" t="str">
            <v>Cash Flow Statements ($000's)</v>
          </cell>
          <cell r="O169" t="str">
            <v>Cash Flow Statements (Lira in millions)</v>
          </cell>
        </row>
        <row r="171">
          <cell r="C171" t="str">
            <v>1995A</v>
          </cell>
          <cell r="D171" t="str">
            <v>1996A</v>
          </cell>
          <cell r="E171" t="str">
            <v>1997A</v>
          </cell>
          <cell r="F171" t="str">
            <v>1998E</v>
          </cell>
          <cell r="G171" t="str">
            <v>1999E</v>
          </cell>
          <cell r="H171" t="str">
            <v>2000E</v>
          </cell>
          <cell r="I171" t="str">
            <v>2001E</v>
          </cell>
          <cell r="J171" t="str">
            <v>2002E</v>
          </cell>
          <cell r="K171" t="str">
            <v>2003E</v>
          </cell>
          <cell r="Q171" t="str">
            <v>1995A</v>
          </cell>
          <cell r="R171" t="str">
            <v>1996A</v>
          </cell>
          <cell r="S171" t="str">
            <v>1997A</v>
          </cell>
        </row>
        <row r="172">
          <cell r="A172" t="str">
            <v>EBIT</v>
          </cell>
          <cell r="C172">
            <v>7.5989282424851332</v>
          </cell>
          <cell r="D172">
            <v>7.8095955790002538</v>
          </cell>
          <cell r="E172">
            <v>8.0549275726366858</v>
          </cell>
          <cell r="F172">
            <v>9.5239052164447724</v>
          </cell>
          <cell r="G172">
            <v>10.382161277975143</v>
          </cell>
          <cell r="H172">
            <v>11.65096351990408</v>
          </cell>
          <cell r="I172">
            <v>13.0464277509508</v>
          </cell>
          <cell r="J172">
            <v>14.579991700484415</v>
          </cell>
          <cell r="K172">
            <v>16.264069048009986</v>
          </cell>
          <cell r="O172" t="str">
            <v>EBIT</v>
          </cell>
          <cell r="Q172">
            <v>45.376999999999967</v>
          </cell>
          <cell r="R172">
            <v>46.634999999999991</v>
          </cell>
          <cell r="S172">
            <v>48.099999999999994</v>
          </cell>
        </row>
        <row r="173">
          <cell r="A173" t="str">
            <v xml:space="preserve">Taxes @ </v>
          </cell>
          <cell r="B173">
            <v>0.4</v>
          </cell>
          <cell r="C173">
            <v>3.0395712969940534</v>
          </cell>
          <cell r="D173">
            <v>3.1238382316001019</v>
          </cell>
          <cell r="E173">
            <v>3.2219710290546746</v>
          </cell>
          <cell r="F173">
            <v>3.809562086577909</v>
          </cell>
          <cell r="G173">
            <v>4.1528645111900575</v>
          </cell>
          <cell r="H173">
            <v>4.6603854079616323</v>
          </cell>
          <cell r="I173">
            <v>5.2185711003803199</v>
          </cell>
          <cell r="J173">
            <v>5.8319966801937664</v>
          </cell>
          <cell r="K173">
            <v>6.5056276192039952</v>
          </cell>
          <cell r="O173" t="str">
            <v xml:space="preserve">Taxes @ </v>
          </cell>
          <cell r="Q173">
            <v>18.150799999999986</v>
          </cell>
          <cell r="R173">
            <v>18.653999999999996</v>
          </cell>
          <cell r="S173">
            <v>19.239999999999998</v>
          </cell>
        </row>
        <row r="174">
          <cell r="A174" t="str">
            <v>EBIAT</v>
          </cell>
          <cell r="C174">
            <v>4.5593569454910803</v>
          </cell>
          <cell r="D174">
            <v>4.6857573474001519</v>
          </cell>
          <cell r="E174">
            <v>4.8329565435820108</v>
          </cell>
          <cell r="F174">
            <v>5.7143431298668634</v>
          </cell>
          <cell r="G174">
            <v>6.2292967667850858</v>
          </cell>
          <cell r="H174">
            <v>6.9905781119424475</v>
          </cell>
          <cell r="I174">
            <v>7.8278566505704799</v>
          </cell>
          <cell r="J174">
            <v>8.7479950202906487</v>
          </cell>
          <cell r="K174">
            <v>9.7584414288059911</v>
          </cell>
          <cell r="O174" t="str">
            <v>EBIAT</v>
          </cell>
          <cell r="Q174">
            <v>27.226199999999981</v>
          </cell>
          <cell r="R174">
            <v>27.980999999999995</v>
          </cell>
          <cell r="S174">
            <v>28.859999999999996</v>
          </cell>
        </row>
        <row r="176">
          <cell r="A176" t="str">
            <v>Pre-Deal Amortization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O176" t="str">
            <v>Pre-Deal Amortization</v>
          </cell>
          <cell r="Q176">
            <v>0</v>
          </cell>
          <cell r="R176">
            <v>0</v>
          </cell>
          <cell r="S176">
            <v>0</v>
          </cell>
        </row>
        <row r="177">
          <cell r="A177" t="str">
            <v>Depreciation</v>
          </cell>
          <cell r="C177">
            <v>0.51930000837310553</v>
          </cell>
          <cell r="D177">
            <v>0.55882106673365151</v>
          </cell>
          <cell r="E177">
            <v>0.65276731139579669</v>
          </cell>
          <cell r="F177">
            <v>0.69948924055932338</v>
          </cell>
          <cell r="G177">
            <v>0.76553151278094744</v>
          </cell>
          <cell r="H177">
            <v>0.85886480068499149</v>
          </cell>
          <cell r="I177">
            <v>0.9508571807872026</v>
          </cell>
          <cell r="J177">
            <v>1.0429747828851776</v>
          </cell>
          <cell r="K177">
            <v>1.1364773100214707</v>
          </cell>
          <cell r="O177" t="str">
            <v>Depreciation</v>
          </cell>
          <cell r="Q177">
            <v>3.101</v>
          </cell>
          <cell r="R177">
            <v>3.3370000000000002</v>
          </cell>
          <cell r="S177">
            <v>3.8980000000000001</v>
          </cell>
        </row>
        <row r="178">
          <cell r="A178" t="str">
            <v>Total D &amp; A</v>
          </cell>
          <cell r="C178">
            <v>0.51930000837310553</v>
          </cell>
          <cell r="D178">
            <v>0.55882106673365151</v>
          </cell>
          <cell r="E178">
            <v>0.65276731139579669</v>
          </cell>
          <cell r="F178">
            <v>0.69948924055932338</v>
          </cell>
          <cell r="G178">
            <v>0.76553151278094744</v>
          </cell>
          <cell r="H178">
            <v>0.85886480068499149</v>
          </cell>
          <cell r="I178">
            <v>0.9508571807872026</v>
          </cell>
          <cell r="J178">
            <v>1.0429747828851776</v>
          </cell>
          <cell r="K178">
            <v>1.1364773100214707</v>
          </cell>
          <cell r="O178" t="str">
            <v>Total D &amp; A</v>
          </cell>
          <cell r="Q178">
            <v>3.101</v>
          </cell>
          <cell r="R178">
            <v>3.3370000000000002</v>
          </cell>
          <cell r="S178">
            <v>3.8980000000000001</v>
          </cell>
        </row>
        <row r="180">
          <cell r="A180" t="str">
            <v>Capex / Sales</v>
          </cell>
          <cell r="C180">
            <v>1.1979381965124814E-3</v>
          </cell>
          <cell r="D180">
            <v>1.5000000000000001E-2</v>
          </cell>
          <cell r="E180">
            <v>1.5000000000000001E-2</v>
          </cell>
          <cell r="F180">
            <v>1.4999999999999999E-2</v>
          </cell>
          <cell r="G180">
            <v>1.5000000000000001E-2</v>
          </cell>
          <cell r="H180">
            <v>1.4999999999999999E-2</v>
          </cell>
          <cell r="I180">
            <v>1.4999999999999999E-2</v>
          </cell>
          <cell r="J180">
            <v>1.4999999999999998E-2</v>
          </cell>
          <cell r="K180">
            <v>1.4999999999999999E-2</v>
          </cell>
          <cell r="O180" t="str">
            <v>Capex / Sales</v>
          </cell>
          <cell r="Q180">
            <v>1.1979381965124814E-3</v>
          </cell>
          <cell r="R180">
            <v>1.5000000000000001E-2</v>
          </cell>
          <cell r="S180">
            <v>1.5000000000000001E-2</v>
          </cell>
        </row>
        <row r="181">
          <cell r="A181" t="str">
            <v>Capex (1)</v>
          </cell>
          <cell r="C181">
            <v>7.1338859583019332E-2</v>
          </cell>
          <cell r="D181">
            <v>0.94247676463200203</v>
          </cell>
          <cell r="E181">
            <v>0.98668676212007034</v>
          </cell>
          <cell r="F181">
            <v>1.0801306204471237</v>
          </cell>
          <cell r="G181">
            <v>1.1557397638784226</v>
          </cell>
          <cell r="H181">
            <v>1.2366415473499122</v>
          </cell>
          <cell r="I181">
            <v>1.3232064556644063</v>
          </cell>
          <cell r="J181">
            <v>1.4158309075609148</v>
          </cell>
          <cell r="K181">
            <v>1.5149390710901789</v>
          </cell>
          <cell r="O181" t="str">
            <v>Capex (1)</v>
          </cell>
          <cell r="Q181">
            <v>0.42599999999999999</v>
          </cell>
          <cell r="R181">
            <v>5.6280000000000001</v>
          </cell>
          <cell r="S181">
            <v>5.8920000000000003</v>
          </cell>
        </row>
        <row r="182">
          <cell r="H182" t="str">
            <v xml:space="preserve"> </v>
          </cell>
          <cell r="I182" t="str">
            <v xml:space="preserve"> </v>
          </cell>
          <cell r="J182" t="str">
            <v xml:space="preserve"> </v>
          </cell>
          <cell r="K182" t="str">
            <v xml:space="preserve"> </v>
          </cell>
        </row>
        <row r="183">
          <cell r="A183" t="str">
            <v>Purchase Accounting Outflows / Sales</v>
          </cell>
          <cell r="C183">
            <v>3.3686758747971279E-6</v>
          </cell>
          <cell r="D183">
            <v>3.9978678038379534E-5</v>
          </cell>
          <cell r="E183">
            <v>3.8187372708757641E-5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O183" t="str">
            <v>Purchase Accounting Outflows / Sales</v>
          </cell>
          <cell r="Q183">
            <v>3.3686758747971279E-6</v>
          </cell>
          <cell r="R183">
            <v>3.9978678038379534E-5</v>
          </cell>
          <cell r="S183">
            <v>3.8187372708757641E-5</v>
          </cell>
        </row>
        <row r="184">
          <cell r="A184" t="str">
            <v>Purchase Accounting Outflows</v>
          </cell>
          <cell r="C184">
            <v>2.0060926007074961E-4</v>
          </cell>
          <cell r="D184">
            <v>2.5119316754584277E-3</v>
          </cell>
          <cell r="E184">
            <v>2.5119316754584277E-3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O184" t="str">
            <v>Purchase Accounting Outflows</v>
          </cell>
          <cell r="Q184">
            <v>1.1979381965124814E-3</v>
          </cell>
          <cell r="R184">
            <v>1.5000000000000001E-2</v>
          </cell>
          <cell r="S184">
            <v>1.5000000000000001E-2</v>
          </cell>
        </row>
        <row r="185">
          <cell r="H185" t="str">
            <v xml:space="preserve"> </v>
          </cell>
          <cell r="I185" t="str">
            <v xml:space="preserve"> </v>
          </cell>
          <cell r="J185" t="str">
            <v xml:space="preserve"> </v>
          </cell>
          <cell r="K185" t="str">
            <v xml:space="preserve"> </v>
          </cell>
        </row>
        <row r="186">
          <cell r="A186" t="str">
            <v>Working Capital / Sales</v>
          </cell>
          <cell r="C186">
            <v>0.25159514188256266</v>
          </cell>
          <cell r="D186">
            <v>0.22048773987206821</v>
          </cell>
          <cell r="E186">
            <v>0.24872708757637482</v>
          </cell>
          <cell r="F186">
            <v>0.24873501306757897</v>
          </cell>
          <cell r="G186">
            <v>0.24873886327580416</v>
          </cell>
          <cell r="H186">
            <v>0.24876628557927766</v>
          </cell>
          <cell r="I186">
            <v>0.24879370788275113</v>
          </cell>
          <cell r="J186">
            <v>0.24882113018622462</v>
          </cell>
          <cell r="K186">
            <v>0.24884855248969814</v>
          </cell>
          <cell r="O186" t="str">
            <v>Working Capital / Sales</v>
          </cell>
          <cell r="Q186">
            <v>0.25159514188256271</v>
          </cell>
          <cell r="R186">
            <v>0.22048773987206824</v>
          </cell>
          <cell r="S186">
            <v>0.24872708757637479</v>
          </cell>
        </row>
        <row r="187">
          <cell r="A187" t="str">
            <v>Working Capital (2)</v>
          </cell>
          <cell r="C187">
            <v>14.982835133551031</v>
          </cell>
          <cell r="D187">
            <v>13.85363811437662</v>
          </cell>
          <cell r="E187">
            <v>16.361048312819229</v>
          </cell>
          <cell r="F187">
            <v>17.911086932773834</v>
          </cell>
          <cell r="G187">
            <v>19.165159673984341</v>
          </cell>
          <cell r="H187">
            <v>20.508981621816538</v>
          </cell>
          <cell r="I187">
            <v>21.947029359942718</v>
          </cell>
          <cell r="J187">
            <v>23.485909771459664</v>
          </cell>
          <cell r="K187">
            <v>25.132692996725265</v>
          </cell>
          <cell r="O187" t="str">
            <v>Working Capital (2)</v>
          </cell>
          <cell r="Q187">
            <v>89.47</v>
          </cell>
          <cell r="R187">
            <v>82.727000000000004</v>
          </cell>
          <cell r="S187">
            <v>97.700000000000017</v>
          </cell>
        </row>
        <row r="188">
          <cell r="A188" t="str">
            <v>Change In WC</v>
          </cell>
          <cell r="C188">
            <v>14.982835133551031</v>
          </cell>
          <cell r="D188">
            <v>-1.129197019174411</v>
          </cell>
          <cell r="E188">
            <v>2.5074101984426083</v>
          </cell>
          <cell r="F188">
            <v>1.5500386199546057</v>
          </cell>
          <cell r="G188">
            <v>1.254072741210507</v>
          </cell>
          <cell r="H188">
            <v>1.3438219478321969</v>
          </cell>
          <cell r="I188">
            <v>1.4380477381261798</v>
          </cell>
          <cell r="J188">
            <v>1.5388804115169457</v>
          </cell>
          <cell r="K188">
            <v>1.6467832252656009</v>
          </cell>
          <cell r="O188" t="str">
            <v>Change In WC</v>
          </cell>
          <cell r="Q188">
            <v>89.47</v>
          </cell>
          <cell r="R188">
            <v>-6.742999999999995</v>
          </cell>
          <cell r="S188">
            <v>14.973000000000013</v>
          </cell>
        </row>
        <row r="191">
          <cell r="A191" t="str">
            <v>Free Cash Flow</v>
          </cell>
          <cell r="C191">
            <v>-9.9757176485299368</v>
          </cell>
          <cell r="D191">
            <v>5.4287867370007534</v>
          </cell>
          <cell r="E191">
            <v>1.98911496273967</v>
          </cell>
          <cell r="F191">
            <v>3.7836631300244576</v>
          </cell>
          <cell r="G191">
            <v>4.5850157744771041</v>
          </cell>
          <cell r="H191">
            <v>5.2689794174453297</v>
          </cell>
          <cell r="I191">
            <v>6.0174596375670966</v>
          </cell>
          <cell r="J191">
            <v>6.8362584840979661</v>
          </cell>
          <cell r="K191">
            <v>7.7331964424716819</v>
          </cell>
          <cell r="O191" t="str">
            <v>Free Cash Flow</v>
          </cell>
          <cell r="Q191">
            <v>-59.569997938196529</v>
          </cell>
          <cell r="R191">
            <v>32.417999999999992</v>
          </cell>
          <cell r="S191">
            <v>11.877999999999982</v>
          </cell>
        </row>
        <row r="192">
          <cell r="A192" t="str">
            <v>Tax Savings For Goodwill Amort.</v>
          </cell>
          <cell r="B192" t="str">
            <v>No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O192" t="str">
            <v>Tax Savings For Goodwill Amort.</v>
          </cell>
          <cell r="P192" t="str">
            <v>No</v>
          </cell>
        </row>
        <row r="194">
          <cell r="A194" t="str">
            <v>Purchase Price Payments (3)</v>
          </cell>
          <cell r="F194">
            <v>-79.316830883205029</v>
          </cell>
          <cell r="O194" t="str">
            <v>Purchase Price Payments (3)</v>
          </cell>
        </row>
        <row r="195">
          <cell r="A195" t="str">
            <v>Terminal Value  (4)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117.16964306775274</v>
          </cell>
          <cell r="O195" t="str">
            <v>Terminal Value  (4)</v>
          </cell>
        </row>
        <row r="196">
          <cell r="A196" t="str">
            <v>Unlevered IRR Calculation:</v>
          </cell>
          <cell r="B196">
            <v>0.1455104494284723</v>
          </cell>
          <cell r="F196">
            <v>-79.316830883205029</v>
          </cell>
          <cell r="G196">
            <v>4.5850157744771041</v>
          </cell>
          <cell r="H196">
            <v>5.2689794174453297</v>
          </cell>
          <cell r="I196">
            <v>6.0174596375670966</v>
          </cell>
          <cell r="J196">
            <v>6.8362584840979661</v>
          </cell>
          <cell r="K196">
            <v>124.90283951022442</v>
          </cell>
          <cell r="O196" t="str">
            <v>Unlevered IRR Calculation:</v>
          </cell>
          <cell r="P196">
            <v>0.14551044942847244</v>
          </cell>
        </row>
        <row r="199">
          <cell r="B199" t="str">
            <v>Company Valuation:</v>
          </cell>
          <cell r="E199" t="str">
            <v>As of June 30, 1998</v>
          </cell>
          <cell r="G199" t="str">
            <v>As of June 30, 1998</v>
          </cell>
          <cell r="I199" t="str">
            <v>As of June 30, 1998</v>
          </cell>
          <cell r="O199" t="str">
            <v>Company Valuation:</v>
          </cell>
          <cell r="Q199" t="str">
            <v>As of June 30, 1998</v>
          </cell>
          <cell r="S199" t="str">
            <v>As of June 30, 1998</v>
          </cell>
        </row>
        <row r="201">
          <cell r="B201" t="str">
            <v>PV of Cash Flows @:</v>
          </cell>
          <cell r="D201">
            <v>0.15</v>
          </cell>
          <cell r="E201">
            <v>19.681071384683161</v>
          </cell>
          <cell r="F201">
            <v>0.2</v>
          </cell>
          <cell r="G201">
            <v>17.366791105961902</v>
          </cell>
          <cell r="H201">
            <v>0.25</v>
          </cell>
          <cell r="I201">
            <v>15.455244066536697</v>
          </cell>
          <cell r="O201" t="str">
            <v>PV of Cash Flows @:</v>
          </cell>
          <cell r="P201">
            <v>0.15</v>
          </cell>
          <cell r="Q201">
            <v>117.5255177736355</v>
          </cell>
          <cell r="R201">
            <v>0.2</v>
          </cell>
          <cell r="S201">
            <v>103.7057930892515</v>
          </cell>
        </row>
        <row r="202">
          <cell r="B202" t="str">
            <v>PV of TV @ :</v>
          </cell>
          <cell r="D202">
            <v>0.15</v>
          </cell>
          <cell r="E202">
            <v>58.254020616491218</v>
          </cell>
          <cell r="F202">
            <v>0.2</v>
          </cell>
          <cell r="G202">
            <v>47.087851670103824</v>
          </cell>
          <cell r="H202">
            <v>0.25</v>
          </cell>
          <cell r="I202">
            <v>38.394148640441223</v>
          </cell>
          <cell r="O202" t="str">
            <v>PV of TV @ :</v>
          </cell>
          <cell r="P202">
            <v>0.15</v>
          </cell>
          <cell r="Q202">
            <v>347.86388411137739</v>
          </cell>
          <cell r="R202">
            <v>0.2</v>
          </cell>
          <cell r="S202">
            <v>281.18510624802508</v>
          </cell>
        </row>
        <row r="203">
          <cell r="B203" t="str">
            <v>PV of Tax Benefit @:</v>
          </cell>
          <cell r="D203">
            <v>0.09</v>
          </cell>
          <cell r="E203">
            <v>0</v>
          </cell>
          <cell r="F203">
            <v>0.09</v>
          </cell>
          <cell r="G203">
            <v>0</v>
          </cell>
          <cell r="H203">
            <v>0.09</v>
          </cell>
          <cell r="I203">
            <v>0</v>
          </cell>
          <cell r="O203" t="str">
            <v>PV of Tax Benefit @:</v>
          </cell>
          <cell r="P203">
            <v>0.09</v>
          </cell>
          <cell r="Q203">
            <v>0</v>
          </cell>
          <cell r="R203">
            <v>0.09</v>
          </cell>
          <cell r="S203">
            <v>0</v>
          </cell>
        </row>
        <row r="204">
          <cell r="B204" t="str">
            <v>PV of Firm</v>
          </cell>
          <cell r="E204">
            <v>77.935092001174382</v>
          </cell>
          <cell r="G204">
            <v>64.454642776065725</v>
          </cell>
          <cell r="I204">
            <v>53.849392706977923</v>
          </cell>
          <cell r="O204" t="str">
            <v>PV of Firm</v>
          </cell>
          <cell r="Q204">
            <v>465.38940188501289</v>
          </cell>
          <cell r="S204">
            <v>384.89089933727655</v>
          </cell>
        </row>
        <row r="205">
          <cell r="B205" t="str">
            <v xml:space="preserve">Less Net LT Debt </v>
          </cell>
          <cell r="E205">
            <v>-43.806672424171659</v>
          </cell>
          <cell r="G205">
            <v>-43.806672424171659</v>
          </cell>
          <cell r="I205">
            <v>-43.806672424171659</v>
          </cell>
          <cell r="O205" t="str">
            <v xml:space="preserve">Less Net LT Debt </v>
          </cell>
          <cell r="Q205">
            <v>-261.59154438094106</v>
          </cell>
          <cell r="S205">
            <v>-261.59154438094106</v>
          </cell>
        </row>
        <row r="206">
          <cell r="B206" t="str">
            <v>PV of Equity</v>
          </cell>
          <cell r="E206">
            <v>121.74176442534605</v>
          </cell>
          <cell r="G206">
            <v>108.26131520023739</v>
          </cell>
          <cell r="I206">
            <v>97.656065131149575</v>
          </cell>
          <cell r="O206" t="str">
            <v>PV of Equity</v>
          </cell>
          <cell r="Q206">
            <v>726.98094626595389</v>
          </cell>
          <cell r="S206">
            <v>646.48244371821761</v>
          </cell>
        </row>
        <row r="208">
          <cell r="B208" t="str">
            <v>PV of Purchase Price</v>
          </cell>
          <cell r="E208">
            <v>79.316830883205029</v>
          </cell>
          <cell r="G208">
            <v>79.316830883205029</v>
          </cell>
          <cell r="I208">
            <v>79.316830883205029</v>
          </cell>
          <cell r="O208" t="str">
            <v>PV of Purchase Price</v>
          </cell>
          <cell r="Q208">
            <v>473.64045561905886</v>
          </cell>
          <cell r="S208">
            <v>473.64045561905886</v>
          </cell>
        </row>
        <row r="210">
          <cell r="B210" t="str">
            <v>NPV</v>
          </cell>
          <cell r="E210">
            <v>-1.3817388820306462</v>
          </cell>
          <cell r="G210">
            <v>-14.862188107139303</v>
          </cell>
          <cell r="I210">
            <v>-25.467438176227105</v>
          </cell>
          <cell r="O210" t="str">
            <v>NPV</v>
          </cell>
          <cell r="Q210">
            <v>-8.2510537340459678</v>
          </cell>
          <cell r="S210">
            <v>-88.749556281782304</v>
          </cell>
        </row>
        <row r="213">
          <cell r="A213" t="str">
            <v xml:space="preserve">(1) Capex assumed to be 1.5% of Sales. </v>
          </cell>
          <cell r="O213" t="str">
            <v xml:space="preserve">(1) Capex assumed to be 1.0% of Sales. </v>
          </cell>
        </row>
        <row r="214">
          <cell r="A214" t="str">
            <v>(2) Defined as Receivables + Inventory - Payables.</v>
          </cell>
          <cell r="O214" t="str">
            <v>(2) Defined as Receivables + Inventory - Payables.</v>
          </cell>
        </row>
        <row r="215">
          <cell r="A215" t="str">
            <v xml:space="preserve">(3) Fisher acquires 100% of  company </v>
          </cell>
          <cell r="O215" t="str">
            <v>(3) Fisher acquires 100% of  company</v>
          </cell>
        </row>
        <row r="216">
          <cell r="A216" t="str">
            <v>(4) Terminal value calculated as a perpetuity</v>
          </cell>
          <cell r="E216">
            <v>6.6000000000000003E-2</v>
          </cell>
          <cell r="O216" t="str">
            <v>(4) Terminal value calculated as 10% perpetuity</v>
          </cell>
          <cell r="S216">
            <v>6.6000000000000003E-2</v>
          </cell>
        </row>
        <row r="218">
          <cell r="A218" t="str">
            <v>Balance Sheet ($000's)</v>
          </cell>
          <cell r="O218" t="str">
            <v>Balance Sheet (Lira in millions)</v>
          </cell>
        </row>
        <row r="219">
          <cell r="A219" t="str">
            <v>Fiscal Year Ended June 30,</v>
          </cell>
          <cell r="O219" t="str">
            <v>At Dec 31,</v>
          </cell>
        </row>
        <row r="220">
          <cell r="F220" t="str">
            <v>(1)</v>
          </cell>
        </row>
        <row r="221">
          <cell r="C221" t="str">
            <v>1995A</v>
          </cell>
          <cell r="D221" t="str">
            <v>1996A</v>
          </cell>
          <cell r="E221" t="str">
            <v>1997A</v>
          </cell>
          <cell r="F221" t="str">
            <v>1998E</v>
          </cell>
          <cell r="G221" t="str">
            <v>1999E</v>
          </cell>
          <cell r="H221" t="str">
            <v>2000E</v>
          </cell>
          <cell r="I221" t="str">
            <v>2001E</v>
          </cell>
          <cell r="J221" t="str">
            <v>2002E</v>
          </cell>
          <cell r="K221" t="str">
            <v>2003E</v>
          </cell>
          <cell r="Q221" t="str">
            <v>1995A</v>
          </cell>
          <cell r="R221" t="str">
            <v>1996A</v>
          </cell>
          <cell r="S221" t="str">
            <v>1997A</v>
          </cell>
        </row>
        <row r="222">
          <cell r="A222" t="str">
            <v>Assets</v>
          </cell>
          <cell r="G222" t="str">
            <v xml:space="preserve"> </v>
          </cell>
          <cell r="H222" t="str">
            <v xml:space="preserve"> </v>
          </cell>
          <cell r="I222" t="str">
            <v xml:space="preserve"> </v>
          </cell>
          <cell r="J222" t="str">
            <v xml:space="preserve"> </v>
          </cell>
          <cell r="K222" t="str">
            <v xml:space="preserve"> </v>
          </cell>
          <cell r="O222" t="str">
            <v>Assets</v>
          </cell>
        </row>
        <row r="223">
          <cell r="A223" t="str">
            <v xml:space="preserve">Cash/Equivalents </v>
          </cell>
          <cell r="C223">
            <v>36.739680147366656</v>
          </cell>
          <cell r="D223">
            <v>39.774428535543834</v>
          </cell>
          <cell r="E223">
            <v>39.738759105752322</v>
          </cell>
          <cell r="F223">
            <v>43.806672424171659</v>
          </cell>
          <cell r="G223">
            <v>48.391688198648758</v>
          </cell>
          <cell r="H223">
            <v>55.690265717458168</v>
          </cell>
          <cell r="I223">
            <v>64.042514570643249</v>
          </cell>
          <cell r="J223">
            <v>73.5620623037927</v>
          </cell>
          <cell r="K223">
            <v>84.37503208688257</v>
          </cell>
          <cell r="O223" t="str">
            <v xml:space="preserve">Cash/Equivalents </v>
          </cell>
          <cell r="Q223">
            <v>219.39099999999999</v>
          </cell>
          <cell r="R223">
            <v>237.51300000000001</v>
          </cell>
          <cell r="S223">
            <v>237.3</v>
          </cell>
        </row>
        <row r="224">
          <cell r="A224" t="str">
            <v>Accounts Receivable (Net)</v>
          </cell>
          <cell r="C224">
            <v>15.335845265008791</v>
          </cell>
          <cell r="D224">
            <v>15.042619107426944</v>
          </cell>
          <cell r="E224">
            <v>16.562002846855901</v>
          </cell>
          <cell r="F224">
            <v>18.130502098136549</v>
          </cell>
          <cell r="G224">
            <v>19.399637245006112</v>
          </cell>
          <cell r="H224">
            <v>20.75761185215654</v>
          </cell>
          <cell r="I224">
            <v>22.210644681807498</v>
          </cell>
          <cell r="J224">
            <v>23.765389809534028</v>
          </cell>
          <cell r="K224">
            <v>25.428967096201415</v>
          </cell>
          <cell r="O224" t="str">
            <v>Accounts Receivable (Net)</v>
          </cell>
          <cell r="Q224">
            <v>91.578000000000003</v>
          </cell>
          <cell r="R224">
            <v>89.826999999999998</v>
          </cell>
          <cell r="S224">
            <v>98.9</v>
          </cell>
        </row>
        <row r="225">
          <cell r="A225" t="str">
            <v>Inventories (Net)</v>
          </cell>
          <cell r="C225">
            <v>4.2079879427279572</v>
          </cell>
          <cell r="D225">
            <v>3.6972285020514106</v>
          </cell>
          <cell r="E225">
            <v>4.5549694381646146</v>
          </cell>
          <cell r="F225">
            <v>4.9734104148881455</v>
          </cell>
          <cell r="G225">
            <v>5.3148249431600822</v>
          </cell>
          <cell r="H225">
            <v>5.6356185543733703</v>
          </cell>
          <cell r="I225">
            <v>5.9752806289350335</v>
          </cell>
          <cell r="J225">
            <v>6.3348808630189009</v>
          </cell>
          <cell r="K225">
            <v>6.7155462547927289</v>
          </cell>
          <cell r="O225" t="str">
            <v>Inventories (Net)</v>
          </cell>
          <cell r="Q225">
            <v>25.128</v>
          </cell>
          <cell r="R225">
            <v>22.077999999999999</v>
          </cell>
          <cell r="S225">
            <v>27.2</v>
          </cell>
        </row>
        <row r="226">
          <cell r="A226" t="str">
            <v xml:space="preserve">Prepaid Expenses &amp; Other </v>
          </cell>
          <cell r="C226">
            <v>0.96357699070585279</v>
          </cell>
          <cell r="D226">
            <v>1.7452901281085154</v>
          </cell>
          <cell r="E226">
            <v>3.7946914510591978</v>
          </cell>
          <cell r="F226">
            <v>3.7946914510591978</v>
          </cell>
          <cell r="G226">
            <v>3.7946914510591978</v>
          </cell>
          <cell r="H226">
            <v>3.7946914510591978</v>
          </cell>
          <cell r="I226">
            <v>3.7946914510591978</v>
          </cell>
          <cell r="J226">
            <v>3.7946914510591978</v>
          </cell>
          <cell r="K226">
            <v>3.7946914510591978</v>
          </cell>
          <cell r="O226" t="str">
            <v xml:space="preserve">Prepaid Expenses &amp; Other </v>
          </cell>
          <cell r="Q226">
            <v>5.7540000000000004</v>
          </cell>
          <cell r="R226">
            <v>10.422000000000001</v>
          </cell>
          <cell r="S226">
            <v>22.66</v>
          </cell>
        </row>
        <row r="227">
          <cell r="A227" t="str">
            <v>Total Current Assets</v>
          </cell>
          <cell r="C227">
            <v>57.247090345809262</v>
          </cell>
          <cell r="D227">
            <v>60.259566273130702</v>
          </cell>
          <cell r="E227">
            <v>64.650422841832039</v>
          </cell>
          <cell r="F227">
            <v>70.705276388255555</v>
          </cell>
          <cell r="G227">
            <v>76.90084183787414</v>
          </cell>
          <cell r="H227">
            <v>85.878187575047264</v>
          </cell>
          <cell r="I227">
            <v>96.023131332444976</v>
          </cell>
          <cell r="J227">
            <v>107.45702442740482</v>
          </cell>
          <cell r="K227">
            <v>120.31423688893591</v>
          </cell>
          <cell r="O227" t="str">
            <v>Total Current Assets</v>
          </cell>
          <cell r="Q227">
            <v>341.851</v>
          </cell>
          <cell r="R227">
            <v>359.84000000000003</v>
          </cell>
          <cell r="S227">
            <v>386.06000000000006</v>
          </cell>
        </row>
        <row r="229">
          <cell r="A229" t="str">
            <v>Net PP&amp;E</v>
          </cell>
          <cell r="C229">
            <v>2.9866867621200703</v>
          </cell>
          <cell r="D229">
            <v>2.7137235200535876</v>
          </cell>
          <cell r="E229">
            <v>2.3277233525914762</v>
          </cell>
          <cell r="F229">
            <v>2.7083647324792768</v>
          </cell>
          <cell r="G229">
            <v>3.0985729835767515</v>
          </cell>
          <cell r="H229">
            <v>3.4763497302416719</v>
          </cell>
          <cell r="I229">
            <v>3.8486990051188754</v>
          </cell>
          <cell r="J229">
            <v>4.2215551297946119</v>
          </cell>
          <cell r="K229">
            <v>4.600016890863321</v>
          </cell>
          <cell r="O229" t="str">
            <v>Net PP&amp;E</v>
          </cell>
          <cell r="Q229">
            <v>17.835000000000001</v>
          </cell>
          <cell r="R229">
            <v>16.204999999999998</v>
          </cell>
          <cell r="S229">
            <v>13.9</v>
          </cell>
        </row>
        <row r="230">
          <cell r="A230" t="str">
            <v>Goodwill &amp; Other Intangibles</v>
          </cell>
          <cell r="C230">
            <v>0.66566189399648323</v>
          </cell>
          <cell r="D230">
            <v>1.5696223729381225</v>
          </cell>
          <cell r="E230">
            <v>1.4904127941053336</v>
          </cell>
          <cell r="F230">
            <v>1.4904127941053336</v>
          </cell>
          <cell r="G230">
            <v>1.4904127941053336</v>
          </cell>
          <cell r="H230">
            <v>1.4904127941053336</v>
          </cell>
          <cell r="I230">
            <v>1.4904127941053336</v>
          </cell>
          <cell r="J230">
            <v>1.4904127941053336</v>
          </cell>
          <cell r="K230">
            <v>1.4904127941053336</v>
          </cell>
          <cell r="O230" t="str">
            <v>Goodwill &amp; Other Intangibles</v>
          </cell>
          <cell r="Q230">
            <v>3.9750000000000001</v>
          </cell>
          <cell r="R230">
            <v>9.3729999999999993</v>
          </cell>
          <cell r="S230">
            <v>8.9</v>
          </cell>
        </row>
        <row r="231">
          <cell r="A231" t="str">
            <v>Other Assets</v>
          </cell>
          <cell r="C231">
            <v>0.2662647575985933</v>
          </cell>
          <cell r="D231">
            <v>0.3582014569203717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O231" t="str">
            <v>Other Assets</v>
          </cell>
          <cell r="Q231">
            <v>1.59</v>
          </cell>
          <cell r="R231">
            <v>2.1389999999999998</v>
          </cell>
          <cell r="S231">
            <v>0</v>
          </cell>
        </row>
        <row r="232">
          <cell r="A232" t="str">
            <v>TOTAL ASSETS</v>
          </cell>
          <cell r="C232">
            <v>61.165703759524412</v>
          </cell>
          <cell r="D232">
            <v>64.901113623042789</v>
          </cell>
          <cell r="E232">
            <v>68.468558988528855</v>
          </cell>
          <cell r="F232">
            <v>74.904053914840176</v>
          </cell>
          <cell r="G232">
            <v>81.489827615556237</v>
          </cell>
          <cell r="H232">
            <v>90.844950099394268</v>
          </cell>
          <cell r="I232">
            <v>101.36224313166919</v>
          </cell>
          <cell r="J232">
            <v>113.16899235130477</v>
          </cell>
          <cell r="K232">
            <v>126.40466657390456</v>
          </cell>
          <cell r="O232" t="str">
            <v>TOTAL ASSETS</v>
          </cell>
          <cell r="Q232">
            <v>365.25099999999998</v>
          </cell>
          <cell r="R232">
            <v>387.55700000000002</v>
          </cell>
          <cell r="S232">
            <v>408.86</v>
          </cell>
        </row>
        <row r="234">
          <cell r="A234" t="str">
            <v>Liabilities &amp; Equity</v>
          </cell>
          <cell r="O234" t="str">
            <v>Liabilities &amp; Equity</v>
          </cell>
        </row>
        <row r="235">
          <cell r="A235" t="str">
            <v>Accounts Payable</v>
          </cell>
          <cell r="C235">
            <v>4.560998074185715</v>
          </cell>
          <cell r="D235">
            <v>4.886209495101733</v>
          </cell>
          <cell r="E235">
            <v>4.7559239722012894</v>
          </cell>
          <cell r="F235">
            <v>5.1928255802508598</v>
          </cell>
          <cell r="G235">
            <v>5.5493025141818517</v>
          </cell>
          <cell r="H235">
            <v>5.8842487847133729</v>
          </cell>
          <cell r="I235">
            <v>6.2388959507998152</v>
          </cell>
          <cell r="J235">
            <v>6.6143609010932662</v>
          </cell>
          <cell r="K235">
            <v>7.0118203542688802</v>
          </cell>
          <cell r="O235" t="str">
            <v>Accounts Payable</v>
          </cell>
          <cell r="Q235">
            <v>27.236000000000001</v>
          </cell>
          <cell r="R235">
            <v>29.178000000000001</v>
          </cell>
          <cell r="S235">
            <v>28.4</v>
          </cell>
        </row>
        <row r="236">
          <cell r="A236" t="str">
            <v>Short term debt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O236" t="str">
            <v>Short term debt</v>
          </cell>
          <cell r="Q236">
            <v>0</v>
          </cell>
          <cell r="R236">
            <v>0</v>
          </cell>
          <cell r="S236">
            <v>0</v>
          </cell>
        </row>
        <row r="237">
          <cell r="A237" t="str">
            <v>Other Accrued Expenses</v>
          </cell>
          <cell r="C237">
            <v>4.842166959725362</v>
          </cell>
          <cell r="D237">
            <v>3.5227329816628981</v>
          </cell>
          <cell r="E237">
            <v>3.0851544837980409</v>
          </cell>
          <cell r="F237">
            <v>3.0851544837980409</v>
          </cell>
          <cell r="G237">
            <v>3.0851544837980409</v>
          </cell>
          <cell r="H237">
            <v>3.0851544837980409</v>
          </cell>
          <cell r="I237">
            <v>3.0851544837980409</v>
          </cell>
          <cell r="J237">
            <v>3.0851544837980409</v>
          </cell>
          <cell r="K237">
            <v>3.0851544837980409</v>
          </cell>
          <cell r="O237" t="str">
            <v>Other Accrued Expenses</v>
          </cell>
          <cell r="Q237">
            <v>28.914999999999999</v>
          </cell>
          <cell r="R237">
            <v>21.035999999999998</v>
          </cell>
          <cell r="S237">
            <v>18.423000000000002</v>
          </cell>
        </row>
        <row r="238">
          <cell r="A238" t="str">
            <v>Total Current Liabilities</v>
          </cell>
          <cell r="C238">
            <v>9.4031650339110762</v>
          </cell>
          <cell r="D238">
            <v>8.408942476764631</v>
          </cell>
          <cell r="E238">
            <v>7.8410784559993303</v>
          </cell>
          <cell r="F238">
            <v>8.2779800640489007</v>
          </cell>
          <cell r="G238">
            <v>8.6344569979798926</v>
          </cell>
          <cell r="H238">
            <v>8.9694032685114138</v>
          </cell>
          <cell r="I238">
            <v>9.3240504345978561</v>
          </cell>
          <cell r="J238">
            <v>9.6995153848913063</v>
          </cell>
          <cell r="K238">
            <v>10.09697483806692</v>
          </cell>
          <cell r="O238" t="str">
            <v>Total Current Liabilities</v>
          </cell>
          <cell r="Q238">
            <v>56.150999999999996</v>
          </cell>
          <cell r="R238">
            <v>50.213999999999999</v>
          </cell>
          <cell r="S238">
            <v>46.823</v>
          </cell>
        </row>
        <row r="240">
          <cell r="A240" t="str">
            <v>Total Debt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O240" t="str">
            <v>Total Debt</v>
          </cell>
          <cell r="Q240">
            <v>0</v>
          </cell>
          <cell r="R240">
            <v>0</v>
          </cell>
          <cell r="S240">
            <v>0</v>
          </cell>
        </row>
        <row r="241">
          <cell r="A241" t="str">
            <v>Other Non-Current</v>
          </cell>
          <cell r="C241">
            <v>1.2516118228250859</v>
          </cell>
          <cell r="D241">
            <v>1.3415389768064974</v>
          </cell>
          <cell r="E241">
            <v>1.339696893577828</v>
          </cell>
          <cell r="F241">
            <v>1.339696893577828</v>
          </cell>
          <cell r="G241">
            <v>1.339696893577828</v>
          </cell>
          <cell r="H241">
            <v>1.339696893577828</v>
          </cell>
          <cell r="I241">
            <v>1.339696893577828</v>
          </cell>
          <cell r="J241">
            <v>1.339696893577828</v>
          </cell>
          <cell r="K241">
            <v>1.339696893577828</v>
          </cell>
          <cell r="O241" t="str">
            <v>Other Non-Current</v>
          </cell>
          <cell r="Q241">
            <v>7.4740000000000002</v>
          </cell>
          <cell r="R241">
            <v>8.0109999999999992</v>
          </cell>
          <cell r="S241">
            <v>8</v>
          </cell>
        </row>
        <row r="242">
          <cell r="A242" t="str">
            <v>Total Liabilities</v>
          </cell>
          <cell r="C242">
            <v>10.654776856736163</v>
          </cell>
          <cell r="D242">
            <v>9.7504814535711279</v>
          </cell>
          <cell r="E242">
            <v>9.1807753495771589</v>
          </cell>
          <cell r="F242">
            <v>9.6176769576267294</v>
          </cell>
          <cell r="G242">
            <v>9.9741538915577213</v>
          </cell>
          <cell r="H242">
            <v>10.309100162089242</v>
          </cell>
          <cell r="I242">
            <v>10.663747328175685</v>
          </cell>
          <cell r="J242">
            <v>11.039212278469135</v>
          </cell>
          <cell r="K242">
            <v>11.436671731644749</v>
          </cell>
          <cell r="O242" t="str">
            <v>Total Liabilities</v>
          </cell>
          <cell r="Q242">
            <v>63.625</v>
          </cell>
          <cell r="R242">
            <v>58.224999999999994</v>
          </cell>
          <cell r="S242">
            <v>54.823</v>
          </cell>
        </row>
        <row r="244">
          <cell r="A244" t="str">
            <v>Shareholders' Equity</v>
          </cell>
          <cell r="C244">
            <v>50.510926902788235</v>
          </cell>
          <cell r="D244">
            <v>55.225990119735414</v>
          </cell>
          <cell r="E244">
            <v>59.281085154483797</v>
          </cell>
          <cell r="F244">
            <v>65.286376957213434</v>
          </cell>
          <cell r="G244">
            <v>71.515673723998518</v>
          </cell>
          <cell r="H244">
            <v>80.535849937305045</v>
          </cell>
          <cell r="I244">
            <v>90.698495803493486</v>
          </cell>
          <cell r="J244">
            <v>102.12978007283563</v>
          </cell>
          <cell r="K244">
            <v>114.96799484225981</v>
          </cell>
          <cell r="O244" t="str">
            <v>Shareholders' Equity</v>
          </cell>
          <cell r="Q244">
            <v>301.62599999999998</v>
          </cell>
          <cell r="R244">
            <v>329.78200000000004</v>
          </cell>
          <cell r="S244">
            <v>353.99700000000001</v>
          </cell>
        </row>
        <row r="245">
          <cell r="A245" t="str">
            <v>TOTAL LIABILITIES &amp; EQUITY</v>
          </cell>
          <cell r="C245">
            <v>61.165703759524398</v>
          </cell>
          <cell r="D245">
            <v>64.97647157330654</v>
          </cell>
          <cell r="E245">
            <v>68.461860504060951</v>
          </cell>
          <cell r="F245">
            <v>74.904053914840162</v>
          </cell>
          <cell r="G245">
            <v>81.489827615556237</v>
          </cell>
          <cell r="H245">
            <v>90.844950099394282</v>
          </cell>
          <cell r="I245">
            <v>101.36224313166917</v>
          </cell>
          <cell r="J245">
            <v>113.16899235130477</v>
          </cell>
          <cell r="K245">
            <v>126.40466657390456</v>
          </cell>
          <cell r="O245" t="str">
            <v>TOTAL LIABILITIES &amp; EQUITY</v>
          </cell>
          <cell r="Q245">
            <v>365.25099999999998</v>
          </cell>
          <cell r="R245">
            <v>388.00700000000006</v>
          </cell>
          <cell r="S245">
            <v>408.82</v>
          </cell>
        </row>
        <row r="246">
          <cell r="H246" t="str">
            <v xml:space="preserve"> </v>
          </cell>
          <cell r="I246" t="str">
            <v xml:space="preserve"> </v>
          </cell>
        </row>
        <row r="248">
          <cell r="A248" t="str">
            <v>(1) Estimated Balance Sheet as of June 30, 1998 .</v>
          </cell>
        </row>
        <row r="253">
          <cell r="A253" t="str">
            <v>Balance Sheet Turnover Analysis</v>
          </cell>
        </row>
        <row r="255">
          <cell r="C255">
            <v>1994</v>
          </cell>
          <cell r="D255" t="str">
            <v>1996A</v>
          </cell>
          <cell r="E255" t="str">
            <v>1997A</v>
          </cell>
          <cell r="F255" t="str">
            <v>1998E</v>
          </cell>
          <cell r="G255" t="str">
            <v>1999E</v>
          </cell>
          <cell r="H255" t="str">
            <v>2000E</v>
          </cell>
          <cell r="I255" t="str">
            <v>2001E</v>
          </cell>
          <cell r="J255" t="str">
            <v>2002E</v>
          </cell>
          <cell r="K255" t="str">
            <v>2003E</v>
          </cell>
        </row>
        <row r="256">
          <cell r="A256" t="str">
            <v>(days)</v>
          </cell>
        </row>
        <row r="257">
          <cell r="A257" t="str">
            <v>Accounts Receivable</v>
          </cell>
          <cell r="C257">
            <v>93.995883141972556</v>
          </cell>
          <cell r="D257">
            <v>87.385007995735606</v>
          </cell>
          <cell r="E257">
            <v>91.900458248472518</v>
          </cell>
          <cell r="F257">
            <v>91.900458248472518</v>
          </cell>
          <cell r="G257">
            <v>91.900458248472518</v>
          </cell>
          <cell r="H257">
            <v>91.900458248472518</v>
          </cell>
          <cell r="I257">
            <v>91.900458248472518</v>
          </cell>
          <cell r="J257">
            <v>91.900458248472518</v>
          </cell>
          <cell r="K257">
            <v>91.900458248472518</v>
          </cell>
        </row>
        <row r="258">
          <cell r="A258" t="str">
            <v>Inventory</v>
          </cell>
          <cell r="C258">
            <v>46.138197476708854</v>
          </cell>
          <cell r="D258">
            <v>38.759974411635973</v>
          </cell>
          <cell r="E258">
            <v>45.374771480804377</v>
          </cell>
          <cell r="F258">
            <v>45.374771480804377</v>
          </cell>
          <cell r="G258">
            <v>45.374771480804377</v>
          </cell>
          <cell r="H258">
            <v>45.374771480804377</v>
          </cell>
          <cell r="I258">
            <v>45.374771480804377</v>
          </cell>
          <cell r="J258">
            <v>45.374771480804377</v>
          </cell>
          <cell r="K258">
            <v>45.374771480804377</v>
          </cell>
        </row>
        <row r="259">
          <cell r="A259" t="str">
            <v>Accounts Payable</v>
          </cell>
          <cell r="C259">
            <v>50.008753043443264</v>
          </cell>
          <cell r="D259">
            <v>51.224682189632865</v>
          </cell>
          <cell r="E259">
            <v>47.376599634369285</v>
          </cell>
          <cell r="F259">
            <v>47.376599634369285</v>
          </cell>
          <cell r="G259">
            <v>47.376599634369285</v>
          </cell>
          <cell r="H259">
            <v>47.376599634369285</v>
          </cell>
          <cell r="I259">
            <v>47.376599634369285</v>
          </cell>
          <cell r="J259">
            <v>47.376599634369285</v>
          </cell>
          <cell r="K259">
            <v>47.376599634369285</v>
          </cell>
        </row>
        <row r="262">
          <cell r="A262" t="str">
            <v>Percentage of Sales</v>
          </cell>
        </row>
        <row r="264">
          <cell r="C264" t="str">
            <v>1995A</v>
          </cell>
          <cell r="D264" t="str">
            <v>1996A</v>
          </cell>
          <cell r="E264" t="str">
            <v>1997A</v>
          </cell>
          <cell r="F264" t="str">
            <v>1998E</v>
          </cell>
          <cell r="G264" t="str">
            <v>1999E</v>
          </cell>
          <cell r="H264" t="str">
            <v>2000E</v>
          </cell>
          <cell r="I264" t="str">
            <v>2001E</v>
          </cell>
          <cell r="J264" t="str">
            <v>2002E</v>
          </cell>
          <cell r="K264" t="str">
            <v>2003E</v>
          </cell>
        </row>
        <row r="266">
          <cell r="A266" t="str">
            <v>Sales Growth</v>
          </cell>
          <cell r="C266" t="str">
            <v>na</v>
          </cell>
          <cell r="D266">
            <v>5.5085472609115109E-2</v>
          </cell>
          <cell r="E266">
            <v>4.6908315565031979E-2</v>
          </cell>
          <cell r="F266">
            <v>9.4704684317718862E-2</v>
          </cell>
          <cell r="G266">
            <v>7.0000000000000007E-2</v>
          </cell>
          <cell r="H266">
            <v>7.0000000000000007E-2</v>
          </cell>
          <cell r="I266">
            <v>7.0000000000000007E-2</v>
          </cell>
          <cell r="J266">
            <v>7.0000000000000007E-2</v>
          </cell>
          <cell r="K266">
            <v>7.0000000000000007E-2</v>
          </cell>
        </row>
        <row r="267">
          <cell r="A267" t="str">
            <v>Cost of Sales</v>
          </cell>
          <cell r="C267">
            <v>0.55900408030122806</v>
          </cell>
          <cell r="D267">
            <v>0.55412313432835825</v>
          </cell>
          <cell r="E267">
            <v>0.55702647657841153</v>
          </cell>
          <cell r="F267">
            <v>0.55558139534883733</v>
          </cell>
          <cell r="G267">
            <v>0.55487937404911969</v>
          </cell>
          <cell r="H267">
            <v>0.54987937404911968</v>
          </cell>
          <cell r="I267">
            <v>0.54487937404911968</v>
          </cell>
          <cell r="J267">
            <v>0.53987937404911968</v>
          </cell>
          <cell r="K267">
            <v>0.53487937404911967</v>
          </cell>
        </row>
        <row r="268">
          <cell r="A268" t="str">
            <v>Total Gross Profit</v>
          </cell>
          <cell r="C268">
            <v>0.44099591969877194</v>
          </cell>
          <cell r="D268">
            <v>0.44587686567164181</v>
          </cell>
          <cell r="E268">
            <v>0.44297352342158852</v>
          </cell>
          <cell r="F268">
            <v>0.44441860465116273</v>
          </cell>
          <cell r="G268">
            <v>0.44512062595088026</v>
          </cell>
          <cell r="H268">
            <v>0.45012062595088032</v>
          </cell>
          <cell r="I268">
            <v>0.45512062595088038</v>
          </cell>
          <cell r="J268">
            <v>0.46012062595088038</v>
          </cell>
          <cell r="K268">
            <v>0.46512062595088027</v>
          </cell>
        </row>
        <row r="269">
          <cell r="F269" t="str">
            <v xml:space="preserve"> </v>
          </cell>
          <cell r="G269" t="str">
            <v xml:space="preserve"> </v>
          </cell>
          <cell r="H269" t="str">
            <v xml:space="preserve"> </v>
          </cell>
          <cell r="I269" t="str">
            <v xml:space="preserve"> </v>
          </cell>
          <cell r="J269" t="str">
            <v xml:space="preserve"> </v>
          </cell>
          <cell r="K269" t="str">
            <v xml:space="preserve"> </v>
          </cell>
        </row>
        <row r="270">
          <cell r="A270" t="str">
            <v>SG&amp;A</v>
          </cell>
          <cell r="C270">
            <v>0.12942513026874872</v>
          </cell>
          <cell r="D270">
            <v>0.13265458422174839</v>
          </cell>
          <cell r="E270">
            <v>0.13747454175152751</v>
          </cell>
          <cell r="F270">
            <v>0.13255813953488374</v>
          </cell>
          <cell r="G270">
            <v>0.13212453814388175</v>
          </cell>
          <cell r="H270">
            <v>0.13169235507518681</v>
          </cell>
          <cell r="I270">
            <v>0.13126158568942681</v>
          </cell>
          <cell r="J270">
            <v>0.1308322253624053</v>
          </cell>
          <cell r="K270">
            <v>0.13040426948505163</v>
          </cell>
        </row>
        <row r="271">
          <cell r="A271" t="str">
            <v>Other Expenses</v>
          </cell>
          <cell r="C271">
            <v>2.191439522399476E-2</v>
          </cell>
          <cell r="D271">
            <v>2.2763859275053304E-2</v>
          </cell>
          <cell r="E271">
            <v>2.2764765784114054E-2</v>
          </cell>
          <cell r="F271">
            <v>2.2758139534883724E-2</v>
          </cell>
          <cell r="G271">
            <v>2.2758139534883721E-2</v>
          </cell>
          <cell r="H271">
            <v>2.2758139534883717E-2</v>
          </cell>
          <cell r="I271">
            <v>2.275813953488371E-2</v>
          </cell>
          <cell r="J271">
            <v>2.2758139534883714E-2</v>
          </cell>
          <cell r="K271">
            <v>2.2758139534883717E-2</v>
          </cell>
        </row>
        <row r="272">
          <cell r="A272" t="str">
            <v>Depreciation &amp; Amortization</v>
          </cell>
          <cell r="C272">
            <v>8.7202026933924995E-3</v>
          </cell>
          <cell r="D272">
            <v>8.8939232409381667E-3</v>
          </cell>
          <cell r="E272">
            <v>9.9236252545824855E-3</v>
          </cell>
          <cell r="F272">
            <v>9.7139534883720936E-3</v>
          </cell>
          <cell r="G272">
            <v>9.9356040612289236E-3</v>
          </cell>
          <cell r="H272">
            <v>1.0142754129319422E-2</v>
          </cell>
          <cell r="I272">
            <v>1.0336352323796519E-2</v>
          </cell>
          <cell r="J272">
            <v>1.0517285215831193E-2</v>
          </cell>
          <cell r="K272">
            <v>1.0686381376611263E-2</v>
          </cell>
        </row>
        <row r="273">
          <cell r="A273" t="str">
            <v>Operating Income</v>
          </cell>
          <cell r="C273">
            <v>0.12760291442053248</v>
          </cell>
          <cell r="D273">
            <v>0.12429371002132202</v>
          </cell>
          <cell r="E273">
            <v>0.12245417515274942</v>
          </cell>
          <cell r="F273">
            <v>0.13226046511627898</v>
          </cell>
          <cell r="G273">
            <v>0.13474695951190735</v>
          </cell>
          <cell r="H273">
            <v>0.14132183507264209</v>
          </cell>
          <cell r="I273">
            <v>0.14789560270547442</v>
          </cell>
          <cell r="J273">
            <v>0.1544675104487058</v>
          </cell>
          <cell r="K273">
            <v>0.16103686304993822</v>
          </cell>
        </row>
        <row r="275">
          <cell r="A275" t="str">
            <v>Adjustments / Cost Savings</v>
          </cell>
          <cell r="C275">
            <v>9.1870049014231847E-3</v>
          </cell>
          <cell r="D275">
            <v>8.2089552238805968E-3</v>
          </cell>
          <cell r="E275">
            <v>7.1283095723014252E-3</v>
          </cell>
          <cell r="F275">
            <v>8.2093023255813951E-3</v>
          </cell>
          <cell r="G275">
            <v>8.0000000000000002E-3</v>
          </cell>
          <cell r="H275">
            <v>8.0000000000000002E-3</v>
          </cell>
          <cell r="I275">
            <v>8.0000000000000002E-3</v>
          </cell>
          <cell r="J275">
            <v>8.0000000000000002E-3</v>
          </cell>
          <cell r="K275">
            <v>8.0000000000000002E-3</v>
          </cell>
        </row>
        <row r="277">
          <cell r="A277" t="str">
            <v>Adjusted Operating Income</v>
          </cell>
          <cell r="C277">
            <v>0.12760291442053248</v>
          </cell>
          <cell r="D277">
            <v>0.12429371002132202</v>
          </cell>
          <cell r="E277">
            <v>0.12245417515274942</v>
          </cell>
          <cell r="F277">
            <v>0.13226046511627898</v>
          </cell>
          <cell r="G277">
            <v>0.13474695951190735</v>
          </cell>
          <cell r="H277">
            <v>0.14132183507264209</v>
          </cell>
          <cell r="I277">
            <v>0.14789560270547442</v>
          </cell>
          <cell r="J277">
            <v>0.1544675104487058</v>
          </cell>
          <cell r="K277">
            <v>0.16103686304993822</v>
          </cell>
        </row>
        <row r="278">
          <cell r="C278" t="str">
            <v xml:space="preserve"> </v>
          </cell>
          <cell r="D278" t="str">
            <v xml:space="preserve"> </v>
          </cell>
          <cell r="E278" t="str">
            <v xml:space="preserve"> </v>
          </cell>
          <cell r="F278" t="str">
            <v xml:space="preserve"> </v>
          </cell>
          <cell r="G278" t="str">
            <v xml:space="preserve"> </v>
          </cell>
          <cell r="H278" t="str">
            <v xml:space="preserve"> </v>
          </cell>
          <cell r="I278" t="str">
            <v xml:space="preserve"> </v>
          </cell>
          <cell r="J278" t="str">
            <v xml:space="preserve"> </v>
          </cell>
          <cell r="K278" t="str">
            <v xml:space="preserve"> </v>
          </cell>
        </row>
        <row r="279">
          <cell r="A279" t="str">
            <v>Net Interest Expense</v>
          </cell>
          <cell r="C279">
            <v>-3.5488216056308718E-2</v>
          </cell>
          <cell r="D279">
            <v>-4.1146055437100218E-2</v>
          </cell>
          <cell r="E279">
            <v>-3.9266802443991854E-2</v>
          </cell>
          <cell r="F279">
            <v>-6.5790697674418617E-3</v>
          </cell>
          <cell r="G279">
            <v>-3.8889983894638332E-2</v>
          </cell>
          <cell r="H279">
            <v>-4.1030444628709431E-2</v>
          </cell>
          <cell r="I279">
            <v>-4.4112337980652401E-2</v>
          </cell>
          <cell r="J279">
            <v>-4.7380115003882527E-2</v>
          </cell>
          <cell r="K279">
            <v>-5.0823386223742717E-2</v>
          </cell>
        </row>
        <row r="280">
          <cell r="A280" t="str">
            <v>Income Taxes</v>
          </cell>
          <cell r="C280">
            <v>6.1997519761762154E-2</v>
          </cell>
          <cell r="D280">
            <v>4.8917910447761191E-2</v>
          </cell>
          <cell r="E280">
            <v>6.6522403258655799E-2</v>
          </cell>
          <cell r="F280">
            <v>5.5534883720930232E-2</v>
          </cell>
          <cell r="G280">
            <v>6.9454777362618264E-2</v>
          </cell>
          <cell r="H280">
            <v>7.2940911880540582E-2</v>
          </cell>
          <cell r="I280">
            <v>7.6803176274450755E-2</v>
          </cell>
          <cell r="J280">
            <v>8.0739050181035318E-2</v>
          </cell>
          <cell r="K280">
            <v>8.4744099709472401E-2</v>
          </cell>
        </row>
        <row r="281">
          <cell r="A281" t="str">
            <v>Net Income</v>
          </cell>
          <cell r="C281">
            <v>0.10370039172016608</v>
          </cell>
          <cell r="D281">
            <v>0.12105810234541584</v>
          </cell>
          <cell r="E281">
            <v>9.9781059063136404E-2</v>
          </cell>
          <cell r="F281">
            <v>8.3304651162790622E-2</v>
          </cell>
          <cell r="G281">
            <v>0.1041821660439274</v>
          </cell>
          <cell r="H281">
            <v>0.10941136782081093</v>
          </cell>
          <cell r="I281">
            <v>0.11520476441167607</v>
          </cell>
          <cell r="J281">
            <v>0.12110857527155298</v>
          </cell>
          <cell r="K281">
            <v>0.12711614956420855</v>
          </cell>
        </row>
        <row r="284">
          <cell r="A284" t="str">
            <v>Capex</v>
          </cell>
          <cell r="D284">
            <v>1.5000000000000001E-2</v>
          </cell>
          <cell r="E284">
            <v>1.5000000000000001E-2</v>
          </cell>
          <cell r="F284">
            <v>1.4999999999999999E-2</v>
          </cell>
          <cell r="G284">
            <v>1.5000000000000001E-2</v>
          </cell>
          <cell r="H284">
            <v>1.4999999999999999E-2</v>
          </cell>
          <cell r="I284">
            <v>1.4999999999999999E-2</v>
          </cell>
          <cell r="J284">
            <v>1.4999999999999998E-2</v>
          </cell>
          <cell r="K284">
            <v>1.4999999999999999E-2</v>
          </cell>
        </row>
        <row r="285">
          <cell r="A285" t="str">
            <v>Depreciation</v>
          </cell>
          <cell r="D285">
            <v>8.8939232409381667E-3</v>
          </cell>
          <cell r="E285">
            <v>9.9236252545824855E-3</v>
          </cell>
          <cell r="F285">
            <v>9.7139534883720936E-3</v>
          </cell>
          <cell r="G285">
            <v>9.9356040612289236E-3</v>
          </cell>
          <cell r="H285">
            <v>1.0417709188149724E-2</v>
          </cell>
          <cell r="I285">
            <v>1.0779011582622906E-2</v>
          </cell>
          <cell r="J285">
            <v>1.1049781198963243E-2</v>
          </cell>
          <cell r="K285">
            <v>1.1252703145384322E-2</v>
          </cell>
        </row>
        <row r="286">
          <cell r="A286" t="str">
            <v>Depreciation/Net PPE</v>
          </cell>
          <cell r="D286">
            <v>0.2059240975007714</v>
          </cell>
          <cell r="E286">
            <v>0.28043165467625897</v>
          </cell>
          <cell r="F286">
            <v>0.25826995609967224</v>
          </cell>
          <cell r="G286">
            <v>0.24705937760332417</v>
          </cell>
          <cell r="H286">
            <v>0.24705937760332417</v>
          </cell>
          <cell r="I286">
            <v>0.24705937760332417</v>
          </cell>
          <cell r="J286">
            <v>0.24705937760332417</v>
          </cell>
          <cell r="K286">
            <v>0.24705937760332417</v>
          </cell>
        </row>
        <row r="287">
          <cell r="A287" t="str">
            <v>Capex/Depreciation</v>
          </cell>
          <cell r="D287">
            <v>1.686544800719209</v>
          </cell>
          <cell r="E287">
            <v>1.5115443817342227</v>
          </cell>
          <cell r="F287">
            <v>1.5441704572659805</v>
          </cell>
          <cell r="G287">
            <v>1.5097219965249569</v>
          </cell>
          <cell r="H287">
            <v>1.4398558962523824</v>
          </cell>
          <cell r="I287">
            <v>1.3915932722608673</v>
          </cell>
          <cell r="J287">
            <v>1.3574929430645548</v>
          </cell>
          <cell r="K287">
            <v>1.3330130375075928</v>
          </cell>
        </row>
        <row r="288">
          <cell r="A288" t="str">
            <v>Working Capital</v>
          </cell>
          <cell r="D288">
            <v>0.22048773987206821</v>
          </cell>
          <cell r="E288">
            <v>0.24872708757637482</v>
          </cell>
          <cell r="F288">
            <v>0.24873501306757897</v>
          </cell>
          <cell r="G288">
            <v>0.24873886327580416</v>
          </cell>
          <cell r="H288">
            <v>0.24876628557927766</v>
          </cell>
          <cell r="I288">
            <v>0.24879370788275113</v>
          </cell>
          <cell r="J288">
            <v>0.24882113018622462</v>
          </cell>
          <cell r="K288">
            <v>0.24884855248969814</v>
          </cell>
        </row>
        <row r="289">
          <cell r="A289" t="str">
            <v>Prepaid Expenses &amp; Other Current</v>
          </cell>
          <cell r="D289">
            <v>2.7777185501066098E-2</v>
          </cell>
          <cell r="E289">
            <v>5.7688391038696538E-2</v>
          </cell>
          <cell r="F289">
            <v>5.2697674418604658E-2</v>
          </cell>
          <cell r="G289">
            <v>4.9250163008041727E-2</v>
          </cell>
          <cell r="H289">
            <v>4.6028189727141795E-2</v>
          </cell>
          <cell r="I289">
            <v>4.3016999744992325E-2</v>
          </cell>
          <cell r="J289">
            <v>4.0202803499992827E-2</v>
          </cell>
          <cell r="K289">
            <v>3.7572713551395159E-2</v>
          </cell>
        </row>
        <row r="290">
          <cell r="A290" t="str">
            <v>Other Assets</v>
          </cell>
          <cell r="D290">
            <v>5.7009594882729206E-3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</row>
        <row r="291">
          <cell r="A291" t="str">
            <v>Accrued Expenses &amp; Other</v>
          </cell>
          <cell r="D291">
            <v>5.6066098081023447E-2</v>
          </cell>
          <cell r="E291">
            <v>4.6901731160896139E-2</v>
          </cell>
          <cell r="F291">
            <v>4.2844186046511634E-2</v>
          </cell>
          <cell r="G291">
            <v>4.004129537057162E-2</v>
          </cell>
          <cell r="H291">
            <v>3.7421771374365996E-2</v>
          </cell>
          <cell r="I291">
            <v>3.4973618106884097E-2</v>
          </cell>
          <cell r="J291">
            <v>3.26856243989571E-2</v>
          </cell>
          <cell r="K291">
            <v>3.0547312522389812E-2</v>
          </cell>
        </row>
        <row r="292">
          <cell r="A292" t="str">
            <v>Other Liabilities</v>
          </cell>
          <cell r="D292">
            <v>2.1351279317697227E-2</v>
          </cell>
          <cell r="E292">
            <v>2.0366598778004074E-2</v>
          </cell>
          <cell r="F292">
            <v>1.8604651162790697E-2</v>
          </cell>
          <cell r="G292">
            <v>1.7387524451206258E-2</v>
          </cell>
          <cell r="H292">
            <v>1.6250022851594631E-2</v>
          </cell>
          <cell r="I292">
            <v>1.5186937244480963E-2</v>
          </cell>
          <cell r="J292">
            <v>1.4193399293907439E-2</v>
          </cell>
          <cell r="K292">
            <v>1.3264859153184523E-2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FDSCACHE__"/>
      <sheetName val="P&amp;L"/>
      <sheetName val="Revenue Build"/>
      <sheetName val="Org Rev"/>
      <sheetName val="Bal Sheet"/>
      <sheetName val="MW-Cache"/>
      <sheetName val="Cash Flow"/>
      <sheetName val="Q Variance"/>
      <sheetName val="Earnings Charts"/>
      <sheetName val="Guidance"/>
      <sheetName val="BBB"/>
      <sheetName val="Debt"/>
      <sheetName val="FX"/>
      <sheetName val="DCF"/>
      <sheetName val="Quarterly Guidance"/>
      <sheetName val="Links"/>
      <sheetName val="Residual Income"/>
      <sheetName val="mwareDates"/>
      <sheetName val="MWA RR"/>
      <sheetName val="mwareSettings"/>
      <sheetName val="Page 7"/>
      <sheetName val="Page 8"/>
      <sheetName val="Data"/>
      <sheetName val="Page 3"/>
      <sheetName val="Page 4"/>
      <sheetName val="Page 5"/>
      <sheetName val="Page 6"/>
      <sheetName val="Page1"/>
      <sheetName val="ToDo"/>
      <sheetName val="IS"/>
      <sheetName val="RevBuild"/>
      <sheetName val="OrgRev"/>
      <sheetName val="BS"/>
      <sheetName val="CFS"/>
      <sheetName val="TMOLIFE"/>
      <sheetName val="Consensus"/>
      <sheetName val="EPS Charts"/>
      <sheetName val="CommTrkr"/>
      <sheetName val="LinksQ"/>
      <sheetName val="LinksA"/>
      <sheetName val="GeoRev"/>
      <sheetName val="Timeline"/>
      <sheetName val="TMO"/>
      <sheetName val="Sheet1"/>
    </sheetNames>
    <sheetDataSet>
      <sheetData sheetId="0" refreshError="1"/>
      <sheetData sheetId="1" refreshError="1">
        <row r="7">
          <cell r="I7" t="str">
            <v>2004A</v>
          </cell>
          <cell r="O7" t="str">
            <v>2005A</v>
          </cell>
          <cell r="U7" t="str">
            <v>2006A</v>
          </cell>
          <cell r="AA7" t="str">
            <v>2007A</v>
          </cell>
          <cell r="AG7" t="str">
            <v>2008A</v>
          </cell>
          <cell r="AM7" t="str">
            <v>2009A</v>
          </cell>
          <cell r="AS7" t="str">
            <v>2010A</v>
          </cell>
          <cell r="AY7" t="str">
            <v>2011A</v>
          </cell>
          <cell r="BE7" t="str">
            <v>2012E</v>
          </cell>
          <cell r="BK7" t="str">
            <v>2013E</v>
          </cell>
          <cell r="BQ7" t="str">
            <v>2014E</v>
          </cell>
          <cell r="BW7" t="str">
            <v>2015E</v>
          </cell>
        </row>
        <row r="8">
          <cell r="I8">
            <v>38080</v>
          </cell>
          <cell r="J8">
            <v>38171</v>
          </cell>
          <cell r="K8">
            <v>38262</v>
          </cell>
          <cell r="L8">
            <v>38352</v>
          </cell>
          <cell r="O8">
            <v>38444</v>
          </cell>
          <cell r="P8">
            <v>38535</v>
          </cell>
          <cell r="Q8">
            <v>38626</v>
          </cell>
          <cell r="R8">
            <v>38717</v>
          </cell>
          <cell r="U8">
            <v>38808</v>
          </cell>
          <cell r="V8">
            <v>38899</v>
          </cell>
          <cell r="W8">
            <v>38990</v>
          </cell>
          <cell r="X8">
            <v>39082</v>
          </cell>
          <cell r="AA8">
            <v>39172</v>
          </cell>
          <cell r="AB8">
            <v>39263</v>
          </cell>
          <cell r="AC8">
            <v>39354</v>
          </cell>
          <cell r="AD8">
            <v>39447</v>
          </cell>
          <cell r="AG8">
            <v>39536</v>
          </cell>
          <cell r="AH8">
            <v>39627</v>
          </cell>
          <cell r="AI8">
            <v>39718</v>
          </cell>
          <cell r="AJ8">
            <v>39813</v>
          </cell>
          <cell r="AM8">
            <v>39901</v>
          </cell>
          <cell r="AN8">
            <v>39992</v>
          </cell>
          <cell r="AO8">
            <v>40083</v>
          </cell>
          <cell r="AP8">
            <v>40178</v>
          </cell>
          <cell r="AS8">
            <v>40266</v>
          </cell>
          <cell r="AT8">
            <v>40357</v>
          </cell>
          <cell r="AU8">
            <v>40448</v>
          </cell>
          <cell r="AV8">
            <v>40543</v>
          </cell>
          <cell r="AY8">
            <v>40631</v>
          </cell>
          <cell r="AZ8">
            <v>40722</v>
          </cell>
          <cell r="BA8">
            <v>40813</v>
          </cell>
          <cell r="BB8">
            <v>40908</v>
          </cell>
          <cell r="BE8">
            <v>40997</v>
          </cell>
          <cell r="BF8">
            <v>41088</v>
          </cell>
          <cell r="BG8">
            <v>41179</v>
          </cell>
          <cell r="BH8">
            <v>41274</v>
          </cell>
          <cell r="BK8">
            <v>41362</v>
          </cell>
          <cell r="BL8">
            <v>41453</v>
          </cell>
          <cell r="BM8">
            <v>41544</v>
          </cell>
          <cell r="BN8">
            <v>41639</v>
          </cell>
          <cell r="BQ8">
            <v>41727</v>
          </cell>
          <cell r="BR8">
            <v>41818</v>
          </cell>
          <cell r="BS8">
            <v>41909</v>
          </cell>
          <cell r="BT8">
            <v>42004</v>
          </cell>
          <cell r="BW8">
            <v>42092</v>
          </cell>
          <cell r="BX8">
            <v>42183</v>
          </cell>
          <cell r="BY8">
            <v>42274</v>
          </cell>
          <cell r="BZ8">
            <v>42369</v>
          </cell>
        </row>
        <row r="9">
          <cell r="C9" t="str">
            <v>Revenue</v>
          </cell>
          <cell r="I9">
            <v>525.03200000000004</v>
          </cell>
          <cell r="J9">
            <v>525.30899999999997</v>
          </cell>
          <cell r="K9">
            <v>542.31499999999994</v>
          </cell>
          <cell r="L9">
            <v>613.33900000000006</v>
          </cell>
          <cell r="M9">
            <v>2205.9950000000003</v>
          </cell>
          <cell r="O9">
            <v>559.20799999999997</v>
          </cell>
          <cell r="P9">
            <v>653.62099999999998</v>
          </cell>
          <cell r="Q9">
            <v>679.41100000000006</v>
          </cell>
          <cell r="R9">
            <v>740.78700000000003</v>
          </cell>
          <cell r="S9">
            <v>2633.027</v>
          </cell>
          <cell r="U9">
            <v>684.28700000000003</v>
          </cell>
          <cell r="V9">
            <v>713.46799999999996</v>
          </cell>
          <cell r="W9">
            <v>724.96199999999999</v>
          </cell>
          <cell r="X9">
            <v>1668.8999999999999</v>
          </cell>
          <cell r="Y9">
            <v>3766.8</v>
          </cell>
          <cell r="AA9">
            <v>2338.2000000000003</v>
          </cell>
          <cell r="AB9">
            <v>2385.9</v>
          </cell>
          <cell r="AC9">
            <v>2401.1999999999998</v>
          </cell>
          <cell r="AD9">
            <v>2621.1</v>
          </cell>
          <cell r="AE9">
            <v>9592.5</v>
          </cell>
          <cell r="AG9">
            <v>2554</v>
          </cell>
          <cell r="AH9">
            <v>2709.6000000000004</v>
          </cell>
          <cell r="AI9">
            <v>2588.1000000000004</v>
          </cell>
          <cell r="AJ9">
            <v>2646.2999999999997</v>
          </cell>
          <cell r="AK9">
            <v>10313.200000000001</v>
          </cell>
          <cell r="AM9">
            <v>2255.1000000000004</v>
          </cell>
          <cell r="AN9">
            <v>2484.1</v>
          </cell>
          <cell r="AO9">
            <v>2531.1</v>
          </cell>
          <cell r="AP9">
            <v>2839.4</v>
          </cell>
          <cell r="AQ9">
            <v>9911.6</v>
          </cell>
          <cell r="AS9">
            <v>2626.8999999999996</v>
          </cell>
          <cell r="AT9">
            <v>2595.6999999999998</v>
          </cell>
          <cell r="AU9">
            <v>2628.7</v>
          </cell>
          <cell r="AV9">
            <v>2718.9</v>
          </cell>
          <cell r="AW9">
            <v>10570.199999999999</v>
          </cell>
          <cell r="AY9">
            <v>2682.6</v>
          </cell>
          <cell r="AZ9">
            <v>2854</v>
          </cell>
          <cell r="BA9">
            <v>2932.9</v>
          </cell>
          <cell r="BB9">
            <v>3089.3</v>
          </cell>
          <cell r="BC9">
            <v>11558.8</v>
          </cell>
          <cell r="BE9">
            <v>3056.8</v>
          </cell>
          <cell r="BF9">
            <v>3108.1</v>
          </cell>
          <cell r="BG9">
            <v>2962.2028414147771</v>
          </cell>
          <cell r="BH9">
            <v>3054.5401695015048</v>
          </cell>
          <cell r="BI9">
            <v>12181.643010916281</v>
          </cell>
          <cell r="BK9">
            <v>3147.7721003300003</v>
          </cell>
          <cell r="BL9">
            <v>3237.5855535400001</v>
          </cell>
          <cell r="BM9">
            <v>3048.3352334999154</v>
          </cell>
          <cell r="BN9">
            <v>3146.8347564726155</v>
          </cell>
          <cell r="BO9">
            <v>12580.52764384253</v>
          </cell>
          <cell r="BQ9">
            <v>3254.9437618932002</v>
          </cell>
          <cell r="BR9">
            <v>3357.2608898460999</v>
          </cell>
          <cell r="BS9">
            <v>3156.4157261293858</v>
          </cell>
          <cell r="BT9">
            <v>3271.6279401215888</v>
          </cell>
          <cell r="BU9">
            <v>13040.248317990276</v>
          </cell>
          <cell r="BW9">
            <v>3392.315677989594</v>
          </cell>
          <cell r="BX9">
            <v>3492.4774550567508</v>
          </cell>
          <cell r="BY9">
            <v>3278.3323214926254</v>
          </cell>
          <cell r="BZ9">
            <v>3414.0525106607424</v>
          </cell>
          <cell r="CA9">
            <v>13577.177965199713</v>
          </cell>
        </row>
        <row r="10">
          <cell r="C10" t="str">
            <v>COGS</v>
          </cell>
          <cell r="I10">
            <v>284.17200000000003</v>
          </cell>
          <cell r="J10">
            <v>286.42399999999998</v>
          </cell>
          <cell r="K10">
            <v>291.36</v>
          </cell>
          <cell r="L10">
            <v>329.28000000000003</v>
          </cell>
          <cell r="M10">
            <v>1188.155</v>
          </cell>
          <cell r="O10">
            <v>305.30599999999998</v>
          </cell>
          <cell r="P10">
            <v>359.84199999999998</v>
          </cell>
          <cell r="Q10">
            <v>377.173</v>
          </cell>
          <cell r="R10">
            <v>403.29299999999995</v>
          </cell>
          <cell r="S10">
            <v>1445.6139999999998</v>
          </cell>
          <cell r="U10">
            <v>371.66300000000001</v>
          </cell>
          <cell r="V10">
            <v>387.71</v>
          </cell>
          <cell r="W10">
            <v>386.09300000000002</v>
          </cell>
          <cell r="X10">
            <v>950.351</v>
          </cell>
          <cell r="Y10">
            <v>2121.9</v>
          </cell>
          <cell r="AA10">
            <v>1391.6999999999998</v>
          </cell>
          <cell r="AB10">
            <v>1407.8999999999999</v>
          </cell>
          <cell r="AC10">
            <v>1421.8999999999999</v>
          </cell>
          <cell r="AD10">
            <v>1549.6</v>
          </cell>
          <cell r="AE10">
            <v>5715.3</v>
          </cell>
          <cell r="AG10">
            <v>1503.3000000000002</v>
          </cell>
          <cell r="AH10">
            <v>1590.6</v>
          </cell>
          <cell r="AI10">
            <v>1523.2</v>
          </cell>
          <cell r="AJ10">
            <v>1548.3</v>
          </cell>
          <cell r="AK10">
            <v>6100.3000000000011</v>
          </cell>
          <cell r="AM10">
            <v>1338.4</v>
          </cell>
          <cell r="AN10">
            <v>1464.6999999999998</v>
          </cell>
          <cell r="AO10">
            <v>1488.3</v>
          </cell>
          <cell r="AP10">
            <v>1662.2</v>
          </cell>
          <cell r="AQ10">
            <v>5888.3</v>
          </cell>
          <cell r="AS10">
            <v>1522.9999999999995</v>
          </cell>
          <cell r="AT10">
            <v>1511.6999999999998</v>
          </cell>
          <cell r="AU10">
            <v>1532.4999999999998</v>
          </cell>
          <cell r="AV10">
            <v>1560.6000000000001</v>
          </cell>
          <cell r="AW10">
            <v>6127.7999999999993</v>
          </cell>
          <cell r="AY10">
            <v>1526</v>
          </cell>
          <cell r="AZ10">
            <v>1632.8</v>
          </cell>
          <cell r="BA10">
            <v>1637.3000000000002</v>
          </cell>
          <cell r="BB10">
            <v>1701.3000000000002</v>
          </cell>
          <cell r="BC10">
            <v>6497.4000000000005</v>
          </cell>
          <cell r="BE10">
            <v>1683.0000000000002</v>
          </cell>
          <cell r="BF10">
            <v>1720.4</v>
          </cell>
          <cell r="BG10">
            <v>1628.4796727412936</v>
          </cell>
          <cell r="BH10">
            <v>1657.7211869380708</v>
          </cell>
          <cell r="BI10">
            <v>6689.6008596793645</v>
          </cell>
          <cell r="BK10">
            <v>1723.6437174779262</v>
          </cell>
          <cell r="BL10">
            <v>1783.9790666847343</v>
          </cell>
          <cell r="BM10">
            <v>1672.7828718842304</v>
          </cell>
          <cell r="BN10">
            <v>1703.0898790540698</v>
          </cell>
          <cell r="BO10">
            <v>6883.4955351009603</v>
          </cell>
          <cell r="BQ10">
            <v>1769.3085470514166</v>
          </cell>
          <cell r="BR10">
            <v>1836.4936997442107</v>
          </cell>
          <cell r="BS10">
            <v>1719.4666953080291</v>
          </cell>
          <cell r="BT10">
            <v>1757.5423467745836</v>
          </cell>
          <cell r="BU10">
            <v>7082.8112888782398</v>
          </cell>
          <cell r="BW10">
            <v>1830.411328790638</v>
          </cell>
          <cell r="BX10">
            <v>1896.4901506740405</v>
          </cell>
          <cell r="BY10">
            <v>1772.76778779707</v>
          </cell>
          <cell r="BZ10">
            <v>1820.3976528716528</v>
          </cell>
          <cell r="CA10">
            <v>7320.0669201334013</v>
          </cell>
        </row>
        <row r="11">
          <cell r="C11" t="str">
            <v>Gross profit</v>
          </cell>
          <cell r="I11">
            <v>240.86</v>
          </cell>
          <cell r="J11">
            <v>238.88499999999999</v>
          </cell>
          <cell r="K11">
            <v>250.95499999999993</v>
          </cell>
          <cell r="L11">
            <v>284.05900000000003</v>
          </cell>
          <cell r="M11">
            <v>1017.8400000000004</v>
          </cell>
          <cell r="O11">
            <v>253.90199999999999</v>
          </cell>
          <cell r="P11">
            <v>293.779</v>
          </cell>
          <cell r="Q11">
            <v>302.23800000000006</v>
          </cell>
          <cell r="R11">
            <v>337.49400000000009</v>
          </cell>
          <cell r="S11">
            <v>1187.4130000000002</v>
          </cell>
          <cell r="U11">
            <v>312.62400000000002</v>
          </cell>
          <cell r="V11">
            <v>325.75799999999998</v>
          </cell>
          <cell r="W11">
            <v>338.86899999999997</v>
          </cell>
          <cell r="X11">
            <v>718.54899999999986</v>
          </cell>
          <cell r="Y11">
            <v>1644.9</v>
          </cell>
          <cell r="AA11">
            <v>946.50000000000045</v>
          </cell>
          <cell r="AB11">
            <v>978.00000000000023</v>
          </cell>
          <cell r="AC11">
            <v>979.3</v>
          </cell>
          <cell r="AD11">
            <v>1071.5</v>
          </cell>
          <cell r="AE11">
            <v>3877.2</v>
          </cell>
          <cell r="AG11">
            <v>1050.6999999999998</v>
          </cell>
          <cell r="AH11">
            <v>1119.0000000000005</v>
          </cell>
          <cell r="AI11">
            <v>1064.9000000000003</v>
          </cell>
          <cell r="AJ11">
            <v>1097.9999999999998</v>
          </cell>
          <cell r="AK11">
            <v>4212.8999999999996</v>
          </cell>
          <cell r="AM11">
            <v>916.70000000000027</v>
          </cell>
          <cell r="AN11">
            <v>1019.4000000000001</v>
          </cell>
          <cell r="AO11">
            <v>1042.8</v>
          </cell>
          <cell r="AP11">
            <v>1177.2</v>
          </cell>
          <cell r="AQ11">
            <v>4023.3</v>
          </cell>
          <cell r="AS11">
            <v>1103.9000000000001</v>
          </cell>
          <cell r="AT11">
            <v>1084</v>
          </cell>
          <cell r="AU11">
            <v>1096.2</v>
          </cell>
          <cell r="AV11">
            <v>1158.3</v>
          </cell>
          <cell r="AW11">
            <v>4442.3999999999996</v>
          </cell>
          <cell r="AY11">
            <v>1156.5999999999999</v>
          </cell>
          <cell r="AZ11">
            <v>1221.2</v>
          </cell>
          <cell r="BA11">
            <v>1295.5999999999999</v>
          </cell>
          <cell r="BB11">
            <v>1388</v>
          </cell>
          <cell r="BC11">
            <v>5061.3999999999987</v>
          </cell>
          <cell r="BE11">
            <v>1373.8</v>
          </cell>
          <cell r="BF11">
            <v>1387.7</v>
          </cell>
          <cell r="BG11">
            <v>1333.7231686734835</v>
          </cell>
          <cell r="BH11">
            <v>1396.818982563434</v>
          </cell>
          <cell r="BI11">
            <v>5492.0421512369167</v>
          </cell>
          <cell r="BK11">
            <v>1424.1283828520741</v>
          </cell>
          <cell r="BL11">
            <v>1453.6064868552658</v>
          </cell>
          <cell r="BM11">
            <v>1375.552361615685</v>
          </cell>
          <cell r="BN11">
            <v>1443.7448774185457</v>
          </cell>
          <cell r="BO11">
            <v>5697.0321087415696</v>
          </cell>
          <cell r="BQ11">
            <v>1485.6352148417836</v>
          </cell>
          <cell r="BR11">
            <v>1520.7671901018891</v>
          </cell>
          <cell r="BS11">
            <v>1436.9490308213567</v>
          </cell>
          <cell r="BT11">
            <v>1514.0855933470052</v>
          </cell>
          <cell r="BU11">
            <v>5957.4370291120358</v>
          </cell>
          <cell r="BW11">
            <v>1561.904349198956</v>
          </cell>
          <cell r="BX11">
            <v>1595.9873043827104</v>
          </cell>
          <cell r="BY11">
            <v>1505.5645336955554</v>
          </cell>
          <cell r="BZ11">
            <v>1593.6548577890896</v>
          </cell>
          <cell r="CA11">
            <v>6257.1110450663118</v>
          </cell>
        </row>
        <row r="12">
          <cell r="C12" t="str">
            <v>SG&amp;A</v>
          </cell>
          <cell r="I12">
            <v>146.75299999999999</v>
          </cell>
          <cell r="J12">
            <v>140.864</v>
          </cell>
          <cell r="K12">
            <v>147.346</v>
          </cell>
          <cell r="L12">
            <v>168.66399999999999</v>
          </cell>
          <cell r="M12">
            <v>603.62699999999995</v>
          </cell>
          <cell r="O12">
            <v>156.08699999999999</v>
          </cell>
          <cell r="P12">
            <v>173.48400000000001</v>
          </cell>
          <cell r="Q12">
            <v>168.75399999999999</v>
          </cell>
          <cell r="R12">
            <v>185.821</v>
          </cell>
          <cell r="S12">
            <v>684.14600000000007</v>
          </cell>
          <cell r="U12">
            <v>176.887</v>
          </cell>
          <cell r="V12">
            <v>181.26400000000001</v>
          </cell>
          <cell r="W12">
            <v>191.53299999999999</v>
          </cell>
          <cell r="X12">
            <v>403.06299999999999</v>
          </cell>
          <cell r="Y12">
            <v>913.8</v>
          </cell>
          <cell r="AA12">
            <v>511.2</v>
          </cell>
          <cell r="AB12">
            <v>514.70000000000005</v>
          </cell>
          <cell r="AC12">
            <v>515.79999999999995</v>
          </cell>
          <cell r="AD12">
            <v>558</v>
          </cell>
          <cell r="AE12">
            <v>2041.6</v>
          </cell>
          <cell r="AG12">
            <v>541.6</v>
          </cell>
          <cell r="AH12">
            <v>578</v>
          </cell>
          <cell r="AI12">
            <v>548.70000000000005</v>
          </cell>
          <cell r="AJ12">
            <v>545.4</v>
          </cell>
          <cell r="AK12">
            <v>2148.8000000000002</v>
          </cell>
          <cell r="AM12">
            <v>509.5</v>
          </cell>
          <cell r="AN12">
            <v>542.70000000000005</v>
          </cell>
          <cell r="AO12">
            <v>544.79999999999995</v>
          </cell>
          <cell r="AP12">
            <v>598.1</v>
          </cell>
          <cell r="AQ12">
            <v>2130.1</v>
          </cell>
          <cell r="AS12">
            <v>582.9</v>
          </cell>
          <cell r="AT12">
            <v>567</v>
          </cell>
          <cell r="AU12">
            <v>573.6</v>
          </cell>
          <cell r="AV12">
            <v>594</v>
          </cell>
          <cell r="AW12">
            <v>2317.5</v>
          </cell>
          <cell r="AY12">
            <v>603.6</v>
          </cell>
          <cell r="AZ12">
            <v>627.6</v>
          </cell>
          <cell r="BA12">
            <v>662</v>
          </cell>
          <cell r="BB12">
            <v>699.80000000000007</v>
          </cell>
          <cell r="BC12">
            <v>2593</v>
          </cell>
          <cell r="BE12">
            <v>709</v>
          </cell>
          <cell r="BF12">
            <v>703.4</v>
          </cell>
          <cell r="BG12">
            <v>671.57629845210124</v>
          </cell>
          <cell r="BH12">
            <v>694.98061100015991</v>
          </cell>
          <cell r="BI12">
            <v>2778.9569094522612</v>
          </cell>
          <cell r="BK12">
            <v>730.10024179991171</v>
          </cell>
          <cell r="BL12">
            <v>732.70412096137068</v>
          </cell>
          <cell r="BM12">
            <v>691.10381771737048</v>
          </cell>
          <cell r="BN12">
            <v>715.97982688398895</v>
          </cell>
          <cell r="BO12">
            <v>2869.8880073626419</v>
          </cell>
          <cell r="BQ12">
            <v>752.51663279042214</v>
          </cell>
          <cell r="BR12">
            <v>757.27012740547241</v>
          </cell>
          <cell r="BS12">
            <v>713.23999236879695</v>
          </cell>
          <cell r="BT12">
            <v>741.91952628295803</v>
          </cell>
          <cell r="BU12">
            <v>2964.9462788476494</v>
          </cell>
          <cell r="BW12">
            <v>781.73167032449101</v>
          </cell>
          <cell r="BX12">
            <v>785.15047396152818</v>
          </cell>
          <cell r="BY12">
            <v>738.33014640637771</v>
          </cell>
          <cell r="BZ12">
            <v>771.65714911138298</v>
          </cell>
          <cell r="CA12">
            <v>3076.8694398037796</v>
          </cell>
        </row>
        <row r="13">
          <cell r="C13" t="str">
            <v>R&amp;D</v>
          </cell>
          <cell r="I13">
            <v>34.268999999999998</v>
          </cell>
          <cell r="J13">
            <v>32.591999999999999</v>
          </cell>
          <cell r="K13">
            <v>32.874000000000002</v>
          </cell>
          <cell r="L13">
            <v>34.945</v>
          </cell>
          <cell r="M13">
            <v>134.67999999999998</v>
          </cell>
          <cell r="O13">
            <v>36.328000000000003</v>
          </cell>
          <cell r="P13">
            <v>39.432000000000002</v>
          </cell>
          <cell r="Q13">
            <v>38.783999999999999</v>
          </cell>
          <cell r="R13">
            <v>38.231000000000002</v>
          </cell>
          <cell r="S13">
            <v>152.77500000000001</v>
          </cell>
          <cell r="U13">
            <v>38.737000000000002</v>
          </cell>
          <cell r="V13">
            <v>40.619999999999997</v>
          </cell>
          <cell r="W13">
            <v>38.658000000000001</v>
          </cell>
          <cell r="X13">
            <v>52.168999999999997</v>
          </cell>
          <cell r="Y13">
            <v>167.9</v>
          </cell>
          <cell r="AA13">
            <v>59.8</v>
          </cell>
          <cell r="AB13">
            <v>58.7</v>
          </cell>
          <cell r="AC13">
            <v>58.8</v>
          </cell>
          <cell r="AD13">
            <v>61.4</v>
          </cell>
          <cell r="AE13">
            <v>237</v>
          </cell>
          <cell r="AG13">
            <v>62</v>
          </cell>
          <cell r="AH13">
            <v>64.400000000000006</v>
          </cell>
          <cell r="AI13">
            <v>61.8</v>
          </cell>
          <cell r="AJ13">
            <v>60.9</v>
          </cell>
          <cell r="AK13">
            <v>247.2</v>
          </cell>
          <cell r="AM13">
            <v>58.2</v>
          </cell>
          <cell r="AN13">
            <v>58.1</v>
          </cell>
          <cell r="AO13">
            <v>60.5</v>
          </cell>
          <cell r="AP13">
            <v>69.3</v>
          </cell>
          <cell r="AQ13">
            <v>243.8</v>
          </cell>
          <cell r="AS13">
            <v>66.099999999999994</v>
          </cell>
          <cell r="AT13">
            <v>69.599999999999994</v>
          </cell>
          <cell r="AU13">
            <v>71.5</v>
          </cell>
          <cell r="AV13">
            <v>77.599999999999994</v>
          </cell>
          <cell r="AW13">
            <v>284.79999999999995</v>
          </cell>
          <cell r="AY13">
            <v>74.8</v>
          </cell>
          <cell r="AZ13">
            <v>83.3</v>
          </cell>
          <cell r="BA13">
            <v>86.8</v>
          </cell>
          <cell r="BB13">
            <v>95.7</v>
          </cell>
          <cell r="BC13">
            <v>340.59999999999997</v>
          </cell>
          <cell r="BE13">
            <v>91.8</v>
          </cell>
          <cell r="BF13">
            <v>94.2</v>
          </cell>
          <cell r="BG13">
            <v>87.667225829316592</v>
          </cell>
          <cell r="BH13">
            <v>94.623213744632764</v>
          </cell>
          <cell r="BI13">
            <v>368.29043957394936</v>
          </cell>
          <cell r="BK13">
            <v>94.532020024304501</v>
          </cell>
          <cell r="BL13">
            <v>98.12443587512243</v>
          </cell>
          <cell r="BM13">
            <v>90.216338186706892</v>
          </cell>
          <cell r="BN13">
            <v>97.482305439558885</v>
          </cell>
          <cell r="BO13">
            <v>380.35509952569271</v>
          </cell>
          <cell r="BQ13">
            <v>95.309327817743849</v>
          </cell>
          <cell r="BR13">
            <v>99.233598949423964</v>
          </cell>
          <cell r="BS13">
            <v>91.047698955183279</v>
          </cell>
          <cell r="BT13">
            <v>98.894414178963785</v>
          </cell>
          <cell r="BU13">
            <v>384.48503990131485</v>
          </cell>
          <cell r="BW13">
            <v>96.787533823844157</v>
          </cell>
          <cell r="BX13">
            <v>100.61095926747952</v>
          </cell>
          <cell r="BY13">
            <v>92.105668180640762</v>
          </cell>
          <cell r="BZ13">
            <v>100.63906925143452</v>
          </cell>
          <cell r="CA13">
            <v>390.14323052339898</v>
          </cell>
        </row>
        <row r="14">
          <cell r="C14" t="str">
            <v>One-time items, total</v>
          </cell>
          <cell r="I14">
            <v>6.9640000000000004</v>
          </cell>
          <cell r="J14">
            <v>6.4589999999999996</v>
          </cell>
          <cell r="K14">
            <v>11.114000000000001</v>
          </cell>
          <cell r="L14">
            <v>14.402999999999999</v>
          </cell>
          <cell r="M14">
            <v>32.420999999999992</v>
          </cell>
          <cell r="O14">
            <v>1.8109999999999999</v>
          </cell>
          <cell r="P14">
            <v>27.649000000000001</v>
          </cell>
          <cell r="Q14">
            <v>32.590000000000003</v>
          </cell>
          <cell r="R14">
            <v>24.954999999999998</v>
          </cell>
          <cell r="S14">
            <v>87.004999999999995</v>
          </cell>
          <cell r="U14">
            <v>29.155000000000001</v>
          </cell>
          <cell r="V14">
            <v>31.701000000000001</v>
          </cell>
          <cell r="W14">
            <v>33.567</v>
          </cell>
          <cell r="X14">
            <v>236.48699999999999</v>
          </cell>
          <cell r="Y14">
            <v>331.8</v>
          </cell>
          <cell r="AA14">
            <v>183.10000000000002</v>
          </cell>
          <cell r="AB14">
            <v>161.69999999999999</v>
          </cell>
          <cell r="AC14">
            <v>151.20000000000002</v>
          </cell>
          <cell r="AD14">
            <v>172.49999999999997</v>
          </cell>
          <cell r="AE14">
            <v>658.69999999999993</v>
          </cell>
          <cell r="AG14">
            <v>147.6</v>
          </cell>
          <cell r="AH14">
            <v>147.09999999999997</v>
          </cell>
          <cell r="AI14">
            <v>168.1</v>
          </cell>
          <cell r="AJ14">
            <v>173.7</v>
          </cell>
          <cell r="AK14">
            <v>619.4</v>
          </cell>
          <cell r="AM14">
            <v>160</v>
          </cell>
          <cell r="AN14">
            <v>160.5</v>
          </cell>
          <cell r="AO14">
            <v>164.6</v>
          </cell>
          <cell r="AP14">
            <v>185.50000000000003</v>
          </cell>
          <cell r="AQ14">
            <v>667.69999999999993</v>
          </cell>
          <cell r="AS14">
            <v>172.59999999999997</v>
          </cell>
          <cell r="AT14">
            <v>165.60000000000002</v>
          </cell>
          <cell r="AU14">
            <v>149.9</v>
          </cell>
          <cell r="AV14">
            <v>174.3</v>
          </cell>
          <cell r="AW14">
            <v>662.40000000000009</v>
          </cell>
          <cell r="AY14">
            <v>157.50000000000003</v>
          </cell>
          <cell r="AZ14">
            <v>223.4</v>
          </cell>
          <cell r="BA14">
            <v>237.4</v>
          </cell>
          <cell r="BB14">
            <v>232.5</v>
          </cell>
          <cell r="BC14">
            <v>850.80000000000007</v>
          </cell>
          <cell r="BE14">
            <v>219.3</v>
          </cell>
          <cell r="BF14">
            <v>224.3</v>
          </cell>
          <cell r="BG14">
            <v>209.50000000000003</v>
          </cell>
          <cell r="BH14">
            <v>209.50000000000003</v>
          </cell>
          <cell r="BI14">
            <v>862.6</v>
          </cell>
          <cell r="BK14">
            <v>186.82499999999999</v>
          </cell>
          <cell r="BL14">
            <v>186.82499999999999</v>
          </cell>
          <cell r="BM14">
            <v>186.82499999999999</v>
          </cell>
          <cell r="BN14">
            <v>186.82499999999999</v>
          </cell>
          <cell r="BO14">
            <v>747.3</v>
          </cell>
          <cell r="BQ14">
            <v>177.7</v>
          </cell>
          <cell r="BR14">
            <v>177.7</v>
          </cell>
          <cell r="BS14">
            <v>177.7</v>
          </cell>
          <cell r="BT14">
            <v>177.7</v>
          </cell>
          <cell r="BU14">
            <v>710.8</v>
          </cell>
          <cell r="BW14">
            <v>172.82499999999999</v>
          </cell>
          <cell r="BX14">
            <v>172.82499999999999</v>
          </cell>
          <cell r="BY14">
            <v>172.82499999999999</v>
          </cell>
          <cell r="BZ14">
            <v>172.82499999999999</v>
          </cell>
          <cell r="CA14">
            <v>691.3</v>
          </cell>
        </row>
        <row r="15">
          <cell r="C15" t="str">
            <v>Cost of Revenues Charges</v>
          </cell>
          <cell r="I15">
            <v>3.1579999999999999</v>
          </cell>
          <cell r="J15">
            <v>0.81499999999999995</v>
          </cell>
          <cell r="K15">
            <v>5.0350000000000001</v>
          </cell>
          <cell r="L15">
            <v>6.8209999999999997</v>
          </cell>
          <cell r="M15">
            <v>15.828999999999999</v>
          </cell>
          <cell r="O15">
            <v>-0.27100000000000002</v>
          </cell>
          <cell r="P15">
            <v>2.2160000000000002</v>
          </cell>
          <cell r="Q15">
            <v>10.481999999999999</v>
          </cell>
          <cell r="R15">
            <v>4.4729999999999999</v>
          </cell>
          <cell r="S15">
            <v>16.899999999999999</v>
          </cell>
          <cell r="U15">
            <v>3.5939999999999999</v>
          </cell>
          <cell r="V15">
            <v>4.78</v>
          </cell>
          <cell r="W15">
            <v>5.1779999999999999</v>
          </cell>
          <cell r="X15">
            <v>32.159999999999997</v>
          </cell>
          <cell r="Y15">
            <v>77.7</v>
          </cell>
          <cell r="AA15">
            <v>7.4</v>
          </cell>
          <cell r="AB15">
            <v>8.3000000000000007</v>
          </cell>
          <cell r="AC15">
            <v>8.8000000000000007</v>
          </cell>
          <cell r="AD15">
            <v>17.7</v>
          </cell>
          <cell r="AE15">
            <v>49.2</v>
          </cell>
          <cell r="AG15">
            <v>4.9000000000000004</v>
          </cell>
          <cell r="AH15">
            <v>-5.4</v>
          </cell>
          <cell r="AI15">
            <v>15.4</v>
          </cell>
          <cell r="AJ15">
            <v>20.5</v>
          </cell>
          <cell r="AK15">
            <v>1.5</v>
          </cell>
          <cell r="AM15">
            <v>13.6</v>
          </cell>
          <cell r="AN15">
            <v>10.3</v>
          </cell>
          <cell r="AO15">
            <v>13.1</v>
          </cell>
          <cell r="AP15">
            <v>23.8</v>
          </cell>
          <cell r="AQ15">
            <v>6.7</v>
          </cell>
          <cell r="AS15">
            <v>5.0999999999999996</v>
          </cell>
          <cell r="AT15">
            <v>3.7</v>
          </cell>
          <cell r="AU15">
            <v>2.5</v>
          </cell>
          <cell r="AV15">
            <v>4.7</v>
          </cell>
          <cell r="AW15">
            <v>16</v>
          </cell>
          <cell r="AY15">
            <v>2.9</v>
          </cell>
          <cell r="AZ15">
            <v>15.4</v>
          </cell>
          <cell r="BA15">
            <v>24.3</v>
          </cell>
          <cell r="BB15">
            <v>30.2</v>
          </cell>
          <cell r="BC15">
            <v>72.8</v>
          </cell>
          <cell r="BE15">
            <v>26.8</v>
          </cell>
          <cell r="BF15">
            <v>12.8</v>
          </cell>
          <cell r="BG15">
            <v>12.8</v>
          </cell>
          <cell r="BH15">
            <v>12.8</v>
          </cell>
          <cell r="BI15">
            <v>65.2</v>
          </cell>
          <cell r="BK15">
            <v>6.25</v>
          </cell>
          <cell r="BL15">
            <v>6.25</v>
          </cell>
          <cell r="BM15">
            <v>6.25</v>
          </cell>
          <cell r="BN15">
            <v>6.25</v>
          </cell>
          <cell r="BO15">
            <v>25</v>
          </cell>
          <cell r="BQ15">
            <v>6.25</v>
          </cell>
          <cell r="BR15">
            <v>6.25</v>
          </cell>
          <cell r="BS15">
            <v>6.25</v>
          </cell>
          <cell r="BT15">
            <v>6.25</v>
          </cell>
          <cell r="BU15">
            <v>25</v>
          </cell>
          <cell r="BW15">
            <v>6.25</v>
          </cell>
          <cell r="BX15">
            <v>6.25</v>
          </cell>
          <cell r="BY15">
            <v>6.25</v>
          </cell>
          <cell r="BZ15">
            <v>6.25</v>
          </cell>
          <cell r="CA15">
            <v>25</v>
          </cell>
        </row>
        <row r="16">
          <cell r="C16" t="str">
            <v>SG&amp;A Costs</v>
          </cell>
          <cell r="I16">
            <v>3.806</v>
          </cell>
          <cell r="J16">
            <v>5.6440000000000001</v>
          </cell>
          <cell r="K16">
            <v>6.0789999999999997</v>
          </cell>
          <cell r="L16">
            <v>7.3019999999999996</v>
          </cell>
          <cell r="M16">
            <v>22.831</v>
          </cell>
          <cell r="O16">
            <v>7.4139999999999997</v>
          </cell>
          <cell r="P16">
            <v>19.109000000000002</v>
          </cell>
          <cell r="Q16">
            <v>25.568999999999999</v>
          </cell>
          <cell r="R16">
            <v>25.547999999999998</v>
          </cell>
          <cell r="S16">
            <v>77.64</v>
          </cell>
          <cell r="U16">
            <v>25.561</v>
          </cell>
          <cell r="V16">
            <v>25.655000000000001</v>
          </cell>
          <cell r="W16">
            <v>26.405000000000001</v>
          </cell>
          <cell r="X16">
            <v>93.204999999999998</v>
          </cell>
          <cell r="Y16">
            <v>0</v>
          </cell>
          <cell r="AA16">
            <v>139.30000000000001</v>
          </cell>
          <cell r="AB16">
            <v>142.1</v>
          </cell>
          <cell r="AC16">
            <v>141.5</v>
          </cell>
          <cell r="AD16">
            <v>148.19999999999999</v>
          </cell>
          <cell r="AE16">
            <v>0</v>
          </cell>
          <cell r="AG16">
            <v>151.19999999999999</v>
          </cell>
          <cell r="AH16">
            <v>151.6</v>
          </cell>
          <cell r="AI16">
            <v>152</v>
          </cell>
          <cell r="AJ16">
            <v>148</v>
          </cell>
          <cell r="AK16">
            <v>0</v>
          </cell>
          <cell r="AM16">
            <v>145.30000000000001</v>
          </cell>
          <cell r="AN16">
            <v>147.1</v>
          </cell>
          <cell r="AO16">
            <v>148.19999999999999</v>
          </cell>
          <cell r="AP16">
            <v>156.4</v>
          </cell>
          <cell r="AQ16">
            <v>1.5</v>
          </cell>
          <cell r="AS16">
            <v>1.1000000000000001</v>
          </cell>
          <cell r="AT16">
            <v>-0.2</v>
          </cell>
          <cell r="AU16">
            <v>0.5</v>
          </cell>
          <cell r="AV16">
            <v>1.6</v>
          </cell>
          <cell r="AW16">
            <v>3</v>
          </cell>
          <cell r="AY16">
            <v>3.1</v>
          </cell>
          <cell r="AZ16">
            <v>38</v>
          </cell>
          <cell r="BA16">
            <v>20.6</v>
          </cell>
          <cell r="BB16">
            <v>-0.2</v>
          </cell>
          <cell r="BC16">
            <v>61.5</v>
          </cell>
          <cell r="BE16">
            <v>-7.7</v>
          </cell>
          <cell r="BF16">
            <v>1.8</v>
          </cell>
          <cell r="BG16">
            <v>1.8</v>
          </cell>
          <cell r="BH16">
            <v>1.8</v>
          </cell>
          <cell r="BI16">
            <v>-2.3000000000000007</v>
          </cell>
          <cell r="BK16">
            <v>0</v>
          </cell>
          <cell r="BL16">
            <v>0</v>
          </cell>
          <cell r="BM16">
            <v>0</v>
          </cell>
          <cell r="BN16">
            <v>0</v>
          </cell>
          <cell r="BO16">
            <v>0</v>
          </cell>
          <cell r="BQ16">
            <v>0</v>
          </cell>
          <cell r="BR16">
            <v>0</v>
          </cell>
          <cell r="BS16">
            <v>0</v>
          </cell>
          <cell r="BT16">
            <v>0</v>
          </cell>
          <cell r="BU16">
            <v>0</v>
          </cell>
          <cell r="BW16">
            <v>0</v>
          </cell>
          <cell r="BX16">
            <v>0</v>
          </cell>
          <cell r="BY16">
            <v>0</v>
          </cell>
          <cell r="BZ16">
            <v>0</v>
          </cell>
          <cell r="CA16">
            <v>0</v>
          </cell>
        </row>
        <row r="17">
          <cell r="C17" t="str">
            <v>Restructuring &amp; other costs</v>
          </cell>
          <cell r="L17">
            <v>0.28000000000000003</v>
          </cell>
          <cell r="M17">
            <v>3.3610000000000002</v>
          </cell>
          <cell r="O17">
            <v>-5.3319999999999999</v>
          </cell>
          <cell r="P17">
            <v>6.3239999999999998</v>
          </cell>
          <cell r="Q17">
            <v>-3.4609999999999994</v>
          </cell>
          <cell r="R17">
            <v>-5.0659999999999998</v>
          </cell>
          <cell r="S17">
            <v>-7.5349999999999993</v>
          </cell>
          <cell r="U17">
            <v>0</v>
          </cell>
          <cell r="V17">
            <v>1.266</v>
          </cell>
          <cell r="W17">
            <v>1.984</v>
          </cell>
          <cell r="X17">
            <v>111.122</v>
          </cell>
          <cell r="Y17">
            <v>45.7</v>
          </cell>
          <cell r="AA17">
            <v>36.4</v>
          </cell>
          <cell r="AB17">
            <v>11.2</v>
          </cell>
          <cell r="AC17">
            <v>0.4</v>
          </cell>
          <cell r="AD17">
            <v>1.2</v>
          </cell>
          <cell r="AE17">
            <v>42.2</v>
          </cell>
          <cell r="AG17">
            <v>0.6</v>
          </cell>
          <cell r="AH17">
            <v>0.2</v>
          </cell>
          <cell r="AI17">
            <v>0.7</v>
          </cell>
          <cell r="AJ17">
            <v>0.7</v>
          </cell>
          <cell r="AK17">
            <v>35.4</v>
          </cell>
          <cell r="AM17">
            <v>0</v>
          </cell>
          <cell r="AN17">
            <v>0.9</v>
          </cell>
          <cell r="AO17">
            <v>1</v>
          </cell>
          <cell r="AP17">
            <v>4.8</v>
          </cell>
          <cell r="AQ17">
            <v>59.2</v>
          </cell>
          <cell r="AS17">
            <v>17.399999999999999</v>
          </cell>
          <cell r="AT17">
            <v>8.1999999999999993</v>
          </cell>
          <cell r="AU17">
            <v>10.3</v>
          </cell>
          <cell r="AV17">
            <v>24.5</v>
          </cell>
          <cell r="AW17">
            <v>60.4</v>
          </cell>
          <cell r="AY17">
            <v>15.3</v>
          </cell>
          <cell r="AZ17">
            <v>39.9</v>
          </cell>
          <cell r="BA17">
            <v>12.3</v>
          </cell>
          <cell r="BB17">
            <v>32.9</v>
          </cell>
          <cell r="BC17">
            <v>100.4</v>
          </cell>
          <cell r="BE17">
            <v>15.1</v>
          </cell>
          <cell r="BF17">
            <v>24.3</v>
          </cell>
          <cell r="BG17">
            <v>12.8</v>
          </cell>
          <cell r="BH17">
            <v>12.8</v>
          </cell>
          <cell r="BI17">
            <v>65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Q17">
            <v>0</v>
          </cell>
          <cell r="BR17">
            <v>0</v>
          </cell>
          <cell r="BS17">
            <v>0</v>
          </cell>
          <cell r="BT17">
            <v>0</v>
          </cell>
          <cell r="BU17">
            <v>0</v>
          </cell>
          <cell r="BW17">
            <v>0</v>
          </cell>
          <cell r="BX17">
            <v>0</v>
          </cell>
          <cell r="BY17">
            <v>0</v>
          </cell>
          <cell r="BZ17">
            <v>0</v>
          </cell>
          <cell r="CA17">
            <v>0</v>
          </cell>
        </row>
        <row r="18">
          <cell r="C18" t="str">
            <v>Stock-based Compensation Acceleration Charges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-9.6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36.700000000000003</v>
          </cell>
          <cell r="AA18">
            <v>0</v>
          </cell>
          <cell r="AB18">
            <v>0.1</v>
          </cell>
          <cell r="AC18">
            <v>0.5</v>
          </cell>
          <cell r="AD18">
            <v>5.4</v>
          </cell>
          <cell r="AE18">
            <v>0</v>
          </cell>
          <cell r="AG18">
            <v>-9.1000000000000014</v>
          </cell>
          <cell r="AH18">
            <v>0.7</v>
          </cell>
          <cell r="AI18">
            <v>0</v>
          </cell>
          <cell r="AJ18">
            <v>4.5</v>
          </cell>
          <cell r="AK18">
            <v>0</v>
          </cell>
          <cell r="AM18">
            <v>1.1000000000000001</v>
          </cell>
          <cell r="AN18">
            <v>2.2000000000000002</v>
          </cell>
          <cell r="AO18">
            <v>2.2999999999999998</v>
          </cell>
          <cell r="AP18">
            <v>0.5</v>
          </cell>
          <cell r="AQ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Q18">
            <v>0</v>
          </cell>
          <cell r="BR18">
            <v>0</v>
          </cell>
          <cell r="BS18">
            <v>0</v>
          </cell>
          <cell r="BT18">
            <v>0</v>
          </cell>
          <cell r="BU18">
            <v>0</v>
          </cell>
          <cell r="BW18">
            <v>0</v>
          </cell>
          <cell r="BX18">
            <v>0</v>
          </cell>
          <cell r="BY18">
            <v>0</v>
          </cell>
          <cell r="BZ18">
            <v>0</v>
          </cell>
          <cell r="CA18">
            <v>0</v>
          </cell>
        </row>
        <row r="19">
          <cell r="C19" t="str">
            <v>Amortization of Acquisition-related Intangible Assets</v>
          </cell>
          <cell r="Y19">
            <v>170.8</v>
          </cell>
          <cell r="AE19">
            <v>561.29999999999995</v>
          </cell>
          <cell r="AK19">
            <v>585.70000000000005</v>
          </cell>
          <cell r="AQ19">
            <v>579.9</v>
          </cell>
          <cell r="AS19">
            <v>146.69999999999999</v>
          </cell>
          <cell r="AT19">
            <v>137.80000000000001</v>
          </cell>
          <cell r="AU19">
            <v>135.1</v>
          </cell>
          <cell r="AV19">
            <v>135.1</v>
          </cell>
          <cell r="AW19">
            <v>554.70000000000005</v>
          </cell>
          <cell r="AY19">
            <v>135.4</v>
          </cell>
          <cell r="AZ19">
            <v>151.19999999999999</v>
          </cell>
          <cell r="BA19">
            <v>174.6</v>
          </cell>
          <cell r="BB19">
            <v>186.7</v>
          </cell>
          <cell r="BC19">
            <v>647.90000000000009</v>
          </cell>
          <cell r="BE19">
            <v>183.9</v>
          </cell>
          <cell r="BF19">
            <v>183.4</v>
          </cell>
          <cell r="BG19">
            <v>182.10000000000002</v>
          </cell>
          <cell r="BH19">
            <v>182.10000000000002</v>
          </cell>
          <cell r="BI19">
            <v>731.50000000000011</v>
          </cell>
          <cell r="BK19">
            <v>180.57499999999999</v>
          </cell>
          <cell r="BL19">
            <v>180.57499999999999</v>
          </cell>
          <cell r="BM19">
            <v>180.57499999999999</v>
          </cell>
          <cell r="BN19">
            <v>180.57499999999999</v>
          </cell>
          <cell r="BO19">
            <v>722.3</v>
          </cell>
          <cell r="BQ19">
            <v>171.45</v>
          </cell>
          <cell r="BR19">
            <v>171.45</v>
          </cell>
          <cell r="BS19">
            <v>171.45</v>
          </cell>
          <cell r="BT19">
            <v>171.45</v>
          </cell>
          <cell r="BU19">
            <v>685.8</v>
          </cell>
          <cell r="BW19">
            <v>166.57499999999999</v>
          </cell>
          <cell r="BX19">
            <v>166.57499999999999</v>
          </cell>
          <cell r="BY19">
            <v>166.57499999999999</v>
          </cell>
          <cell r="BZ19">
            <v>166.57499999999999</v>
          </cell>
          <cell r="CA19">
            <v>666.3</v>
          </cell>
        </row>
        <row r="20">
          <cell r="C20" t="str">
            <v>Gain/loss on extinguishment of debt fac.</v>
          </cell>
          <cell r="Y20">
            <v>0.9</v>
          </cell>
          <cell r="AE20">
            <v>0</v>
          </cell>
          <cell r="AK20">
            <v>0</v>
          </cell>
          <cell r="AQ20">
            <v>15.1</v>
          </cell>
          <cell r="AS20">
            <v>0.7</v>
          </cell>
          <cell r="AT20">
            <v>15.3</v>
          </cell>
          <cell r="AU20">
            <v>0.8</v>
          </cell>
          <cell r="AV20">
            <v>0</v>
          </cell>
          <cell r="AW20">
            <v>16.8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E20">
            <v>0</v>
          </cell>
          <cell r="BF20">
            <v>0</v>
          </cell>
          <cell r="BI20">
            <v>0</v>
          </cell>
          <cell r="BO20">
            <v>0</v>
          </cell>
          <cell r="BU20">
            <v>0</v>
          </cell>
          <cell r="CA20">
            <v>0</v>
          </cell>
        </row>
        <row r="21">
          <cell r="C21" t="str">
            <v>Other Income</v>
          </cell>
          <cell r="Y21">
            <v>0</v>
          </cell>
          <cell r="AE21">
            <v>6</v>
          </cell>
          <cell r="AK21">
            <v>-3.2</v>
          </cell>
          <cell r="AQ21">
            <v>5.3</v>
          </cell>
          <cell r="AS21">
            <v>1.6</v>
          </cell>
          <cell r="AT21">
            <v>0.8</v>
          </cell>
          <cell r="AU21">
            <v>0.7</v>
          </cell>
          <cell r="AV21">
            <v>8.4</v>
          </cell>
          <cell r="AW21">
            <v>11.5</v>
          </cell>
          <cell r="AY21">
            <v>0.8</v>
          </cell>
          <cell r="AZ21">
            <v>-21.1</v>
          </cell>
          <cell r="BA21">
            <v>5.6</v>
          </cell>
          <cell r="BB21">
            <v>-17.100000000000001</v>
          </cell>
          <cell r="BC21">
            <v>-31.800000000000004</v>
          </cell>
          <cell r="BE21">
            <v>1.2</v>
          </cell>
          <cell r="BF21">
            <v>2</v>
          </cell>
          <cell r="BI21">
            <v>3.2</v>
          </cell>
          <cell r="BO21">
            <v>0</v>
          </cell>
          <cell r="BU21">
            <v>0</v>
          </cell>
          <cell r="CA21">
            <v>0</v>
          </cell>
        </row>
        <row r="22">
          <cell r="C22" t="str">
            <v>Total operating expenses</v>
          </cell>
          <cell r="I22">
            <v>465.19400000000002</v>
          </cell>
          <cell r="J22">
            <v>459.88</v>
          </cell>
          <cell r="K22">
            <v>471.58000000000004</v>
          </cell>
          <cell r="L22">
            <v>532.88900000000001</v>
          </cell>
          <cell r="M22">
            <v>1926.462</v>
          </cell>
          <cell r="O22">
            <v>497.721</v>
          </cell>
          <cell r="P22">
            <v>572.75800000000004</v>
          </cell>
          <cell r="Q22">
            <v>584.71100000000001</v>
          </cell>
          <cell r="R22">
            <v>627.34499999999991</v>
          </cell>
          <cell r="S22">
            <v>2282.5349999999999</v>
          </cell>
          <cell r="U22">
            <v>587.28699999999992</v>
          </cell>
          <cell r="V22">
            <v>609.59399999999994</v>
          </cell>
          <cell r="W22">
            <v>616.28399999999999</v>
          </cell>
          <cell r="X22">
            <v>1405.5830000000001</v>
          </cell>
          <cell r="Y22">
            <v>3203.6</v>
          </cell>
          <cell r="AA22">
            <v>1962.6999999999998</v>
          </cell>
          <cell r="AB22">
            <v>1981.3</v>
          </cell>
          <cell r="AC22">
            <v>1996.4999999999998</v>
          </cell>
          <cell r="AD22">
            <v>2169</v>
          </cell>
          <cell r="AE22">
            <v>7993.9</v>
          </cell>
          <cell r="AG22">
            <v>2106.9</v>
          </cell>
          <cell r="AH22">
            <v>2233</v>
          </cell>
          <cell r="AI22">
            <v>2133.7000000000003</v>
          </cell>
          <cell r="AJ22">
            <v>2154.6</v>
          </cell>
          <cell r="AK22">
            <v>8496.3000000000029</v>
          </cell>
          <cell r="AM22">
            <v>1906.1000000000001</v>
          </cell>
          <cell r="AN22">
            <v>2065.5</v>
          </cell>
          <cell r="AO22">
            <v>2093.6</v>
          </cell>
          <cell r="AP22">
            <v>2329.6000000000004</v>
          </cell>
          <cell r="AQ22">
            <v>8262.1999999999989</v>
          </cell>
          <cell r="AS22">
            <v>2171.9999999999995</v>
          </cell>
          <cell r="AT22">
            <v>2148.2999999999997</v>
          </cell>
          <cell r="AU22">
            <v>2177.6</v>
          </cell>
          <cell r="AV22">
            <v>2232.2000000000003</v>
          </cell>
          <cell r="AW22">
            <v>8730.0999999999985</v>
          </cell>
          <cell r="AY22">
            <v>2204.4</v>
          </cell>
          <cell r="AZ22">
            <v>2343.7000000000003</v>
          </cell>
          <cell r="BA22">
            <v>2386.1000000000004</v>
          </cell>
          <cell r="BB22">
            <v>2496.8000000000002</v>
          </cell>
          <cell r="BC22">
            <v>9431.0000000000018</v>
          </cell>
          <cell r="BE22">
            <v>2483.8000000000002</v>
          </cell>
          <cell r="BF22">
            <v>2518</v>
          </cell>
          <cell r="BG22">
            <v>2387.7231970227112</v>
          </cell>
          <cell r="BH22">
            <v>2447.3250116828635</v>
          </cell>
          <cell r="BI22">
            <v>9836.8482087055745</v>
          </cell>
          <cell r="BK22">
            <v>2548.2759793021423</v>
          </cell>
          <cell r="BL22">
            <v>2614.8076235212275</v>
          </cell>
          <cell r="BM22">
            <v>2454.1030277883074</v>
          </cell>
          <cell r="BN22">
            <v>2516.5520113776174</v>
          </cell>
          <cell r="BO22">
            <v>10133.738641989294</v>
          </cell>
          <cell r="BQ22">
            <v>2617.1345076595826</v>
          </cell>
          <cell r="BR22">
            <v>2692.9974260991071</v>
          </cell>
          <cell r="BS22">
            <v>2523.7543866320093</v>
          </cell>
          <cell r="BT22">
            <v>2598.3562872365055</v>
          </cell>
          <cell r="BU22">
            <v>10432.242607627206</v>
          </cell>
          <cell r="BW22">
            <v>2708.9305329389731</v>
          </cell>
          <cell r="BX22">
            <v>2782.251583903048</v>
          </cell>
          <cell r="BY22">
            <v>2603.2036023840888</v>
          </cell>
          <cell r="BZ22">
            <v>2692.6938712344704</v>
          </cell>
          <cell r="CA22">
            <v>10787.07959046058</v>
          </cell>
        </row>
        <row r="24">
          <cell r="C24" t="str">
            <v>EBITA (non-GAAP)</v>
          </cell>
          <cell r="I24">
            <v>59.838000000000022</v>
          </cell>
          <cell r="J24">
            <v>65.428999999999974</v>
          </cell>
          <cell r="K24">
            <v>70.7349999999999</v>
          </cell>
          <cell r="L24">
            <v>80.450000000000045</v>
          </cell>
          <cell r="M24">
            <v>279.53300000000036</v>
          </cell>
          <cell r="O24">
            <v>61.486999999999966</v>
          </cell>
          <cell r="P24">
            <v>80.862999999999943</v>
          </cell>
          <cell r="Q24">
            <v>94.700000000000045</v>
          </cell>
          <cell r="R24">
            <v>113.44200000000012</v>
          </cell>
          <cell r="S24">
            <v>350.49200000000019</v>
          </cell>
          <cell r="U24">
            <v>97.000000000000114</v>
          </cell>
          <cell r="V24">
            <v>103.87400000000002</v>
          </cell>
          <cell r="W24">
            <v>108.678</v>
          </cell>
          <cell r="X24">
            <v>263.31699999999978</v>
          </cell>
          <cell r="Y24">
            <v>563.20000000000027</v>
          </cell>
          <cell r="AA24">
            <v>375.50000000000045</v>
          </cell>
          <cell r="AB24">
            <v>404.60000000000014</v>
          </cell>
          <cell r="AC24">
            <v>404.70000000000005</v>
          </cell>
          <cell r="AD24">
            <v>452.09999999999991</v>
          </cell>
          <cell r="AE24">
            <v>1598.6000000000004</v>
          </cell>
          <cell r="AG24">
            <v>447.09999999999991</v>
          </cell>
          <cell r="AH24">
            <v>476.60000000000036</v>
          </cell>
          <cell r="AI24">
            <v>454.40000000000009</v>
          </cell>
          <cell r="AJ24">
            <v>491.69999999999982</v>
          </cell>
          <cell r="AK24">
            <v>1816.8999999999978</v>
          </cell>
          <cell r="AM24">
            <v>349.00000000000023</v>
          </cell>
          <cell r="AN24">
            <v>418.59999999999991</v>
          </cell>
          <cell r="AO24">
            <v>437.5</v>
          </cell>
          <cell r="AP24">
            <v>509.79999999999973</v>
          </cell>
          <cell r="AQ24">
            <v>1649.4000000000015</v>
          </cell>
          <cell r="AS24">
            <v>454.90000000000009</v>
          </cell>
          <cell r="AT24">
            <v>447.40000000000009</v>
          </cell>
          <cell r="AU24">
            <v>451.09999999999991</v>
          </cell>
          <cell r="AV24">
            <v>486.69999999999982</v>
          </cell>
          <cell r="AW24">
            <v>1840.1000000000004</v>
          </cell>
          <cell r="AY24">
            <v>478.19999999999982</v>
          </cell>
          <cell r="AZ24">
            <v>510.29999999999973</v>
          </cell>
          <cell r="BA24">
            <v>546.79999999999973</v>
          </cell>
          <cell r="BB24">
            <v>592.5</v>
          </cell>
          <cell r="BC24">
            <v>2127.7999999999975</v>
          </cell>
          <cell r="BE24">
            <v>573</v>
          </cell>
          <cell r="BF24">
            <v>590.09999999999991</v>
          </cell>
          <cell r="BG24">
            <v>574.47964439206589</v>
          </cell>
          <cell r="BH24">
            <v>607.21515781864127</v>
          </cell>
          <cell r="BI24">
            <v>2344.7948022107066</v>
          </cell>
          <cell r="BK24">
            <v>599.49612102785795</v>
          </cell>
          <cell r="BL24">
            <v>622.77793001877262</v>
          </cell>
          <cell r="BM24">
            <v>594.232205711608</v>
          </cell>
          <cell r="BN24">
            <v>630.28274509499806</v>
          </cell>
          <cell r="BO24">
            <v>2446.7890018532362</v>
          </cell>
          <cell r="BQ24">
            <v>637.80925423361759</v>
          </cell>
          <cell r="BR24">
            <v>664.26346374699278</v>
          </cell>
          <cell r="BS24">
            <v>632.6613394973765</v>
          </cell>
          <cell r="BT24">
            <v>673.27165288508331</v>
          </cell>
          <cell r="BU24">
            <v>2608.0057103630697</v>
          </cell>
          <cell r="BW24">
            <v>683.38514505062085</v>
          </cell>
          <cell r="BX24">
            <v>710.22587115370288</v>
          </cell>
          <cell r="BY24">
            <v>675.12871910853664</v>
          </cell>
          <cell r="BZ24">
            <v>721.35863942627202</v>
          </cell>
          <cell r="CA24">
            <v>2790.0983747391329</v>
          </cell>
        </row>
        <row r="25">
          <cell r="C25" t="str">
            <v>Depreciation</v>
          </cell>
          <cell r="I25">
            <v>10.878</v>
          </cell>
          <cell r="J25">
            <v>10.782</v>
          </cell>
          <cell r="K25">
            <v>10.204000000000001</v>
          </cell>
          <cell r="L25">
            <v>11.477</v>
          </cell>
          <cell r="M25">
            <v>43.341000000000001</v>
          </cell>
          <cell r="O25">
            <v>10.151999999999999</v>
          </cell>
          <cell r="P25">
            <v>10.76</v>
          </cell>
          <cell r="Q25">
            <v>12.34</v>
          </cell>
          <cell r="R25">
            <v>12.419999999999996</v>
          </cell>
          <cell r="S25">
            <v>45.67199999999999</v>
          </cell>
          <cell r="U25">
            <v>11.8</v>
          </cell>
          <cell r="V25">
            <v>13.4</v>
          </cell>
          <cell r="W25">
            <v>13.4</v>
          </cell>
          <cell r="X25">
            <v>30.400000000000002</v>
          </cell>
          <cell r="Y25">
            <v>69</v>
          </cell>
          <cell r="AA25">
            <v>46</v>
          </cell>
          <cell r="AB25">
            <v>45</v>
          </cell>
          <cell r="AC25">
            <v>46.1</v>
          </cell>
          <cell r="AD25">
            <v>41.900000000000006</v>
          </cell>
          <cell r="AE25">
            <v>179</v>
          </cell>
          <cell r="AG25">
            <v>47.6</v>
          </cell>
          <cell r="AH25">
            <v>48.2</v>
          </cell>
          <cell r="AI25">
            <v>47.7</v>
          </cell>
          <cell r="AJ25">
            <v>39.199999999999996</v>
          </cell>
          <cell r="AK25">
            <v>182.7</v>
          </cell>
          <cell r="AM25">
            <v>45</v>
          </cell>
          <cell r="AN25">
            <v>47.2</v>
          </cell>
          <cell r="AO25">
            <v>47.3</v>
          </cell>
          <cell r="AP25">
            <v>43.499999999999986</v>
          </cell>
          <cell r="AQ25">
            <v>183</v>
          </cell>
          <cell r="AS25">
            <v>46.9</v>
          </cell>
          <cell r="AT25">
            <v>47.5</v>
          </cell>
          <cell r="AU25">
            <v>47.3</v>
          </cell>
          <cell r="AV25">
            <v>49.6</v>
          </cell>
          <cell r="AW25">
            <v>191.29999999999998</v>
          </cell>
          <cell r="AY25">
            <v>48.9</v>
          </cell>
          <cell r="AZ25">
            <v>51.4</v>
          </cell>
          <cell r="BA25">
            <v>55.1</v>
          </cell>
          <cell r="BB25">
            <v>60.2</v>
          </cell>
          <cell r="BC25">
            <v>215.60000000000002</v>
          </cell>
          <cell r="BE25">
            <v>59.9</v>
          </cell>
          <cell r="BF25">
            <v>58.2</v>
          </cell>
          <cell r="BG25">
            <v>54.116208453016007</v>
          </cell>
          <cell r="BH25">
            <v>56.258710538153785</v>
          </cell>
          <cell r="BI25">
            <v>228.4749189911698</v>
          </cell>
          <cell r="BK25">
            <v>59.991179738172313</v>
          </cell>
          <cell r="BL25">
            <v>61.768032329741438</v>
          </cell>
          <cell r="BM25">
            <v>63.59558276791681</v>
          </cell>
          <cell r="BN25">
            <v>65.316305293873484</v>
          </cell>
          <cell r="BO25">
            <v>250.67110012970403</v>
          </cell>
          <cell r="BQ25">
            <v>67.092628774119092</v>
          </cell>
          <cell r="BR25">
            <v>68.965311194370472</v>
          </cell>
          <cell r="BS25">
            <v>70.896860219031808</v>
          </cell>
          <cell r="BT25">
            <v>72.712856031472342</v>
          </cell>
          <cell r="BU25">
            <v>279.66765621899367</v>
          </cell>
          <cell r="BW25">
            <v>74.595137440078133</v>
          </cell>
          <cell r="BX25">
            <v>76.583679558328157</v>
          </cell>
          <cell r="BY25">
            <v>78.630935526126194</v>
          </cell>
          <cell r="BZ25">
            <v>80.552661720774424</v>
          </cell>
          <cell r="CA25">
            <v>310.36241424530692</v>
          </cell>
        </row>
        <row r="26">
          <cell r="C26" t="str">
            <v>Stock based compensation</v>
          </cell>
          <cell r="M26">
            <v>17.8</v>
          </cell>
          <cell r="S26">
            <v>2.8</v>
          </cell>
        </row>
        <row r="27">
          <cell r="C27" t="str">
            <v>EBITDA (non-GAAP)</v>
          </cell>
          <cell r="I27">
            <v>70.716000000000022</v>
          </cell>
          <cell r="J27">
            <v>76.21099999999997</v>
          </cell>
          <cell r="K27">
            <v>80.938999999999908</v>
          </cell>
          <cell r="L27">
            <v>91.927000000000049</v>
          </cell>
          <cell r="M27">
            <v>340.67400000000038</v>
          </cell>
          <cell r="O27">
            <v>71.638999999999967</v>
          </cell>
          <cell r="P27">
            <v>91.622999999999948</v>
          </cell>
          <cell r="Q27">
            <v>107.04000000000005</v>
          </cell>
          <cell r="R27">
            <v>125.86200000000012</v>
          </cell>
          <cell r="S27">
            <v>398.96400000000017</v>
          </cell>
          <cell r="U27">
            <v>108.80000000000011</v>
          </cell>
          <cell r="V27">
            <v>117.27400000000003</v>
          </cell>
          <cell r="W27">
            <v>122.078</v>
          </cell>
          <cell r="X27">
            <v>293.71699999999976</v>
          </cell>
          <cell r="Y27">
            <v>632.20000000000027</v>
          </cell>
          <cell r="AA27">
            <v>421.50000000000045</v>
          </cell>
          <cell r="AB27">
            <v>449.60000000000014</v>
          </cell>
          <cell r="AC27">
            <v>450.80000000000007</v>
          </cell>
          <cell r="AD27">
            <v>493.99999999999989</v>
          </cell>
          <cell r="AE27">
            <v>1777.6000000000004</v>
          </cell>
          <cell r="AG27">
            <v>494.69999999999993</v>
          </cell>
          <cell r="AH27">
            <v>524.80000000000041</v>
          </cell>
          <cell r="AI27">
            <v>502.10000000000008</v>
          </cell>
          <cell r="AJ27">
            <v>530.89999999999986</v>
          </cell>
          <cell r="AK27">
            <v>1999.5999999999979</v>
          </cell>
          <cell r="AM27">
            <v>394.00000000000023</v>
          </cell>
          <cell r="AN27">
            <v>465.7999999999999</v>
          </cell>
          <cell r="AO27">
            <v>484.8</v>
          </cell>
          <cell r="AP27">
            <v>553.29999999999973</v>
          </cell>
          <cell r="AQ27">
            <v>1832.4000000000015</v>
          </cell>
          <cell r="AS27">
            <v>501.80000000000007</v>
          </cell>
          <cell r="AT27">
            <v>494.90000000000009</v>
          </cell>
          <cell r="AU27">
            <v>498.39999999999992</v>
          </cell>
          <cell r="AV27">
            <v>536.29999999999984</v>
          </cell>
          <cell r="AW27">
            <v>2031.4000000000003</v>
          </cell>
          <cell r="AY27">
            <v>527.0999999999998</v>
          </cell>
          <cell r="AZ27">
            <v>561.6999999999997</v>
          </cell>
          <cell r="BA27">
            <v>601.89999999999975</v>
          </cell>
          <cell r="BB27">
            <v>652.70000000000005</v>
          </cell>
          <cell r="BC27">
            <v>2343.3999999999974</v>
          </cell>
          <cell r="BE27">
            <v>632.9</v>
          </cell>
          <cell r="BF27">
            <v>648.29999999999995</v>
          </cell>
          <cell r="BG27">
            <v>628.59585284508194</v>
          </cell>
          <cell r="BH27">
            <v>663.47386835679504</v>
          </cell>
          <cell r="BI27">
            <v>2573.2697212018766</v>
          </cell>
          <cell r="BK27">
            <v>659.48730076603022</v>
          </cell>
          <cell r="BL27">
            <v>684.54596234851408</v>
          </cell>
          <cell r="BM27">
            <v>657.82778847952477</v>
          </cell>
          <cell r="BN27">
            <v>695.59905038887155</v>
          </cell>
          <cell r="BO27">
            <v>2697.4601019829402</v>
          </cell>
          <cell r="BQ27">
            <v>704.90188300773673</v>
          </cell>
          <cell r="BR27">
            <v>733.22877494136321</v>
          </cell>
          <cell r="BS27">
            <v>703.55819971640835</v>
          </cell>
          <cell r="BT27">
            <v>745.98450891655568</v>
          </cell>
          <cell r="BU27">
            <v>2887.6733665820634</v>
          </cell>
          <cell r="BW27">
            <v>757.98028249069898</v>
          </cell>
          <cell r="BX27">
            <v>786.80955071203107</v>
          </cell>
          <cell r="BY27">
            <v>753.75965463466287</v>
          </cell>
          <cell r="BZ27">
            <v>801.9113011470464</v>
          </cell>
          <cell r="CA27">
            <v>3100.4607889844397</v>
          </cell>
        </row>
        <row r="28">
          <cell r="C28" t="str">
            <v>Other expense, net</v>
          </cell>
          <cell r="I28">
            <v>2.6019999999999999</v>
          </cell>
          <cell r="J28">
            <v>10.667</v>
          </cell>
          <cell r="K28">
            <v>2.4710000000000001</v>
          </cell>
          <cell r="L28">
            <v>5.9670000000000005</v>
          </cell>
          <cell r="M28">
            <v>12.1</v>
          </cell>
          <cell r="O28">
            <v>3.3039999999999998</v>
          </cell>
          <cell r="P28">
            <v>25.504000000000001</v>
          </cell>
          <cell r="Q28">
            <v>-2.7509999999999999</v>
          </cell>
          <cell r="R28">
            <v>-3.6460000000000004</v>
          </cell>
          <cell r="S28">
            <v>22.410999999999998</v>
          </cell>
          <cell r="U28">
            <v>-3.7789999999999999</v>
          </cell>
          <cell r="V28">
            <v>-3.383</v>
          </cell>
          <cell r="W28">
            <v>-5.7430000000000003</v>
          </cell>
          <cell r="X28">
            <v>-19.683999999999997</v>
          </cell>
          <cell r="Y28">
            <v>-35.400000000000091</v>
          </cell>
          <cell r="AA28">
            <v>-26.7</v>
          </cell>
          <cell r="AB28">
            <v>-20.599999999999998</v>
          </cell>
          <cell r="AC28">
            <v>-18.2</v>
          </cell>
          <cell r="AD28">
            <v>-21.6</v>
          </cell>
          <cell r="AE28">
            <v>-107.69999999999982</v>
          </cell>
          <cell r="AG28">
            <v>-21.9</v>
          </cell>
          <cell r="AH28">
            <v>-22</v>
          </cell>
          <cell r="AI28">
            <v>-22.1</v>
          </cell>
          <cell r="AJ28">
            <v>-17.700000000000003</v>
          </cell>
          <cell r="AK28">
            <v>-104.60000000000014</v>
          </cell>
          <cell r="AM28">
            <v>-21.8</v>
          </cell>
          <cell r="AN28">
            <v>-26.000000000000004</v>
          </cell>
          <cell r="AO28">
            <v>-26</v>
          </cell>
          <cell r="AP28">
            <v>-27.599999999999994</v>
          </cell>
          <cell r="AQ28">
            <v>-101.30000000000018</v>
          </cell>
          <cell r="AS28">
            <v>-22.600000000000023</v>
          </cell>
          <cell r="AT28">
            <v>-20.699999999999932</v>
          </cell>
          <cell r="AU28">
            <v>-13.899999999999977</v>
          </cell>
          <cell r="AV28">
            <v>-14.800000000000011</v>
          </cell>
          <cell r="AW28">
            <v>-71.999999999999943</v>
          </cell>
          <cell r="AY28">
            <v>-21.699999999999989</v>
          </cell>
          <cell r="AZ28">
            <v>-31.300000000000011</v>
          </cell>
          <cell r="BA28">
            <v>-44.699999999999932</v>
          </cell>
          <cell r="BB28">
            <v>-52.699999999999932</v>
          </cell>
          <cell r="BC28">
            <v>-150.39999999999986</v>
          </cell>
          <cell r="BE28">
            <v>-48.7</v>
          </cell>
          <cell r="BF28">
            <v>-45</v>
          </cell>
          <cell r="BG28">
            <v>-65</v>
          </cell>
          <cell r="BH28">
            <v>-66</v>
          </cell>
          <cell r="BI28">
            <v>-224.7</v>
          </cell>
          <cell r="BK28">
            <v>-46.71619510034666</v>
          </cell>
          <cell r="BL28">
            <v>-46.946405401611656</v>
          </cell>
          <cell r="BM28">
            <v>-45.505220811841525</v>
          </cell>
          <cell r="BN28">
            <v>-44.045260390704875</v>
          </cell>
          <cell r="BO28">
            <v>-183.2130817045047</v>
          </cell>
          <cell r="BQ28">
            <v>-40.843911119621026</v>
          </cell>
          <cell r="BR28">
            <v>-41.956400744679591</v>
          </cell>
          <cell r="BS28">
            <v>-40.55455161471258</v>
          </cell>
          <cell r="BT28">
            <v>-35.291556059203501</v>
          </cell>
          <cell r="BU28">
            <v>-158.64641953821672</v>
          </cell>
          <cell r="BW28">
            <v>-36.076674331650167</v>
          </cell>
          <cell r="BX28">
            <v>-28.29914366690463</v>
          </cell>
          <cell r="BY28">
            <v>-30.617511906393428</v>
          </cell>
          <cell r="BZ28">
            <v>-28.695245313754775</v>
          </cell>
          <cell r="CA28">
            <v>-123.68857521870299</v>
          </cell>
        </row>
        <row r="29">
          <cell r="C29" t="str">
            <v>Pretax Income</v>
          </cell>
          <cell r="I29">
            <v>62.440000000000019</v>
          </cell>
          <cell r="J29">
            <v>76.095999999999975</v>
          </cell>
          <cell r="K29">
            <v>73.205999999999904</v>
          </cell>
          <cell r="L29">
            <v>86.417000000000044</v>
          </cell>
          <cell r="M29">
            <v>291.63300000000038</v>
          </cell>
          <cell r="O29">
            <v>64.790999999999968</v>
          </cell>
          <cell r="P29">
            <v>106.36699999999995</v>
          </cell>
          <cell r="Q29">
            <v>91.949000000000041</v>
          </cell>
          <cell r="R29">
            <v>109.79600000000012</v>
          </cell>
          <cell r="S29">
            <v>372.90300000000019</v>
          </cell>
          <cell r="U29">
            <v>93.221000000000117</v>
          </cell>
          <cell r="V29">
            <v>100.49100000000003</v>
          </cell>
          <cell r="W29">
            <v>102.935</v>
          </cell>
          <cell r="X29">
            <v>243.63299999999978</v>
          </cell>
          <cell r="Y29">
            <v>527.80000000000018</v>
          </cell>
          <cell r="AA29">
            <v>348.80000000000047</v>
          </cell>
          <cell r="AB29">
            <v>384.00000000000011</v>
          </cell>
          <cell r="AC29">
            <v>386.50000000000006</v>
          </cell>
          <cell r="AD29">
            <v>430.49999999999989</v>
          </cell>
          <cell r="AE29">
            <v>1490.9000000000005</v>
          </cell>
          <cell r="AG29">
            <v>425.19999999999993</v>
          </cell>
          <cell r="AH29">
            <v>454.60000000000036</v>
          </cell>
          <cell r="AI29">
            <v>432.30000000000007</v>
          </cell>
          <cell r="AJ29">
            <v>473.99999999999983</v>
          </cell>
          <cell r="AK29">
            <v>1712.2999999999977</v>
          </cell>
          <cell r="AM29">
            <v>327.20000000000022</v>
          </cell>
          <cell r="AN29">
            <v>392.59999999999991</v>
          </cell>
          <cell r="AO29">
            <v>411.5</v>
          </cell>
          <cell r="AP29">
            <v>482.1999999999997</v>
          </cell>
          <cell r="AQ29">
            <v>1548.1000000000013</v>
          </cell>
          <cell r="AS29">
            <v>432.30000000000007</v>
          </cell>
          <cell r="AT29">
            <v>426.70000000000016</v>
          </cell>
          <cell r="AU29">
            <v>437.19999999999993</v>
          </cell>
          <cell r="AV29">
            <v>471.89999999999981</v>
          </cell>
          <cell r="AW29">
            <v>1768.1000000000004</v>
          </cell>
          <cell r="AY29">
            <v>456.49999999999983</v>
          </cell>
          <cell r="AZ29">
            <v>478.99999999999972</v>
          </cell>
          <cell r="BA29">
            <v>502.0999999999998</v>
          </cell>
          <cell r="BB29">
            <v>539.80000000000007</v>
          </cell>
          <cell r="BC29">
            <v>1977.3999999999976</v>
          </cell>
          <cell r="BE29">
            <v>524.29999999999995</v>
          </cell>
          <cell r="BF29">
            <v>545.09999999999991</v>
          </cell>
          <cell r="BG29">
            <v>509.47964439206589</v>
          </cell>
          <cell r="BH29">
            <v>541.21515781864127</v>
          </cell>
          <cell r="BI29">
            <v>2120.0948022107068</v>
          </cell>
          <cell r="BK29">
            <v>552.77992592751127</v>
          </cell>
          <cell r="BL29">
            <v>575.83152461716099</v>
          </cell>
          <cell r="BM29">
            <v>548.72698489976642</v>
          </cell>
          <cell r="BN29">
            <v>586.23748470429314</v>
          </cell>
          <cell r="BO29">
            <v>2263.5759201487317</v>
          </cell>
          <cell r="BQ29">
            <v>596.9653431139966</v>
          </cell>
          <cell r="BR29">
            <v>622.30706300231316</v>
          </cell>
          <cell r="BS29">
            <v>592.10678788266387</v>
          </cell>
          <cell r="BT29">
            <v>637.98009682587985</v>
          </cell>
          <cell r="BU29">
            <v>2449.3592908248529</v>
          </cell>
          <cell r="BW29">
            <v>647.30847071897074</v>
          </cell>
          <cell r="BX29">
            <v>681.9267274867982</v>
          </cell>
          <cell r="BY29">
            <v>644.51120720214317</v>
          </cell>
          <cell r="BZ29">
            <v>692.66339411251727</v>
          </cell>
          <cell r="CA29">
            <v>2666.4097995204297</v>
          </cell>
        </row>
        <row r="30">
          <cell r="C30" t="str">
            <v>Provision for income taxes</v>
          </cell>
          <cell r="I30">
            <v>15.811</v>
          </cell>
          <cell r="J30">
            <v>19.058</v>
          </cell>
          <cell r="K30">
            <v>19.451000000000001</v>
          </cell>
          <cell r="L30">
            <v>-13.468</v>
          </cell>
          <cell r="M30">
            <v>77</v>
          </cell>
          <cell r="O30">
            <v>17.785</v>
          </cell>
          <cell r="P30">
            <v>50.914999999999999</v>
          </cell>
          <cell r="Q30">
            <v>30.009999999999998</v>
          </cell>
          <cell r="R30">
            <v>32.704999999999998</v>
          </cell>
          <cell r="S30">
            <v>131.41500000000002</v>
          </cell>
          <cell r="U30">
            <v>28.413999999999998</v>
          </cell>
          <cell r="V30">
            <v>30.719000000000001</v>
          </cell>
          <cell r="W30">
            <v>31.494</v>
          </cell>
          <cell r="X30">
            <v>61.996999999999993</v>
          </cell>
          <cell r="Y30">
            <v>148.30000000000001</v>
          </cell>
          <cell r="AA30">
            <v>87.3</v>
          </cell>
          <cell r="AB30">
            <v>92.9</v>
          </cell>
          <cell r="AC30">
            <v>95.2</v>
          </cell>
          <cell r="AD30">
            <v>97</v>
          </cell>
          <cell r="AE30">
            <v>349.2</v>
          </cell>
          <cell r="AG30">
            <v>103.4</v>
          </cell>
          <cell r="AH30">
            <v>107.6</v>
          </cell>
          <cell r="AI30">
            <v>100.69999999999999</v>
          </cell>
          <cell r="AJ30">
            <v>99.1</v>
          </cell>
          <cell r="AK30">
            <v>382.3</v>
          </cell>
          <cell r="AM30">
            <v>65.400000000000006</v>
          </cell>
          <cell r="AN30">
            <v>78.5</v>
          </cell>
          <cell r="AO30">
            <v>82.3</v>
          </cell>
          <cell r="AP30">
            <v>96.6</v>
          </cell>
          <cell r="AQ30">
            <v>297.10000000000002</v>
          </cell>
          <cell r="AS30">
            <v>90.9</v>
          </cell>
          <cell r="AT30">
            <v>88.4</v>
          </cell>
          <cell r="AU30">
            <v>85.6</v>
          </cell>
          <cell r="AV30">
            <v>87.5</v>
          </cell>
          <cell r="AW30">
            <v>352.4</v>
          </cell>
          <cell r="AY30">
            <v>93.6</v>
          </cell>
          <cell r="AZ30">
            <v>96</v>
          </cell>
          <cell r="BA30">
            <v>92.9</v>
          </cell>
          <cell r="BB30">
            <v>95.2</v>
          </cell>
          <cell r="BC30">
            <v>377.7</v>
          </cell>
          <cell r="BE30">
            <v>91.8</v>
          </cell>
          <cell r="BF30">
            <v>96</v>
          </cell>
          <cell r="BG30">
            <v>87.121019191043274</v>
          </cell>
          <cell r="BH30">
            <v>92.494097991523631</v>
          </cell>
          <cell r="BI30">
            <v>367.41511718256692</v>
          </cell>
          <cell r="BK30">
            <v>96.183707111386951</v>
          </cell>
          <cell r="BL30">
            <v>100.19468528338601</v>
          </cell>
          <cell r="BM30">
            <v>95.478495372559351</v>
          </cell>
          <cell r="BN30">
            <v>102.00532233854699</v>
          </cell>
          <cell r="BO30">
            <v>393.86221010587929</v>
          </cell>
          <cell r="BQ30">
            <v>103.8719697018354</v>
          </cell>
          <cell r="BR30">
            <v>108.28142896240249</v>
          </cell>
          <cell r="BS30">
            <v>103.02658109158351</v>
          </cell>
          <cell r="BT30">
            <v>111.00853684770294</v>
          </cell>
          <cell r="BU30">
            <v>426.18851660352436</v>
          </cell>
          <cell r="BW30">
            <v>112.6316739051009</v>
          </cell>
          <cell r="BX30">
            <v>118.65525058270288</v>
          </cell>
          <cell r="BY30">
            <v>112.14495005317291</v>
          </cell>
          <cell r="BZ30">
            <v>120.523430575578</v>
          </cell>
          <cell r="CA30">
            <v>463.95530511655471</v>
          </cell>
        </row>
        <row r="31">
          <cell r="C31" t="str">
            <v>Adjustment for one-time items</v>
          </cell>
          <cell r="L31">
            <v>37.664999999999999</v>
          </cell>
          <cell r="M31">
            <v>51.991</v>
          </cell>
          <cell r="O31">
            <v>0.38800000000000001</v>
          </cell>
          <cell r="P31">
            <v>28.957000000000001</v>
          </cell>
          <cell r="Q31">
            <v>11.247999999999999</v>
          </cell>
          <cell r="R31">
            <v>3.2250000000000001</v>
          </cell>
          <cell r="S31">
            <v>43.818000000000005</v>
          </cell>
          <cell r="U31">
            <v>7.9669999999999996</v>
          </cell>
          <cell r="V31">
            <v>10.872</v>
          </cell>
          <cell r="W31">
            <v>10.959</v>
          </cell>
          <cell r="X31">
            <v>79.771999999999991</v>
          </cell>
          <cell r="AE31">
            <v>0</v>
          </cell>
          <cell r="AK31">
            <v>0</v>
          </cell>
        </row>
        <row r="32">
          <cell r="C32" t="str">
            <v>Net Income (Non-GAAP) - continuing ops</v>
          </cell>
          <cell r="I32">
            <v>46.629000000000019</v>
          </cell>
          <cell r="J32">
            <v>57.037999999999975</v>
          </cell>
          <cell r="K32">
            <v>53.754999999999903</v>
          </cell>
          <cell r="L32">
            <v>99.885000000000048</v>
          </cell>
          <cell r="M32">
            <v>214.63300000000038</v>
          </cell>
          <cell r="O32">
            <v>47.005999999999972</v>
          </cell>
          <cell r="P32">
            <v>55.451999999999948</v>
          </cell>
          <cell r="Q32">
            <v>61.939000000000043</v>
          </cell>
          <cell r="R32">
            <v>77.091000000000122</v>
          </cell>
          <cell r="S32">
            <v>241.48800000000017</v>
          </cell>
          <cell r="U32">
            <v>64.807000000000116</v>
          </cell>
          <cell r="V32">
            <v>69.77200000000002</v>
          </cell>
          <cell r="W32">
            <v>71.441000000000003</v>
          </cell>
          <cell r="X32">
            <v>181.6359999999998</v>
          </cell>
          <cell r="Y32">
            <v>379.50000000000017</v>
          </cell>
          <cell r="AA32">
            <v>261.50000000000045</v>
          </cell>
          <cell r="AB32">
            <v>291.10000000000014</v>
          </cell>
          <cell r="AC32">
            <v>291.30000000000007</v>
          </cell>
          <cell r="AD32">
            <v>333.49999999999989</v>
          </cell>
          <cell r="AE32">
            <v>1141.7000000000005</v>
          </cell>
          <cell r="AG32">
            <v>321.79999999999995</v>
          </cell>
          <cell r="AH32">
            <v>347.00000000000034</v>
          </cell>
          <cell r="AI32">
            <v>331.60000000000008</v>
          </cell>
          <cell r="AJ32">
            <v>374.89999999999986</v>
          </cell>
          <cell r="AK32">
            <v>1329.9999999999977</v>
          </cell>
          <cell r="AM32">
            <v>261.80000000000018</v>
          </cell>
          <cell r="AN32">
            <v>314.09999999999991</v>
          </cell>
          <cell r="AO32">
            <v>329.2</v>
          </cell>
          <cell r="AP32">
            <v>385.59999999999968</v>
          </cell>
          <cell r="AQ32">
            <v>1251.0000000000014</v>
          </cell>
          <cell r="AS32">
            <v>341.40000000000009</v>
          </cell>
          <cell r="AT32">
            <v>338.30000000000018</v>
          </cell>
          <cell r="AU32">
            <v>351.59999999999991</v>
          </cell>
          <cell r="AV32">
            <v>384.39999999999981</v>
          </cell>
          <cell r="AW32">
            <v>1415.7000000000003</v>
          </cell>
          <cell r="AY32">
            <v>362.89999999999986</v>
          </cell>
          <cell r="AZ32">
            <v>382.99999999999972</v>
          </cell>
          <cell r="BA32">
            <v>409.19999999999982</v>
          </cell>
          <cell r="BB32">
            <v>444.60000000000008</v>
          </cell>
          <cell r="BC32">
            <v>1599.6999999999975</v>
          </cell>
          <cell r="BE32">
            <v>432.49999999999994</v>
          </cell>
          <cell r="BF32">
            <v>449.09999999999991</v>
          </cell>
          <cell r="BG32">
            <v>422.35862520102262</v>
          </cell>
          <cell r="BH32">
            <v>448.72105982711764</v>
          </cell>
          <cell r="BI32">
            <v>1752.6796850281398</v>
          </cell>
          <cell r="BK32">
            <v>456.59621881612429</v>
          </cell>
          <cell r="BL32">
            <v>475.63683933377501</v>
          </cell>
          <cell r="BM32">
            <v>453.24848952720708</v>
          </cell>
          <cell r="BN32">
            <v>484.23216236574615</v>
          </cell>
          <cell r="BO32">
            <v>1869.7137100428524</v>
          </cell>
          <cell r="BQ32">
            <v>493.09337341216121</v>
          </cell>
          <cell r="BR32">
            <v>514.02563403991064</v>
          </cell>
          <cell r="BS32">
            <v>489.08020679108034</v>
          </cell>
          <cell r="BT32">
            <v>526.97155997817686</v>
          </cell>
          <cell r="BU32">
            <v>2023.1707742213284</v>
          </cell>
          <cell r="BW32">
            <v>534.67679681386983</v>
          </cell>
          <cell r="BX32">
            <v>563.27147690409538</v>
          </cell>
          <cell r="BY32">
            <v>532.36625714897025</v>
          </cell>
          <cell r="BZ32">
            <v>572.13996353693926</v>
          </cell>
          <cell r="CA32">
            <v>2202.4544944038748</v>
          </cell>
        </row>
        <row r="33">
          <cell r="C33" t="str">
            <v>Income from discontinued operations</v>
          </cell>
          <cell r="S33">
            <v>0</v>
          </cell>
          <cell r="Y33">
            <v>0</v>
          </cell>
          <cell r="AE33">
            <v>0</v>
          </cell>
          <cell r="AK33">
            <v>0</v>
          </cell>
          <cell r="AQ33">
            <v>0</v>
          </cell>
          <cell r="AW33">
            <v>0</v>
          </cell>
          <cell r="BC33">
            <v>0</v>
          </cell>
          <cell r="BG33">
            <v>0</v>
          </cell>
          <cell r="BH33">
            <v>0</v>
          </cell>
          <cell r="BI33">
            <v>0</v>
          </cell>
          <cell r="BK33">
            <v>0</v>
          </cell>
          <cell r="BL33">
            <v>0</v>
          </cell>
          <cell r="BM33">
            <v>0</v>
          </cell>
          <cell r="BN33">
            <v>0</v>
          </cell>
          <cell r="BO33">
            <v>0</v>
          </cell>
        </row>
        <row r="34">
          <cell r="C34" t="str">
            <v>Loss (Gain) on discontinued operations</v>
          </cell>
          <cell r="S34">
            <v>0</v>
          </cell>
          <cell r="AW34">
            <v>0</v>
          </cell>
          <cell r="BC34">
            <v>0</v>
          </cell>
          <cell r="BG34">
            <v>0</v>
          </cell>
          <cell r="BH34">
            <v>0</v>
          </cell>
          <cell r="BI34">
            <v>0</v>
          </cell>
          <cell r="BK34">
            <v>0</v>
          </cell>
          <cell r="BL34">
            <v>0</v>
          </cell>
          <cell r="BM34">
            <v>0</v>
          </cell>
          <cell r="BN34">
            <v>0</v>
          </cell>
          <cell r="BO34">
            <v>0</v>
          </cell>
          <cell r="BQ34">
            <v>0</v>
          </cell>
          <cell r="BR34">
            <v>0</v>
          </cell>
          <cell r="BS34">
            <v>0</v>
          </cell>
          <cell r="BT34">
            <v>0</v>
          </cell>
          <cell r="BU34">
            <v>0</v>
          </cell>
          <cell r="BW34">
            <v>0</v>
          </cell>
          <cell r="BX34">
            <v>0</v>
          </cell>
          <cell r="BY34">
            <v>0</v>
          </cell>
          <cell r="BZ34">
            <v>0</v>
          </cell>
          <cell r="CA34">
            <v>0</v>
          </cell>
        </row>
        <row r="35">
          <cell r="C35" t="str">
            <v>Net Income (Non-GAAP)</v>
          </cell>
          <cell r="I35">
            <v>46.629000000000019</v>
          </cell>
          <cell r="J35">
            <v>57.037999999999975</v>
          </cell>
          <cell r="K35">
            <v>53.754999999999903</v>
          </cell>
          <cell r="L35">
            <v>99.885000000000048</v>
          </cell>
          <cell r="M35">
            <v>214.63300000000038</v>
          </cell>
          <cell r="O35">
            <v>47.005999999999972</v>
          </cell>
          <cell r="P35">
            <v>55.451999999999948</v>
          </cell>
          <cell r="Q35">
            <v>61.939000000000043</v>
          </cell>
          <cell r="R35">
            <v>77.091000000000122</v>
          </cell>
          <cell r="S35">
            <v>241.48800000000017</v>
          </cell>
          <cell r="U35">
            <v>64.807000000000116</v>
          </cell>
          <cell r="V35">
            <v>69.77200000000002</v>
          </cell>
          <cell r="W35">
            <v>71.441000000000003</v>
          </cell>
          <cell r="X35">
            <v>181.6359999999998</v>
          </cell>
          <cell r="Y35">
            <v>379.50000000000017</v>
          </cell>
          <cell r="AA35">
            <v>261.50000000000045</v>
          </cell>
          <cell r="AB35">
            <v>291.10000000000014</v>
          </cell>
          <cell r="AC35">
            <v>291.30000000000007</v>
          </cell>
          <cell r="AD35">
            <v>333.49999999999989</v>
          </cell>
          <cell r="AE35">
            <v>1141.7000000000005</v>
          </cell>
          <cell r="AG35">
            <v>321.79999999999995</v>
          </cell>
          <cell r="AH35">
            <v>347.00000000000034</v>
          </cell>
          <cell r="AI35">
            <v>331.60000000000008</v>
          </cell>
          <cell r="AJ35">
            <v>374.89999999999986</v>
          </cell>
          <cell r="AK35">
            <v>1329.9999999999977</v>
          </cell>
          <cell r="AM35">
            <v>261.80000000000018</v>
          </cell>
          <cell r="AN35">
            <v>314.09999999999991</v>
          </cell>
          <cell r="AO35">
            <v>329.2</v>
          </cell>
          <cell r="AP35">
            <v>385.59999999999968</v>
          </cell>
          <cell r="AQ35">
            <v>1251.0000000000014</v>
          </cell>
          <cell r="AS35">
            <v>341.40000000000009</v>
          </cell>
          <cell r="AT35">
            <v>338.30000000000018</v>
          </cell>
          <cell r="AU35">
            <v>351.59999999999991</v>
          </cell>
          <cell r="AV35">
            <v>384.39999999999981</v>
          </cell>
          <cell r="AW35">
            <v>1415.7000000000003</v>
          </cell>
          <cell r="AY35">
            <v>362.89999999999986</v>
          </cell>
          <cell r="AZ35">
            <v>382.99999999999972</v>
          </cell>
          <cell r="BA35">
            <v>409.19999999999982</v>
          </cell>
          <cell r="BB35">
            <v>444.60000000000008</v>
          </cell>
          <cell r="BC35">
            <v>1599.6999999999975</v>
          </cell>
          <cell r="BE35">
            <v>432.49999999999994</v>
          </cell>
          <cell r="BF35">
            <v>449.09999999999991</v>
          </cell>
          <cell r="BG35">
            <v>422.35862520102262</v>
          </cell>
          <cell r="BH35">
            <v>448.72105982711764</v>
          </cell>
          <cell r="BI35">
            <v>1752.6796850281398</v>
          </cell>
          <cell r="BK35">
            <v>456.59621881612429</v>
          </cell>
          <cell r="BL35">
            <v>475.63683933377501</v>
          </cell>
          <cell r="BM35">
            <v>453.24848952720708</v>
          </cell>
          <cell r="BN35">
            <v>484.23216236574615</v>
          </cell>
          <cell r="BO35">
            <v>1869.7137100428524</v>
          </cell>
          <cell r="BQ35">
            <v>493.09337341216121</v>
          </cell>
          <cell r="BR35">
            <v>514.02563403991064</v>
          </cell>
          <cell r="BS35">
            <v>489.08020679108034</v>
          </cell>
          <cell r="BT35">
            <v>526.97155997817686</v>
          </cell>
          <cell r="BU35">
            <v>2023.1707742213284</v>
          </cell>
          <cell r="BW35">
            <v>534.67679681386983</v>
          </cell>
          <cell r="BX35">
            <v>563.27147690409538</v>
          </cell>
          <cell r="BY35">
            <v>532.36625714897025</v>
          </cell>
          <cell r="BZ35">
            <v>572.13996353693926</v>
          </cell>
          <cell r="CA35">
            <v>2202.4544944038748</v>
          </cell>
        </row>
        <row r="36">
          <cell r="C36" t="str">
            <v>One-time items</v>
          </cell>
          <cell r="I36">
            <v>6.9640000000000004</v>
          </cell>
          <cell r="J36">
            <v>6.4589999999999996</v>
          </cell>
          <cell r="K36">
            <v>11.114000000000001</v>
          </cell>
          <cell r="L36">
            <v>14.402999999999999</v>
          </cell>
          <cell r="M36">
            <v>32.420999999999992</v>
          </cell>
          <cell r="O36">
            <v>1.8109999999999999</v>
          </cell>
          <cell r="P36">
            <v>27.649000000000001</v>
          </cell>
          <cell r="Q36">
            <v>32.590000000000003</v>
          </cell>
          <cell r="R36">
            <v>24.954999999999998</v>
          </cell>
          <cell r="S36">
            <v>87.004999999999995</v>
          </cell>
          <cell r="U36">
            <v>29.155000000000001</v>
          </cell>
          <cell r="V36">
            <v>31.701000000000001</v>
          </cell>
          <cell r="W36">
            <v>33.567</v>
          </cell>
          <cell r="X36">
            <v>236.48699999999999</v>
          </cell>
          <cell r="Y36">
            <v>331.8</v>
          </cell>
          <cell r="AA36">
            <v>183.10000000000002</v>
          </cell>
          <cell r="AB36">
            <v>161.69999999999999</v>
          </cell>
          <cell r="AC36">
            <v>151.20000000000002</v>
          </cell>
          <cell r="AD36">
            <v>172.49999999999997</v>
          </cell>
          <cell r="AE36">
            <v>658.69999999999993</v>
          </cell>
          <cell r="AG36">
            <v>147.6</v>
          </cell>
          <cell r="AH36">
            <v>147.09999999999997</v>
          </cell>
          <cell r="AI36">
            <v>168.1</v>
          </cell>
          <cell r="AJ36">
            <v>173.7</v>
          </cell>
          <cell r="AK36">
            <v>619.4</v>
          </cell>
          <cell r="AM36">
            <v>112.9</v>
          </cell>
          <cell r="AN36">
            <v>107.2</v>
          </cell>
          <cell r="AO36">
            <v>108</v>
          </cell>
          <cell r="AP36">
            <v>201.30000000000004</v>
          </cell>
          <cell r="AQ36">
            <v>667.69999999999993</v>
          </cell>
          <cell r="AS36">
            <v>172.59999999999997</v>
          </cell>
          <cell r="AT36">
            <v>165.60000000000002</v>
          </cell>
          <cell r="AU36">
            <v>149.9</v>
          </cell>
          <cell r="AV36">
            <v>174.3</v>
          </cell>
          <cell r="AW36">
            <v>662.40000000000009</v>
          </cell>
          <cell r="AY36">
            <v>157.50000000000003</v>
          </cell>
          <cell r="AZ36">
            <v>223.4</v>
          </cell>
          <cell r="BA36">
            <v>237.4</v>
          </cell>
          <cell r="BB36">
            <v>232.5</v>
          </cell>
          <cell r="BC36">
            <v>850.80000000000007</v>
          </cell>
          <cell r="BE36">
            <v>219.3</v>
          </cell>
          <cell r="BF36">
            <v>224.3</v>
          </cell>
          <cell r="BG36">
            <v>209.50000000000003</v>
          </cell>
          <cell r="BH36">
            <v>209.50000000000003</v>
          </cell>
          <cell r="BI36">
            <v>862.6</v>
          </cell>
          <cell r="BK36">
            <v>186.82499999999999</v>
          </cell>
          <cell r="BL36">
            <v>186.82499999999999</v>
          </cell>
          <cell r="BM36">
            <v>186.82499999999999</v>
          </cell>
          <cell r="BN36">
            <v>186.82499999999999</v>
          </cell>
          <cell r="BO36">
            <v>747.3</v>
          </cell>
          <cell r="BQ36">
            <v>177.7</v>
          </cell>
          <cell r="BR36">
            <v>177.7</v>
          </cell>
          <cell r="BS36">
            <v>177.7</v>
          </cell>
          <cell r="BT36">
            <v>177.7</v>
          </cell>
          <cell r="BU36">
            <v>710.8</v>
          </cell>
          <cell r="BW36">
            <v>172.82499999999999</v>
          </cell>
          <cell r="BX36">
            <v>172.82499999999999</v>
          </cell>
          <cell r="BY36">
            <v>172.82499999999999</v>
          </cell>
          <cell r="BZ36">
            <v>172.82499999999999</v>
          </cell>
          <cell r="CA36">
            <v>691.3</v>
          </cell>
        </row>
        <row r="37">
          <cell r="C37" t="str">
            <v>Net income (GAAP)</v>
          </cell>
          <cell r="I37">
            <v>39.66500000000002</v>
          </cell>
          <cell r="J37">
            <v>50.578999999999979</v>
          </cell>
          <cell r="K37">
            <v>42.640999999999906</v>
          </cell>
          <cell r="L37">
            <v>85.482000000000056</v>
          </cell>
          <cell r="M37">
            <v>182.21200000000039</v>
          </cell>
          <cell r="O37">
            <v>45.194999999999972</v>
          </cell>
          <cell r="P37">
            <v>27.802999999999948</v>
          </cell>
          <cell r="Q37">
            <v>29.349000000000039</v>
          </cell>
          <cell r="R37">
            <v>52.136000000000124</v>
          </cell>
          <cell r="S37">
            <v>154.48300000000017</v>
          </cell>
          <cell r="U37">
            <v>35.652000000000115</v>
          </cell>
          <cell r="V37">
            <v>38.071000000000019</v>
          </cell>
          <cell r="W37">
            <v>37.874000000000002</v>
          </cell>
          <cell r="X37">
            <v>-54.851000000000198</v>
          </cell>
          <cell r="Y37">
            <v>166.7</v>
          </cell>
          <cell r="AA37">
            <v>78.400000000000432</v>
          </cell>
          <cell r="AB37">
            <v>129.40000000000015</v>
          </cell>
          <cell r="AC37">
            <v>140.10000000000005</v>
          </cell>
          <cell r="AD37">
            <v>160.99999999999991</v>
          </cell>
          <cell r="AE37">
            <v>748.4</v>
          </cell>
          <cell r="AG37">
            <v>174.19999999999996</v>
          </cell>
          <cell r="AH37">
            <v>199.90000000000038</v>
          </cell>
          <cell r="AI37">
            <v>163.50000000000009</v>
          </cell>
          <cell r="AJ37">
            <v>201.19999999999987</v>
          </cell>
          <cell r="AK37">
            <v>980.9</v>
          </cell>
          <cell r="AM37">
            <v>148.90000000000018</v>
          </cell>
          <cell r="AN37">
            <v>206.89999999999992</v>
          </cell>
          <cell r="AO37">
            <v>221.2</v>
          </cell>
          <cell r="AP37">
            <v>184.29999999999964</v>
          </cell>
          <cell r="AQ37">
            <v>850.3</v>
          </cell>
          <cell r="AS37">
            <v>232.3</v>
          </cell>
          <cell r="AT37">
            <v>237.3</v>
          </cell>
          <cell r="AU37">
            <v>268.5</v>
          </cell>
          <cell r="AV37">
            <v>297.5</v>
          </cell>
          <cell r="AW37">
            <v>1035.5999999999999</v>
          </cell>
          <cell r="AY37">
            <v>252.2</v>
          </cell>
          <cell r="AZ37">
            <v>523.4</v>
          </cell>
          <cell r="BA37">
            <v>265.39999999999998</v>
          </cell>
          <cell r="BB37">
            <v>288.89999999999998</v>
          </cell>
          <cell r="BC37">
            <v>1329.9</v>
          </cell>
          <cell r="BE37">
            <v>277.3</v>
          </cell>
          <cell r="BF37">
            <v>233.8</v>
          </cell>
          <cell r="BG37">
            <v>212.85862520102259</v>
          </cell>
          <cell r="BH37">
            <v>239.22105982711761</v>
          </cell>
          <cell r="BI37">
            <v>890.07968502813981</v>
          </cell>
          <cell r="BK37">
            <v>269.7712188161243</v>
          </cell>
          <cell r="BL37">
            <v>288.81183933377503</v>
          </cell>
          <cell r="BM37">
            <v>266.4234895272071</v>
          </cell>
          <cell r="BN37">
            <v>297.40716236574616</v>
          </cell>
          <cell r="BO37">
            <v>1122.4137100428525</v>
          </cell>
          <cell r="BQ37">
            <v>315.39337341216122</v>
          </cell>
          <cell r="BR37">
            <v>336.32563403991065</v>
          </cell>
          <cell r="BS37">
            <v>311.38020679108035</v>
          </cell>
          <cell r="BT37">
            <v>349.27155997817687</v>
          </cell>
          <cell r="BU37">
            <v>1312.3707742213285</v>
          </cell>
          <cell r="BW37">
            <v>361.85179681386984</v>
          </cell>
          <cell r="BX37">
            <v>390.44647690409539</v>
          </cell>
          <cell r="BY37">
            <v>359.54125714897026</v>
          </cell>
          <cell r="BZ37">
            <v>399.31496353693927</v>
          </cell>
          <cell r="CA37">
            <v>1511.1544944038749</v>
          </cell>
        </row>
        <row r="39">
          <cell r="C39" t="str">
            <v>Diluted EPS (GAAP)</v>
          </cell>
          <cell r="I39">
            <v>0.23332901950634144</v>
          </cell>
          <cell r="J39">
            <v>0.29661449322957278</v>
          </cell>
          <cell r="K39">
            <v>0.25754061726158067</v>
          </cell>
          <cell r="L39">
            <v>0.51972008244313828</v>
          </cell>
          <cell r="M39">
            <v>1.0869178780847191</v>
          </cell>
          <cell r="O39">
            <v>0.27435804042979406</v>
          </cell>
          <cell r="P39">
            <v>0.1688530165555269</v>
          </cell>
          <cell r="Q39">
            <v>0.17719081112083823</v>
          </cell>
          <cell r="R39">
            <v>0.31348309201981889</v>
          </cell>
          <cell r="S39">
            <v>0.93436921625316127</v>
          </cell>
          <cell r="U39">
            <v>0.21350804278305516</v>
          </cell>
          <cell r="V39">
            <v>0.2300042894340969</v>
          </cell>
          <cell r="W39">
            <v>0.23355800716571803</v>
          </cell>
          <cell r="X39">
            <v>-0.17229183222819441</v>
          </cell>
          <cell r="Y39">
            <v>0.8184728386818021</v>
          </cell>
          <cell r="AA39">
            <v>0.17773747449558019</v>
          </cell>
          <cell r="AB39">
            <v>0.28980963045912689</v>
          </cell>
          <cell r="AC39">
            <v>0.31370353784146898</v>
          </cell>
          <cell r="AD39">
            <v>0.36532788745178107</v>
          </cell>
          <cell r="AE39">
            <v>1.6867252648185711</v>
          </cell>
          <cell r="AG39">
            <v>0.39935809261806504</v>
          </cell>
          <cell r="AH39">
            <v>0.45722781335773188</v>
          </cell>
          <cell r="AI39">
            <v>0.37286202964652243</v>
          </cell>
          <cell r="AJ39">
            <v>0.47075339260645738</v>
          </cell>
          <cell r="AK39">
            <v>2.2559797608095673</v>
          </cell>
          <cell r="AM39">
            <v>0.3501058076651779</v>
          </cell>
          <cell r="AN39">
            <v>0.4883172055699786</v>
          </cell>
          <cell r="AO39">
            <v>0.52641599238457881</v>
          </cell>
          <cell r="AP39">
            <v>0.43652297489341463</v>
          </cell>
          <cell r="AQ39">
            <v>2.0108785621378735</v>
          </cell>
          <cell r="AS39">
            <v>0.55547584887613588</v>
          </cell>
          <cell r="AT39">
            <v>0.57056984852127923</v>
          </cell>
          <cell r="AU39">
            <v>0.66378244746600745</v>
          </cell>
          <cell r="AV39">
            <v>0.74598796389167499</v>
          </cell>
          <cell r="AW39">
            <v>2.5298644192011728</v>
          </cell>
          <cell r="AY39">
            <v>0.63912823112012163</v>
          </cell>
          <cell r="AZ39">
            <v>1.3563099248509978</v>
          </cell>
          <cell r="BA39">
            <v>0.69349359811863076</v>
          </cell>
          <cell r="BB39">
            <v>0.76855546687948917</v>
          </cell>
          <cell r="BC39">
            <v>3.4563056331622382</v>
          </cell>
          <cell r="BE39">
            <v>0.74925695757903266</v>
          </cell>
          <cell r="BF39">
            <v>0.6332611050920911</v>
          </cell>
          <cell r="BG39">
            <v>0.58809622730925837</v>
          </cell>
          <cell r="BH39">
            <v>0.67445021684142725</v>
          </cell>
          <cell r="BI39">
            <v>2.4453818618312431</v>
          </cell>
          <cell r="BK39">
            <v>0.76391600156204775</v>
          </cell>
          <cell r="BL39">
            <v>0.82641113928189824</v>
          </cell>
          <cell r="BM39">
            <v>0.77042902117396117</v>
          </cell>
          <cell r="BN39">
            <v>0.86923917126965355</v>
          </cell>
          <cell r="BO39">
            <v>3.2446732338564988</v>
          </cell>
          <cell r="BQ39">
            <v>0.93159067877915591</v>
          </cell>
          <cell r="BR39">
            <v>1.0050894922438118</v>
          </cell>
          <cell r="BS39">
            <v>0.94160314060598282</v>
          </cell>
          <cell r="BT39">
            <v>1.0688915047519578</v>
          </cell>
          <cell r="BU39">
            <v>3.9451161936926327</v>
          </cell>
          <cell r="BW39">
            <v>1.1206801688714516</v>
          </cell>
          <cell r="BX39">
            <v>1.225165941178423</v>
          </cell>
          <cell r="BY39">
            <v>1.1432466321827019</v>
          </cell>
          <cell r="BZ39">
            <v>1.286891512890914</v>
          </cell>
          <cell r="CA39">
            <v>4.7732219344284141</v>
          </cell>
        </row>
        <row r="40">
          <cell r="C40" t="str">
            <v>Diluted EPS (non-GAAP)</v>
          </cell>
          <cell r="I40">
            <v>0.27429468928680684</v>
          </cell>
          <cell r="J40">
            <v>0.33449252584725625</v>
          </cell>
          <cell r="K40">
            <v>0.32466630428217613</v>
          </cell>
          <cell r="L40">
            <v>0.60728855706268992</v>
          </cell>
          <cell r="M40">
            <v>1.2803132885153417</v>
          </cell>
          <cell r="O40">
            <v>0.28535178777393294</v>
          </cell>
          <cell r="P40">
            <v>0.33677076121415267</v>
          </cell>
          <cell r="Q40">
            <v>0.37394874271742112</v>
          </cell>
          <cell r="R40">
            <v>0.46353239694069048</v>
          </cell>
          <cell r="S40">
            <v>1.4606070136813973</v>
          </cell>
          <cell r="U40">
            <v>0.38810770023116331</v>
          </cell>
          <cell r="V40">
            <v>0.42152450112673179</v>
          </cell>
          <cell r="W40">
            <v>0.44055599065126633</v>
          </cell>
          <cell r="X40">
            <v>0.57053470745474411</v>
          </cell>
          <cell r="Y40">
            <v>1.8632899956793285</v>
          </cell>
          <cell r="AA40">
            <v>0.5928360915892098</v>
          </cell>
          <cell r="AB40">
            <v>0.65195968645016833</v>
          </cell>
          <cell r="AC40">
            <v>0.6522615315718765</v>
          </cell>
          <cell r="AD40">
            <v>0.7567506240072609</v>
          </cell>
          <cell r="AE40">
            <v>2.5731350011268885</v>
          </cell>
          <cell r="AG40">
            <v>0.7377349839523154</v>
          </cell>
          <cell r="AH40">
            <v>0.79368709972552687</v>
          </cell>
          <cell r="AI40">
            <v>0.7562143671607755</v>
          </cell>
          <cell r="AJ40">
            <v>0.87716424894712186</v>
          </cell>
          <cell r="AK40">
            <v>3.0588776448941988</v>
          </cell>
          <cell r="AM40">
            <v>0.61556548318833804</v>
          </cell>
          <cell r="AN40">
            <v>0.74132641019589307</v>
          </cell>
          <cell r="AO40">
            <v>0.78343645882912893</v>
          </cell>
          <cell r="AP40">
            <v>0.91331122690667854</v>
          </cell>
          <cell r="AQ40">
            <v>2.9584959205392014</v>
          </cell>
          <cell r="AS40">
            <v>0.81635581061692997</v>
          </cell>
          <cell r="AT40">
            <v>0.81341668670353495</v>
          </cell>
          <cell r="AU40">
            <v>0.86922126081582174</v>
          </cell>
          <cell r="AV40">
            <v>0.96389167502507467</v>
          </cell>
          <cell r="AW40">
            <v>3.4584096738732146</v>
          </cell>
          <cell r="AY40">
            <v>0.91966548403446491</v>
          </cell>
          <cell r="AZ40">
            <v>0.99248509976677823</v>
          </cell>
          <cell r="BA40">
            <v>1.069244839299712</v>
          </cell>
          <cell r="BB40">
            <v>1.1827613727055071</v>
          </cell>
          <cell r="BC40">
            <v>4.1574946397245078</v>
          </cell>
          <cell r="BE40">
            <v>1.1686030802485812</v>
          </cell>
          <cell r="BF40">
            <v>1.2164138678223184</v>
          </cell>
          <cell r="BG40">
            <v>1.1669130805372372</v>
          </cell>
          <cell r="BH40">
            <v>1.2651060751943373</v>
          </cell>
          <cell r="BI40">
            <v>4.8152667491028165</v>
          </cell>
          <cell r="BK40">
            <v>1.2929517067723444</v>
          </cell>
          <cell r="BL40">
            <v>1.360995391272724</v>
          </cell>
          <cell r="BM40">
            <v>1.3106794402952326</v>
          </cell>
          <cell r="BN40">
            <v>1.4152771579834427</v>
          </cell>
          <cell r="BO40">
            <v>5.4049678613770302</v>
          </cell>
          <cell r="BQ40">
            <v>1.4564706463830435</v>
          </cell>
          <cell r="BR40">
            <v>1.5361355520589581</v>
          </cell>
          <cell r="BS40">
            <v>1.4789618886459568</v>
          </cell>
          <cell r="BT40">
            <v>1.612714827802626</v>
          </cell>
          <cell r="BU40">
            <v>6.0818512121484787</v>
          </cell>
          <cell r="BW40">
            <v>1.6559312078066957</v>
          </cell>
          <cell r="BX40">
            <v>1.7674664005475826</v>
          </cell>
          <cell r="BY40">
            <v>1.6927846762272845</v>
          </cell>
          <cell r="BZ40">
            <v>1.8438629415230847</v>
          </cell>
          <cell r="CA40">
            <v>6.9568029881790103</v>
          </cell>
        </row>
        <row r="42">
          <cell r="C42" t="str">
            <v>Average basic shares</v>
          </cell>
          <cell r="I42">
            <v>165.20599999999999</v>
          </cell>
          <cell r="J42">
            <v>165.571</v>
          </cell>
          <cell r="K42">
            <v>161.51400000000001</v>
          </cell>
          <cell r="L42">
            <v>160.239</v>
          </cell>
          <cell r="M42">
            <v>163.13300000000001</v>
          </cell>
          <cell r="O42">
            <v>160.95699999999999</v>
          </cell>
          <cell r="P42">
            <v>161.255</v>
          </cell>
          <cell r="Q42">
            <v>161.76400000000001</v>
          </cell>
          <cell r="R42">
            <v>162.34100000000001</v>
          </cell>
          <cell r="S42">
            <v>161.58699999999999</v>
          </cell>
          <cell r="U42">
            <v>163.04400000000001</v>
          </cell>
          <cell r="V42">
            <v>161.28899999999999</v>
          </cell>
          <cell r="W42">
            <v>157.70500000000001</v>
          </cell>
          <cell r="X42">
            <v>302.19</v>
          </cell>
          <cell r="Y42">
            <v>196.05699999999999</v>
          </cell>
          <cell r="AA42">
            <v>420.1</v>
          </cell>
          <cell r="AB42">
            <v>424</v>
          </cell>
          <cell r="AC42">
            <v>424.3</v>
          </cell>
          <cell r="AD42">
            <v>417.5</v>
          </cell>
          <cell r="AE42">
            <v>421.5</v>
          </cell>
          <cell r="AG42">
            <v>417.5</v>
          </cell>
          <cell r="AH42">
            <v>418</v>
          </cell>
          <cell r="AI42">
            <v>419</v>
          </cell>
          <cell r="AJ42">
            <v>418.4</v>
          </cell>
          <cell r="AK42">
            <v>418.2</v>
          </cell>
          <cell r="AM42">
            <v>417.7</v>
          </cell>
          <cell r="AN42">
            <v>415.3</v>
          </cell>
          <cell r="AO42">
            <v>407.9</v>
          </cell>
          <cell r="AP42">
            <v>408.7</v>
          </cell>
          <cell r="AQ42">
            <v>412.40000000000003</v>
          </cell>
          <cell r="AS42">
            <v>409.6</v>
          </cell>
          <cell r="AT42">
            <v>409.3</v>
          </cell>
          <cell r="AU42">
            <v>400.7</v>
          </cell>
          <cell r="AV42">
            <v>393.5</v>
          </cell>
          <cell r="AW42">
            <v>403.27500000000003</v>
          </cell>
          <cell r="AY42">
            <v>388.6</v>
          </cell>
          <cell r="AZ42">
            <v>381.9</v>
          </cell>
          <cell r="BA42">
            <v>379.5</v>
          </cell>
          <cell r="BB42">
            <v>373.4</v>
          </cell>
          <cell r="BC42">
            <v>380.85</v>
          </cell>
          <cell r="BE42">
            <v>367.3</v>
          </cell>
          <cell r="BF42">
            <v>367</v>
          </cell>
          <cell r="BG42">
            <v>359.78846153846155</v>
          </cell>
          <cell r="BH42">
            <v>352.57692307692309</v>
          </cell>
          <cell r="BI42">
            <v>361.66634615384618</v>
          </cell>
          <cell r="BK42">
            <v>348.95505535128734</v>
          </cell>
          <cell r="BL42">
            <v>345.33318762565159</v>
          </cell>
          <cell r="BM42">
            <v>341.71131990001584</v>
          </cell>
          <cell r="BN42">
            <v>338.08945217438009</v>
          </cell>
          <cell r="BO42">
            <v>343.52225376283371</v>
          </cell>
          <cell r="BQ42">
            <v>334.20887961119894</v>
          </cell>
          <cell r="BR42">
            <v>330.32830704801779</v>
          </cell>
          <cell r="BS42">
            <v>326.44773448483664</v>
          </cell>
          <cell r="BT42">
            <v>322.5671619216555</v>
          </cell>
          <cell r="BU42">
            <v>328.38802076642725</v>
          </cell>
          <cell r="BW42">
            <v>318.42788452092896</v>
          </cell>
          <cell r="BX42">
            <v>314.28860712020241</v>
          </cell>
          <cell r="BY42">
            <v>310.14932971947587</v>
          </cell>
          <cell r="BZ42">
            <v>306.01005231874933</v>
          </cell>
          <cell r="CA42">
            <v>312.21896841983914</v>
          </cell>
        </row>
        <row r="43">
          <cell r="C43" t="str">
            <v>Convert</v>
          </cell>
          <cell r="Y43">
            <v>3.2</v>
          </cell>
          <cell r="AE43">
            <v>13.8</v>
          </cell>
          <cell r="AG43">
            <v>14.6</v>
          </cell>
          <cell r="AH43">
            <v>15.5</v>
          </cell>
          <cell r="AI43">
            <v>15.8</v>
          </cell>
          <cell r="AJ43">
            <v>7.2999999999999972</v>
          </cell>
          <cell r="AK43">
            <v>13.3</v>
          </cell>
          <cell r="AM43">
            <v>6.4</v>
          </cell>
          <cell r="AN43">
            <v>7</v>
          </cell>
          <cell r="AO43">
            <v>10.199999999999999</v>
          </cell>
          <cell r="AP43">
            <v>10.086956521739131</v>
          </cell>
          <cell r="AQ43">
            <v>8.4217391304347835</v>
          </cell>
          <cell r="AS43">
            <v>5</v>
          </cell>
          <cell r="AT43">
            <v>5.05</v>
          </cell>
          <cell r="AU43">
            <v>3</v>
          </cell>
          <cell r="AV43">
            <v>3.05</v>
          </cell>
          <cell r="AW43">
            <v>4.0250000000000004</v>
          </cell>
          <cell r="BA43">
            <v>171.79999999999981</v>
          </cell>
          <cell r="BB43">
            <v>212.10000000000008</v>
          </cell>
          <cell r="BI43">
            <v>-0.10317687395983843</v>
          </cell>
        </row>
        <row r="44">
          <cell r="C44" t="str">
            <v>Stock Options</v>
          </cell>
          <cell r="Y44">
            <v>4.4000000000000004</v>
          </cell>
          <cell r="AE44">
            <v>8.4</v>
          </cell>
          <cell r="AG44">
            <v>4</v>
          </cell>
          <cell r="AH44">
            <v>3.6</v>
          </cell>
          <cell r="AI44">
            <v>3.5</v>
          </cell>
          <cell r="AJ44">
            <v>2.0999999999999996</v>
          </cell>
          <cell r="AK44">
            <v>3.3</v>
          </cell>
          <cell r="AM44">
            <v>1.2</v>
          </cell>
          <cell r="AN44">
            <v>1.4</v>
          </cell>
          <cell r="AO44">
            <v>2.1</v>
          </cell>
          <cell r="AP44">
            <v>2.2000000000000002</v>
          </cell>
          <cell r="AQ44">
            <v>1.7249999999999999</v>
          </cell>
          <cell r="AS44">
            <v>2.95</v>
          </cell>
          <cell r="AT44">
            <v>3.7</v>
          </cell>
          <cell r="AU44">
            <v>4.45</v>
          </cell>
          <cell r="AV44">
            <v>5.2</v>
          </cell>
          <cell r="AW44">
            <v>4.0750000000000002</v>
          </cell>
        </row>
        <row r="45">
          <cell r="C45" t="str">
            <v>Average Share Price in the quarter</v>
          </cell>
          <cell r="AS45">
            <v>48.734999999999999</v>
          </cell>
          <cell r="AT45">
            <v>52.466718749999998</v>
          </cell>
          <cell r="AU45">
            <v>46.530769230769231</v>
          </cell>
          <cell r="AV45">
            <v>50</v>
          </cell>
        </row>
        <row r="46">
          <cell r="C46" t="str">
            <v>Average diluted shares</v>
          </cell>
          <cell r="I46">
            <v>169.99600000000001</v>
          </cell>
          <cell r="J46">
            <v>170.52099999999999</v>
          </cell>
          <cell r="K46">
            <v>165.57</v>
          </cell>
          <cell r="L46">
            <v>164.477</v>
          </cell>
          <cell r="M46">
            <v>167.64099999999999</v>
          </cell>
          <cell r="O46">
            <v>164.73</v>
          </cell>
          <cell r="P46">
            <v>164.65799999999999</v>
          </cell>
          <cell r="Q46">
            <v>165.63499999999999</v>
          </cell>
          <cell r="R46">
            <v>166.31200000000001</v>
          </cell>
          <cell r="S46">
            <v>165.334</v>
          </cell>
          <cell r="U46">
            <v>166.982</v>
          </cell>
          <cell r="V46">
            <v>165.523</v>
          </cell>
          <cell r="W46">
            <v>162.161</v>
          </cell>
          <cell r="X46">
            <v>318.36099999999999</v>
          </cell>
          <cell r="Y46">
            <v>203.672</v>
          </cell>
          <cell r="AA46">
            <v>441.1</v>
          </cell>
          <cell r="AB46">
            <v>446.5</v>
          </cell>
          <cell r="AC46">
            <v>446.6</v>
          </cell>
          <cell r="AD46">
            <v>440.7</v>
          </cell>
          <cell r="AE46">
            <v>443.7</v>
          </cell>
          <cell r="AG46">
            <v>436.2</v>
          </cell>
          <cell r="AH46">
            <v>437.2</v>
          </cell>
          <cell r="AI46">
            <v>438.5</v>
          </cell>
          <cell r="AJ46">
            <v>427.4</v>
          </cell>
          <cell r="AK46">
            <v>434.8</v>
          </cell>
          <cell r="AM46">
            <v>425.3</v>
          </cell>
          <cell r="AN46">
            <v>423.7</v>
          </cell>
          <cell r="AO46">
            <v>420.2</v>
          </cell>
          <cell r="AP46">
            <v>422.2</v>
          </cell>
          <cell r="AQ46">
            <v>422.85</v>
          </cell>
          <cell r="AS46">
            <v>418.2</v>
          </cell>
          <cell r="AT46">
            <v>415.9</v>
          </cell>
          <cell r="AU46">
            <v>404.5</v>
          </cell>
          <cell r="AV46">
            <v>398.8</v>
          </cell>
          <cell r="AW46">
            <v>409.34999999999997</v>
          </cell>
          <cell r="AY46">
            <v>394.6</v>
          </cell>
          <cell r="AZ46">
            <v>385.9</v>
          </cell>
          <cell r="BA46">
            <v>382.7</v>
          </cell>
          <cell r="BB46">
            <v>375.9</v>
          </cell>
          <cell r="BC46">
            <v>384.77499999999998</v>
          </cell>
          <cell r="BE46">
            <v>370.1</v>
          </cell>
          <cell r="BF46">
            <v>369.2</v>
          </cell>
          <cell r="BG46">
            <v>361.94523160762941</v>
          </cell>
          <cell r="BH46">
            <v>354.69046321525889</v>
          </cell>
          <cell r="BI46">
            <v>363.98392370572208</v>
          </cell>
          <cell r="BK46">
            <v>353.14251601550279</v>
          </cell>
          <cell r="BL46">
            <v>349.4771858771594</v>
          </cell>
          <cell r="BM46">
            <v>345.81185573881601</v>
          </cell>
          <cell r="BN46">
            <v>342.14652560047267</v>
          </cell>
          <cell r="BO46">
            <v>345.92503748329472</v>
          </cell>
          <cell r="BQ46">
            <v>338.55359504614449</v>
          </cell>
          <cell r="BR46">
            <v>334.62257503964202</v>
          </cell>
          <cell r="BS46">
            <v>330.69155503313948</v>
          </cell>
          <cell r="BT46">
            <v>326.760535026637</v>
          </cell>
          <cell r="BU46">
            <v>332.65706503639075</v>
          </cell>
          <cell r="BW46">
            <v>322.88587490422191</v>
          </cell>
          <cell r="BX46">
            <v>318.68864761988516</v>
          </cell>
          <cell r="BY46">
            <v>314.49142033554847</v>
          </cell>
          <cell r="BZ46">
            <v>310.29419305121178</v>
          </cell>
          <cell r="CA46">
            <v>316.59003397771681</v>
          </cell>
        </row>
        <row r="47">
          <cell r="C47" t="str">
            <v>Dilution ratio</v>
          </cell>
          <cell r="I47">
            <v>1.0289941043303514</v>
          </cell>
          <cell r="J47">
            <v>1.0298965398529936</v>
          </cell>
          <cell r="K47">
            <v>1.0251123741595154</v>
          </cell>
          <cell r="L47">
            <v>1.0264479933099933</v>
          </cell>
          <cell r="M47">
            <v>1.0276338938167016</v>
          </cell>
          <cell r="O47">
            <v>1.0234410432600012</v>
          </cell>
          <cell r="P47">
            <v>1.0211032216055316</v>
          </cell>
          <cell r="Q47">
            <v>1.0239299226032985</v>
          </cell>
          <cell r="R47">
            <v>1.0244608570847784</v>
          </cell>
          <cell r="S47">
            <v>1.0231887466194682</v>
          </cell>
          <cell r="U47">
            <v>1.0241529893771006</v>
          </cell>
          <cell r="V47">
            <v>1.0262510152583251</v>
          </cell>
          <cell r="W47">
            <v>1.0282552867696013</v>
          </cell>
          <cell r="X47">
            <v>1.0535126906912868</v>
          </cell>
          <cell r="Y47">
            <v>1.0388407452934607</v>
          </cell>
          <cell r="AA47">
            <v>1.0499880980718876</v>
          </cell>
          <cell r="AB47">
            <v>1.0530660377358489</v>
          </cell>
          <cell r="AC47">
            <v>1.0525571529578128</v>
          </cell>
          <cell r="AD47">
            <v>1.0555688622754491</v>
          </cell>
          <cell r="AE47">
            <v>1.0526690391459075</v>
          </cell>
          <cell r="AG47">
            <v>1.0447904191616766</v>
          </cell>
          <cell r="AH47">
            <v>1.045933014354067</v>
          </cell>
          <cell r="AI47">
            <v>1.0465393794749402</v>
          </cell>
          <cell r="AJ47">
            <v>1.0215105162523901</v>
          </cell>
          <cell r="AK47">
            <v>1.0396939263510283</v>
          </cell>
          <cell r="AM47">
            <v>1.0181948767057698</v>
          </cell>
          <cell r="AN47">
            <v>1.020226342403082</v>
          </cell>
          <cell r="AO47">
            <v>1.030154449620005</v>
          </cell>
          <cell r="AP47">
            <v>1.0330315634940055</v>
          </cell>
          <cell r="AQ47">
            <v>1.0253394762366634</v>
          </cell>
          <cell r="AS47">
            <v>1.02099609375</v>
          </cell>
          <cell r="AT47">
            <v>1.0161250916198388</v>
          </cell>
          <cell r="AU47">
            <v>1.0094834040429248</v>
          </cell>
          <cell r="AV47">
            <v>1.013468869123253</v>
          </cell>
          <cell r="AW47">
            <v>1.0150641621722147</v>
          </cell>
          <cell r="AY47">
            <v>1.0154400411734432</v>
          </cell>
          <cell r="AZ47">
            <v>1.0104739460591778</v>
          </cell>
          <cell r="BA47">
            <v>1.0084321475625824</v>
          </cell>
          <cell r="BB47">
            <v>1.0066952329941081</v>
          </cell>
          <cell r="BC47">
            <v>1.010305894709203</v>
          </cell>
          <cell r="BE47">
            <v>1.0076231962973048</v>
          </cell>
          <cell r="BF47">
            <v>1.0059945504087193</v>
          </cell>
          <cell r="BG47">
            <v>1.0059945504087193</v>
          </cell>
          <cell r="BH47">
            <v>1.0059945504087193</v>
          </cell>
          <cell r="BI47">
            <v>1.0175000000000001</v>
          </cell>
          <cell r="BK47">
            <v>1.012</v>
          </cell>
          <cell r="BL47">
            <v>1.012</v>
          </cell>
          <cell r="BM47">
            <v>1.012</v>
          </cell>
          <cell r="BN47">
            <v>1.012</v>
          </cell>
          <cell r="BO47">
            <v>1.0069945504087192</v>
          </cell>
          <cell r="BQ47">
            <v>1.0129999999999999</v>
          </cell>
          <cell r="BR47">
            <v>1.0129999999999999</v>
          </cell>
          <cell r="BS47">
            <v>1.0129999999999999</v>
          </cell>
          <cell r="BT47">
            <v>1.0129999999999999</v>
          </cell>
          <cell r="BU47">
            <v>1.0129999999999999</v>
          </cell>
          <cell r="BW47">
            <v>1.0139999999999998</v>
          </cell>
          <cell r="BX47">
            <v>1.0139999999999998</v>
          </cell>
          <cell r="BY47">
            <v>1.0139999999999998</v>
          </cell>
          <cell r="BZ47">
            <v>1.0139999999999998</v>
          </cell>
          <cell r="CA47">
            <v>1.0139999999999998</v>
          </cell>
        </row>
        <row r="49">
          <cell r="C49" t="str">
            <v>Margins</v>
          </cell>
        </row>
        <row r="50">
          <cell r="C50" t="str">
            <v>COGS</v>
          </cell>
          <cell r="I50">
            <v>0.54124700970607509</v>
          </cell>
          <cell r="J50">
            <v>0.54524860605852932</v>
          </cell>
          <cell r="K50">
            <v>0.53725233489761492</v>
          </cell>
          <cell r="L50">
            <v>0.53686460505527933</v>
          </cell>
          <cell r="M50">
            <v>0.53860276201895285</v>
          </cell>
          <cell r="O50">
            <v>0.54596143116693607</v>
          </cell>
          <cell r="P50">
            <v>0.55053616698361896</v>
          </cell>
          <cell r="Q50">
            <v>0.55514703176722191</v>
          </cell>
          <cell r="R50">
            <v>0.54441155149860887</v>
          </cell>
          <cell r="S50">
            <v>0.54903121008633782</v>
          </cell>
          <cell r="U50">
            <v>0.54313906299549752</v>
          </cell>
          <cell r="V50">
            <v>0.54341610275443331</v>
          </cell>
          <cell r="W50">
            <v>0.53256998297841818</v>
          </cell>
          <cell r="X50">
            <v>0.56944754029600342</v>
          </cell>
          <cell r="Y50">
            <v>0.56331634278432619</v>
          </cell>
          <cell r="AA50">
            <v>0.59520143700282258</v>
          </cell>
          <cell r="AB50">
            <v>0.59009178926191364</v>
          </cell>
          <cell r="AC50">
            <v>0.59216225220722973</v>
          </cell>
          <cell r="AD50">
            <v>0.59120216702910988</v>
          </cell>
          <cell r="AE50">
            <v>0.59580922595777952</v>
          </cell>
          <cell r="AG50">
            <v>0.58860610806577929</v>
          </cell>
          <cell r="AH50">
            <v>0.58702391496899897</v>
          </cell>
          <cell r="AI50">
            <v>0.58853985549244614</v>
          </cell>
          <cell r="AJ50">
            <v>0.58508105656955001</v>
          </cell>
          <cell r="AK50">
            <v>0.59150409184346286</v>
          </cell>
          <cell r="AM50">
            <v>0.59349917963726662</v>
          </cell>
          <cell r="AN50">
            <v>0.58963004709955313</v>
          </cell>
          <cell r="AO50">
            <v>0.58800521512385917</v>
          </cell>
          <cell r="AP50">
            <v>0.58540536733112625</v>
          </cell>
          <cell r="AQ50">
            <v>0.5940816820694943</v>
          </cell>
          <cell r="AS50">
            <v>0.57977083254025652</v>
          </cell>
          <cell r="AT50">
            <v>0.58238625418962131</v>
          </cell>
          <cell r="AU50">
            <v>0.58298778864077294</v>
          </cell>
          <cell r="AV50">
            <v>0.57398212512413116</v>
          </cell>
          <cell r="AW50">
            <v>0.57972413010160639</v>
          </cell>
          <cell r="AY50">
            <v>0.56885111459032289</v>
          </cell>
          <cell r="AZ50">
            <v>0.57210932025227745</v>
          </cell>
          <cell r="BA50">
            <v>0.5582529237273689</v>
          </cell>
          <cell r="BB50">
            <v>0.55070727996633539</v>
          </cell>
          <cell r="BC50">
            <v>0.5621171747932312</v>
          </cell>
          <cell r="BE50">
            <v>0.55057576550641196</v>
          </cell>
          <cell r="BF50">
            <v>0.55352144396898428</v>
          </cell>
          <cell r="BG50">
            <v>0.54975292372736895</v>
          </cell>
          <cell r="BH50">
            <v>0.54270727996633539</v>
          </cell>
          <cell r="BI50">
            <v>0.54915423590107204</v>
          </cell>
          <cell r="BK50">
            <v>0.54757576550641196</v>
          </cell>
          <cell r="BL50">
            <v>0.55102144396898434</v>
          </cell>
          <cell r="BM50">
            <v>0.54875292372736895</v>
          </cell>
          <cell r="BN50">
            <v>0.54120727996633544</v>
          </cell>
          <cell r="BO50">
            <v>0.54715475614173059</v>
          </cell>
          <cell r="BQ50">
            <v>0.54357576550641196</v>
          </cell>
          <cell r="BR50">
            <v>0.54702144396898433</v>
          </cell>
          <cell r="BS50">
            <v>0.54475292372736894</v>
          </cell>
          <cell r="BT50">
            <v>0.53720727996633544</v>
          </cell>
          <cell r="BU50">
            <v>0.54315003182161958</v>
          </cell>
          <cell r="BW50">
            <v>0.53957576550641195</v>
          </cell>
          <cell r="BX50">
            <v>0.54302144396898433</v>
          </cell>
          <cell r="BY50">
            <v>0.54075292372736894</v>
          </cell>
          <cell r="BZ50">
            <v>0.53320727996633543</v>
          </cell>
          <cell r="CA50">
            <v>0.53914494889113185</v>
          </cell>
        </row>
        <row r="51">
          <cell r="C51" t="str">
            <v>Gross Margin</v>
          </cell>
          <cell r="I51">
            <v>0.45875299029392491</v>
          </cell>
          <cell r="J51">
            <v>0.45475139394147063</v>
          </cell>
          <cell r="K51">
            <v>0.46274766510238508</v>
          </cell>
          <cell r="L51">
            <v>0.46313539494472061</v>
          </cell>
          <cell r="M51">
            <v>0.4613972379810472</v>
          </cell>
          <cell r="O51">
            <v>0.45403856883306393</v>
          </cell>
          <cell r="P51">
            <v>0.44946383301638104</v>
          </cell>
          <cell r="Q51">
            <v>0.44485296823277815</v>
          </cell>
          <cell r="R51">
            <v>0.45558844850139119</v>
          </cell>
          <cell r="S51">
            <v>0.45096878991366218</v>
          </cell>
          <cell r="U51">
            <v>0.45686093700450253</v>
          </cell>
          <cell r="V51">
            <v>0.45658389724556675</v>
          </cell>
          <cell r="W51">
            <v>0.46743001702158177</v>
          </cell>
          <cell r="X51">
            <v>0.43055245970399658</v>
          </cell>
          <cell r="Y51">
            <v>0.43668365721567376</v>
          </cell>
          <cell r="AA51">
            <v>0.40479856299717748</v>
          </cell>
          <cell r="AB51">
            <v>0.40990821073808631</v>
          </cell>
          <cell r="AC51">
            <v>0.40783774779277027</v>
          </cell>
          <cell r="AD51">
            <v>0.40879783297089012</v>
          </cell>
          <cell r="AE51">
            <v>0.40419077404222048</v>
          </cell>
          <cell r="AG51">
            <v>0.41139389193422077</v>
          </cell>
          <cell r="AH51">
            <v>0.41297608503100097</v>
          </cell>
          <cell r="AI51">
            <v>0.41146014450755386</v>
          </cell>
          <cell r="AJ51">
            <v>0.41491894343044999</v>
          </cell>
          <cell r="AK51">
            <v>0.40849590815653719</v>
          </cell>
          <cell r="AM51">
            <v>0.40650082036273344</v>
          </cell>
          <cell r="AN51">
            <v>0.41036995290044687</v>
          </cell>
          <cell r="AO51">
            <v>0.41199478487614083</v>
          </cell>
          <cell r="AP51">
            <v>0.4145946326688737</v>
          </cell>
          <cell r="AQ51">
            <v>0.4059183179305057</v>
          </cell>
          <cell r="AS51">
            <v>0.42022916745974354</v>
          </cell>
          <cell r="AT51">
            <v>0.41761374581037874</v>
          </cell>
          <cell r="AU51">
            <v>0.41701221135922706</v>
          </cell>
          <cell r="AV51">
            <v>0.4260178748758689</v>
          </cell>
          <cell r="AW51">
            <v>0.42027586989839361</v>
          </cell>
          <cell r="AY51">
            <v>0.43114888540967716</v>
          </cell>
          <cell r="AZ51">
            <v>0.42789067974772249</v>
          </cell>
          <cell r="BA51">
            <v>0.44174707627263116</v>
          </cell>
          <cell r="BB51">
            <v>0.44929272003366455</v>
          </cell>
          <cell r="BC51">
            <v>0.4378828252067688</v>
          </cell>
          <cell r="BE51">
            <v>0.44942423449358804</v>
          </cell>
          <cell r="BF51">
            <v>0.44647855603101577</v>
          </cell>
          <cell r="BG51">
            <v>0.45024707627263105</v>
          </cell>
          <cell r="BH51">
            <v>0.45729272003366461</v>
          </cell>
          <cell r="BI51">
            <v>0.45084576409892801</v>
          </cell>
          <cell r="BK51">
            <v>0.45242423449358798</v>
          </cell>
          <cell r="BL51">
            <v>0.44897855603101566</v>
          </cell>
          <cell r="BM51">
            <v>0.45124707627263105</v>
          </cell>
          <cell r="BN51">
            <v>0.45879272003366456</v>
          </cell>
          <cell r="BO51">
            <v>0.45284524385826941</v>
          </cell>
          <cell r="BQ51">
            <v>0.45642423449358804</v>
          </cell>
          <cell r="BR51">
            <v>0.45297855603101567</v>
          </cell>
          <cell r="BS51">
            <v>0.45524707627263106</v>
          </cell>
          <cell r="BT51">
            <v>0.46279272003366456</v>
          </cell>
          <cell r="BU51">
            <v>0.45684996817838042</v>
          </cell>
          <cell r="BW51">
            <v>0.46042423449358805</v>
          </cell>
          <cell r="BX51">
            <v>0.45697855603101567</v>
          </cell>
          <cell r="BY51">
            <v>0.45924707627263106</v>
          </cell>
          <cell r="BZ51">
            <v>0.46679272003366462</v>
          </cell>
          <cell r="CA51">
            <v>0.4608550511088681</v>
          </cell>
        </row>
        <row r="52">
          <cell r="C52" t="str">
            <v>Incremental Gross Margin</v>
          </cell>
          <cell r="AG52">
            <v>0.48285449490268534</v>
          </cell>
          <cell r="AH52">
            <v>0.43558850787766484</v>
          </cell>
          <cell r="AI52">
            <v>0.4579989299090429</v>
          </cell>
          <cell r="AJ52">
            <v>1.0515873015873001</v>
          </cell>
          <cell r="AK52">
            <v>0.46579714166782221</v>
          </cell>
          <cell r="AM52">
            <v>0.44831047172967448</v>
          </cell>
          <cell r="AN52">
            <v>0.44168514412416926</v>
          </cell>
          <cell r="AO52">
            <v>0.38771929824561735</v>
          </cell>
          <cell r="AP52">
            <v>0.41015018125323732</v>
          </cell>
          <cell r="AQ52">
            <v>0.47211155378485875</v>
          </cell>
        </row>
        <row r="53">
          <cell r="C53" t="str">
            <v>SG&amp;A</v>
          </cell>
          <cell r="I53">
            <v>0.27951248685794383</v>
          </cell>
          <cell r="J53">
            <v>0.26815455284413559</v>
          </cell>
          <cell r="K53">
            <v>0.27169818279044472</v>
          </cell>
          <cell r="L53">
            <v>0.27499311147668742</v>
          </cell>
          <cell r="M53">
            <v>0.27363026661438483</v>
          </cell>
          <cell r="O53">
            <v>0.27912154332556044</v>
          </cell>
          <cell r="P53">
            <v>0.26541986870066908</v>
          </cell>
          <cell r="Q53">
            <v>0.24838279038755626</v>
          </cell>
          <cell r="R53">
            <v>0.25084268487432959</v>
          </cell>
          <cell r="S53">
            <v>0.25983250456603751</v>
          </cell>
          <cell r="U53">
            <v>0.25849826169428908</v>
          </cell>
          <cell r="V53">
            <v>0.25406044840132985</v>
          </cell>
          <cell r="W53">
            <v>0.26419729585826568</v>
          </cell>
          <cell r="X53">
            <v>0.24151417101084549</v>
          </cell>
          <cell r="Y53">
            <v>0.24259318254221088</v>
          </cell>
          <cell r="AA53">
            <v>0.21862971516551191</v>
          </cell>
          <cell r="AB53">
            <v>0.21572572194978834</v>
          </cell>
          <cell r="AC53">
            <v>0.21480926203564885</v>
          </cell>
          <cell r="AD53">
            <v>0.21288771889664646</v>
          </cell>
          <cell r="AE53">
            <v>0.21283294240291895</v>
          </cell>
          <cell r="AG53">
            <v>0.2120595144870791</v>
          </cell>
          <cell r="AH53">
            <v>0.21331561854148212</v>
          </cell>
          <cell r="AI53">
            <v>0.21200880955140836</v>
          </cell>
          <cell r="AJ53">
            <v>0.20609908173676456</v>
          </cell>
          <cell r="AK53">
            <v>0.20835434200830005</v>
          </cell>
          <cell r="AM53">
            <v>0.22593233116048064</v>
          </cell>
          <cell r="AN53">
            <v>0.21846946580250395</v>
          </cell>
          <cell r="AO53">
            <v>0.21524238473391014</v>
          </cell>
          <cell r="AP53">
            <v>0.21064309361132633</v>
          </cell>
          <cell r="AQ53">
            <v>0.21490980265547438</v>
          </cell>
          <cell r="AS53">
            <v>0.2218965320339564</v>
          </cell>
          <cell r="AT53">
            <v>0.21843818623107447</v>
          </cell>
          <cell r="AU53">
            <v>0.21820671814965575</v>
          </cell>
          <cell r="AV53">
            <v>0.21847070506454816</v>
          </cell>
          <cell r="AW53">
            <v>0.219248453198615</v>
          </cell>
          <cell r="AY53">
            <v>0.22500559159024827</v>
          </cell>
          <cell r="AZ53">
            <v>0.21990189208128944</v>
          </cell>
          <cell r="BA53">
            <v>0.22571516246718265</v>
          </cell>
          <cell r="BB53">
            <v>0.22652380798239083</v>
          </cell>
          <cell r="BC53">
            <v>0.22433124545800603</v>
          </cell>
          <cell r="BE53">
            <v>0.23194190002617115</v>
          </cell>
          <cell r="BF53">
            <v>0.22631189472668189</v>
          </cell>
          <cell r="BG53">
            <v>0.22671516246718265</v>
          </cell>
          <cell r="BH53">
            <v>0.22752380798239083</v>
          </cell>
          <cell r="BI53">
            <v>0.2281266087802743</v>
          </cell>
          <cell r="BK53">
            <v>0.23194190002617115</v>
          </cell>
          <cell r="BL53">
            <v>0.22631189472668189</v>
          </cell>
          <cell r="BM53">
            <v>0.22671516246718265</v>
          </cell>
          <cell r="BN53">
            <v>0.22752380798239083</v>
          </cell>
          <cell r="BO53">
            <v>0.22812143406141577</v>
          </cell>
          <cell r="BQ53">
            <v>0.23119190002617115</v>
          </cell>
          <cell r="BR53">
            <v>0.22556189472668189</v>
          </cell>
          <cell r="BS53">
            <v>0.22596516246718265</v>
          </cell>
          <cell r="BT53">
            <v>0.22677380798239083</v>
          </cell>
          <cell r="BU53">
            <v>0.22736885115578828</v>
          </cell>
          <cell r="BW53">
            <v>0.23044190002617115</v>
          </cell>
          <cell r="BX53">
            <v>0.22481189472668189</v>
          </cell>
          <cell r="BY53">
            <v>0.22521516246718265</v>
          </cell>
          <cell r="BZ53">
            <v>0.22602380798239083</v>
          </cell>
          <cell r="CA53">
            <v>0.22662069007935556</v>
          </cell>
        </row>
        <row r="54">
          <cell r="C54" t="str">
            <v>R&amp;D</v>
          </cell>
          <cell r="I54">
            <v>6.5270307333648234E-2</v>
          </cell>
          <cell r="J54">
            <v>6.2043482978589748E-2</v>
          </cell>
          <cell r="K54">
            <v>6.0617906567216481E-2</v>
          </cell>
          <cell r="L54">
            <v>5.697501707864655E-2</v>
          </cell>
          <cell r="M54">
            <v>6.1051815620615624E-2</v>
          </cell>
          <cell r="O54">
            <v>6.4963305245990768E-2</v>
          </cell>
          <cell r="P54">
            <v>6.0328539015729307E-2</v>
          </cell>
          <cell r="Q54">
            <v>5.7084739575897353E-2</v>
          </cell>
          <cell r="R54">
            <v>5.1608627041241271E-2</v>
          </cell>
          <cell r="S54">
            <v>5.8022572499256561E-2</v>
          </cell>
          <cell r="U54">
            <v>5.6609288208017979E-2</v>
          </cell>
          <cell r="V54">
            <v>5.6933177101145392E-2</v>
          </cell>
          <cell r="W54">
            <v>5.3324174232580471E-2</v>
          </cell>
          <cell r="X54">
            <v>3.1259512253580202E-2</v>
          </cell>
          <cell r="Y54">
            <v>4.4573643410852709E-2</v>
          </cell>
          <cell r="AA54">
            <v>2.5575228808485156E-2</v>
          </cell>
          <cell r="AB54">
            <v>2.4602875225281866E-2</v>
          </cell>
          <cell r="AC54">
            <v>2.4487756121939031E-2</v>
          </cell>
          <cell r="AD54">
            <v>2.3425279462820952E-2</v>
          </cell>
          <cell r="AE54">
            <v>2.4706802189210321E-2</v>
          </cell>
          <cell r="AG54">
            <v>2.4275646045418951E-2</v>
          </cell>
          <cell r="AH54">
            <v>2.3767345733687627E-2</v>
          </cell>
          <cell r="AI54">
            <v>2.3878520922684589E-2</v>
          </cell>
          <cell r="AJ54">
            <v>2.301326380228999E-2</v>
          </cell>
          <cell r="AK54">
            <v>2.3969282085094828E-2</v>
          </cell>
          <cell r="AM54">
            <v>2.5808168152188369E-2</v>
          </cell>
          <cell r="AN54">
            <v>2.3388752465681738E-2</v>
          </cell>
          <cell r="AO54">
            <v>2.3902651021295091E-2</v>
          </cell>
          <cell r="AP54">
            <v>2.4406564767204337E-2</v>
          </cell>
          <cell r="AQ54">
            <v>2.4597441381815247E-2</v>
          </cell>
          <cell r="AS54">
            <v>2.5162739350565306E-2</v>
          </cell>
          <cell r="AT54">
            <v>2.6813576299264168E-2</v>
          </cell>
          <cell r="AU54">
            <v>2.7199756533647812E-2</v>
          </cell>
          <cell r="AV54">
            <v>2.8540954062304606E-2</v>
          </cell>
          <cell r="AW54">
            <v>2.6943671832131841E-2</v>
          </cell>
          <cell r="AY54">
            <v>2.7883396704689482E-2</v>
          </cell>
          <cell r="AZ54">
            <v>2.9187105816398037E-2</v>
          </cell>
          <cell r="BA54">
            <v>2.9595281121074703E-2</v>
          </cell>
          <cell r="BB54">
            <v>3.097789143171592E-2</v>
          </cell>
          <cell r="BC54">
            <v>2.9466726649825241E-2</v>
          </cell>
          <cell r="BE54">
            <v>3.0031405391258831E-2</v>
          </cell>
          <cell r="BF54">
            <v>3.0307905151056917E-2</v>
          </cell>
          <cell r="BG54">
            <v>2.9595281121074703E-2</v>
          </cell>
          <cell r="BH54">
            <v>3.097789143171592E-2</v>
          </cell>
          <cell r="BI54">
            <v>3.0233232023292336E-2</v>
          </cell>
          <cell r="BK54">
            <v>3.0031405391258831E-2</v>
          </cell>
          <cell r="BL54">
            <v>3.0307905151056917E-2</v>
          </cell>
          <cell r="BM54">
            <v>2.9595281121074703E-2</v>
          </cell>
          <cell r="BN54">
            <v>3.097789143171592E-2</v>
          </cell>
          <cell r="BO54">
            <v>3.0233636481205573E-2</v>
          </cell>
          <cell r="BQ54">
            <v>2.9281405391258831E-2</v>
          </cell>
          <cell r="BR54">
            <v>2.9557905151056916E-2</v>
          </cell>
          <cell r="BS54">
            <v>2.8845281121074703E-2</v>
          </cell>
          <cell r="BT54">
            <v>3.022789143171592E-2</v>
          </cell>
          <cell r="BU54">
            <v>2.9484487605261379E-2</v>
          </cell>
          <cell r="BW54">
            <v>2.853140539125883E-2</v>
          </cell>
          <cell r="BX54">
            <v>2.8807905151056915E-2</v>
          </cell>
          <cell r="BY54">
            <v>2.8095281121074702E-2</v>
          </cell>
          <cell r="BZ54">
            <v>2.9477891431715919E-2</v>
          </cell>
          <cell r="CA54">
            <v>2.8735222556807678E-2</v>
          </cell>
        </row>
        <row r="55">
          <cell r="C55" t="str">
            <v>EBIT</v>
          </cell>
          <cell r="I55">
            <v>0.11397019610233285</v>
          </cell>
          <cell r="J55">
            <v>0.12455335811874531</v>
          </cell>
          <cell r="K55">
            <v>0.13043157574472383</v>
          </cell>
          <cell r="L55">
            <v>0.13116726638938669</v>
          </cell>
          <cell r="M55">
            <v>0.12671515574604672</v>
          </cell>
          <cell r="O55">
            <v>0.10995372026151265</v>
          </cell>
          <cell r="P55">
            <v>0.12371542529998263</v>
          </cell>
          <cell r="Q55">
            <v>0.13938543826932451</v>
          </cell>
          <cell r="R55">
            <v>0.15313713658582037</v>
          </cell>
          <cell r="S55">
            <v>0.13311371284836812</v>
          </cell>
          <cell r="U55">
            <v>0.14175338710219559</v>
          </cell>
          <cell r="V55">
            <v>0.14559027174309153</v>
          </cell>
          <cell r="W55">
            <v>0.14990854693073569</v>
          </cell>
          <cell r="X55">
            <v>0.15777877643957086</v>
          </cell>
          <cell r="Y55">
            <v>0.14951683126261023</v>
          </cell>
          <cell r="AA55">
            <v>0.1605936190231804</v>
          </cell>
          <cell r="AB55">
            <v>0.1695796135630161</v>
          </cell>
          <cell r="AC55">
            <v>0.16854072963518243</v>
          </cell>
          <cell r="AD55">
            <v>0.17248483461142267</v>
          </cell>
          <cell r="AE55">
            <v>0.16665102945009125</v>
          </cell>
          <cell r="AG55">
            <v>0.17505873140172276</v>
          </cell>
          <cell r="AH55">
            <v>0.17589312075583122</v>
          </cell>
          <cell r="AI55">
            <v>0.17557281403346084</v>
          </cell>
          <cell r="AJ55">
            <v>0.18580659789139548</v>
          </cell>
          <cell r="AK55">
            <v>0.17617228406314214</v>
          </cell>
          <cell r="AM55">
            <v>0.15476032105006438</v>
          </cell>
          <cell r="AN55">
            <v>0.16851173463226116</v>
          </cell>
          <cell r="AO55">
            <v>0.17284974912093556</v>
          </cell>
          <cell r="AP55">
            <v>0.17954497429034294</v>
          </cell>
          <cell r="AQ55">
            <v>0.16641107389321616</v>
          </cell>
          <cell r="AS55">
            <v>0.17316989607522179</v>
          </cell>
          <cell r="AT55">
            <v>0.17236198328004013</v>
          </cell>
          <cell r="AU55">
            <v>0.17160573667592344</v>
          </cell>
          <cell r="AV55">
            <v>0.17900621574901607</v>
          </cell>
          <cell r="AW55">
            <v>0.17408374486764683</v>
          </cell>
          <cell r="AY55">
            <v>0.17825989711473936</v>
          </cell>
          <cell r="AZ55">
            <v>0.17880168185003495</v>
          </cell>
          <cell r="BA55">
            <v>0.18643663268437372</v>
          </cell>
          <cell r="BB55">
            <v>0.19179102061955783</v>
          </cell>
          <cell r="BC55">
            <v>0.18408485309893741</v>
          </cell>
          <cell r="BE55">
            <v>0.18745092907615807</v>
          </cell>
          <cell r="BF55">
            <v>0.18985875615327691</v>
          </cell>
          <cell r="BG55">
            <v>0.19393663268437375</v>
          </cell>
          <cell r="BH55">
            <v>0.19879102061955781</v>
          </cell>
          <cell r="BI55">
            <v>0.19248592329536141</v>
          </cell>
          <cell r="BK55">
            <v>0.19045092907615804</v>
          </cell>
          <cell r="BL55">
            <v>0.19235875615327683</v>
          </cell>
          <cell r="BM55">
            <v>0.19493663268437386</v>
          </cell>
          <cell r="BN55">
            <v>0.20029102061955789</v>
          </cell>
          <cell r="BO55">
            <v>0.19449017331564813</v>
          </cell>
          <cell r="BQ55">
            <v>0.19595092907615808</v>
          </cell>
          <cell r="BR55">
            <v>0.19785875615327686</v>
          </cell>
          <cell r="BS55">
            <v>0.20043663268437373</v>
          </cell>
          <cell r="BT55">
            <v>0.20579102061955781</v>
          </cell>
          <cell r="BU55">
            <v>0.1999966294173306</v>
          </cell>
          <cell r="BW55">
            <v>0.20145092907615808</v>
          </cell>
          <cell r="BX55">
            <v>0.20335875615327689</v>
          </cell>
          <cell r="BY55">
            <v>0.20593663268437362</v>
          </cell>
          <cell r="BZ55">
            <v>0.21129102061955782</v>
          </cell>
          <cell r="CA55">
            <v>0.20549913847270485</v>
          </cell>
        </row>
        <row r="56">
          <cell r="C56" t="str">
            <v>Incremental EBIT</v>
          </cell>
          <cell r="O56">
            <v>4.8250234082395461E-2</v>
          </cell>
          <cell r="P56">
            <v>0.12028493048194999</v>
          </cell>
          <cell r="Q56">
            <v>0.17480451654315315</v>
          </cell>
          <cell r="R56">
            <v>0.25886636118260059</v>
          </cell>
          <cell r="S56">
            <v>0.16616787500702496</v>
          </cell>
          <cell r="U56">
            <v>0.28392455967828434</v>
          </cell>
          <cell r="V56">
            <v>0.38449713435928434</v>
          </cell>
          <cell r="W56">
            <v>0.3068648328247453</v>
          </cell>
          <cell r="X56">
            <v>0.16148356934985253</v>
          </cell>
          <cell r="Y56">
            <v>0.18761074747766973</v>
          </cell>
          <cell r="AA56">
            <v>0.16838854280726998</v>
          </cell>
          <cell r="AB56">
            <v>0.17981358883350718</v>
          </cell>
          <cell r="AC56">
            <v>0.17659902710712921</v>
          </cell>
          <cell r="AD56">
            <v>0.1982598193656796</v>
          </cell>
          <cell r="AE56">
            <v>0.17772971488404829</v>
          </cell>
          <cell r="AG56">
            <v>0.33178869323447424</v>
          </cell>
          <cell r="AH56">
            <v>0.22242817423540368</v>
          </cell>
          <cell r="AI56">
            <v>0.26591760299625417</v>
          </cell>
          <cell r="AJ56">
            <v>1.5714285714285792</v>
          </cell>
          <cell r="AK56">
            <v>0.30289995837379941</v>
          </cell>
          <cell r="AM56">
            <v>0.32820341251254531</v>
          </cell>
          <cell r="AN56">
            <v>0.25720620842572212</v>
          </cell>
          <cell r="AO56">
            <v>0.29649122807017469</v>
          </cell>
          <cell r="AP56">
            <v>9.3733816675297121E-2</v>
          </cell>
          <cell r="AQ56">
            <v>0.41708167330676349</v>
          </cell>
          <cell r="AS56">
            <v>0.28483055406132346</v>
          </cell>
          <cell r="AT56">
            <v>0.25806451612903408</v>
          </cell>
          <cell r="AU56">
            <v>0.13934426229508118</v>
          </cell>
          <cell r="AV56">
            <v>0.19170124481327724</v>
          </cell>
          <cell r="AW56">
            <v>0.28955359854236157</v>
          </cell>
          <cell r="AY56">
            <v>0.41831238779173452</v>
          </cell>
          <cell r="AZ56">
            <v>0.24351529229577851</v>
          </cell>
          <cell r="BA56">
            <v>0.31459566074950601</v>
          </cell>
          <cell r="BB56">
            <v>0.28563714902807819</v>
          </cell>
          <cell r="BC56">
            <v>0.29101760064737708</v>
          </cell>
          <cell r="BE56">
            <v>0.25334045964724777</v>
          </cell>
          <cell r="BF56">
            <v>0.31404958677686035</v>
          </cell>
          <cell r="BG56">
            <v>0.94460615611521126</v>
          </cell>
          <cell r="BH56">
            <v>-0.42333801999633563</v>
          </cell>
          <cell r="BI56">
            <v>0.34839405501473319</v>
          </cell>
          <cell r="BK56">
            <v>0.291255461089099</v>
          </cell>
          <cell r="BL56">
            <v>0.25236738095789174</v>
          </cell>
          <cell r="BM56">
            <v>0.22932790836712785</v>
          </cell>
          <cell r="BN56">
            <v>0.2499343464593132</v>
          </cell>
          <cell r="BO56">
            <v>0.25569849330692979</v>
          </cell>
          <cell r="BQ56">
            <v>0.35749313435031621</v>
          </cell>
          <cell r="BR56">
            <v>0.34665065508661258</v>
          </cell>
          <cell r="BS56">
            <v>0.35556031297446161</v>
          </cell>
          <cell r="BT56">
            <v>0.34448121710723667</v>
          </cell>
          <cell r="BU56">
            <v>0.35068405137251119</v>
          </cell>
          <cell r="BW56">
            <v>0.3317700743507333</v>
          </cell>
          <cell r="BX56">
            <v>0.33991698676198628</v>
          </cell>
          <cell r="BY56">
            <v>0.34833141037635096</v>
          </cell>
          <cell r="BZ56">
            <v>0.33763125533153165</v>
          </cell>
          <cell r="CA56">
            <v>0.3391369154645229</v>
          </cell>
        </row>
        <row r="57">
          <cell r="C57" t="str">
            <v>EBITDA</v>
          </cell>
          <cell r="I57">
            <v>0.13468893324597361</v>
          </cell>
          <cell r="J57">
            <v>0.14507842051059466</v>
          </cell>
          <cell r="K57">
            <v>0.14924720872555602</v>
          </cell>
          <cell r="L57">
            <v>0.14987959350375574</v>
          </cell>
          <cell r="M57">
            <v>0.15443099372392063</v>
          </cell>
          <cell r="O57">
            <v>0.12810796698187432</v>
          </cell>
          <cell r="P57">
            <v>0.14017756467432954</v>
          </cell>
          <cell r="Q57">
            <v>0.15754822927506332</v>
          </cell>
          <cell r="R57">
            <v>0.16990308955205763</v>
          </cell>
          <cell r="S57">
            <v>0.15152294298539293</v>
          </cell>
          <cell r="U57">
            <v>0.15899761357442141</v>
          </cell>
          <cell r="V57">
            <v>0.1643717728055078</v>
          </cell>
          <cell r="W57">
            <v>0.16839227435369028</v>
          </cell>
          <cell r="X57">
            <v>0.17599436754748624</v>
          </cell>
          <cell r="Y57">
            <v>0.16783476691090587</v>
          </cell>
          <cell r="AA57">
            <v>0.18026687195278437</v>
          </cell>
          <cell r="AB57">
            <v>0.18844042080556608</v>
          </cell>
          <cell r="AC57">
            <v>0.1877394636015326</v>
          </cell>
          <cell r="AD57">
            <v>0.18847048948914574</v>
          </cell>
          <cell r="AE57">
            <v>0.18531144123012774</v>
          </cell>
          <cell r="AG57">
            <v>0.19369616288175409</v>
          </cell>
          <cell r="AH57">
            <v>0.19368172423974031</v>
          </cell>
          <cell r="AI57">
            <v>0.19400332290096983</v>
          </cell>
          <cell r="AJ57">
            <v>0.20061973321240975</v>
          </cell>
          <cell r="AK57">
            <v>0.19388744521583967</v>
          </cell>
          <cell r="AM57">
            <v>0.17471509023990076</v>
          </cell>
          <cell r="AN57">
            <v>0.18751258000885629</v>
          </cell>
          <cell r="AO57">
            <v>0.19153727628303902</v>
          </cell>
          <cell r="AP57">
            <v>0.19486511234767898</v>
          </cell>
          <cell r="AQ57">
            <v>0.18487428871221612</v>
          </cell>
          <cell r="AS57">
            <v>0.19102364003197692</v>
          </cell>
          <cell r="AT57">
            <v>0.19066147859922183</v>
          </cell>
          <cell r="AU57">
            <v>0.18959942176741354</v>
          </cell>
          <cell r="AV57">
            <v>0.19724888741770563</v>
          </cell>
          <cell r="AW57">
            <v>0.19218179410039551</v>
          </cell>
          <cell r="AY57">
            <v>0.1964884813240885</v>
          </cell>
          <cell r="AZ57">
            <v>0.19681149264190601</v>
          </cell>
          <cell r="BA57">
            <v>0.2052234989259776</v>
          </cell>
          <cell r="BB57">
            <v>0.2112776357103551</v>
          </cell>
          <cell r="BC57">
            <v>0.20273730837111098</v>
          </cell>
          <cell r="BE57">
            <v>0.20704658466370057</v>
          </cell>
          <cell r="BF57">
            <v>0.20858402239310189</v>
          </cell>
          <cell r="BG57">
            <v>0.21220553976136838</v>
          </cell>
          <cell r="BH57">
            <v>0.21720908272261247</v>
          </cell>
          <cell r="BI57">
            <v>0.21124159679411914</v>
          </cell>
          <cell r="BK57">
            <v>0.20950922739828975</v>
          </cell>
          <cell r="BL57">
            <v>0.21143718089550606</v>
          </cell>
          <cell r="BM57">
            <v>0.21579903064803224</v>
          </cell>
          <cell r="BN57">
            <v>0.22104721226881008</v>
          </cell>
          <cell r="BO57">
            <v>0.21441549816896568</v>
          </cell>
          <cell r="BQ57">
            <v>0.21656345994676687</v>
          </cell>
          <cell r="BR57">
            <v>0.21840089257256834</v>
          </cell>
          <cell r="BS57">
            <v>0.2228978248626203</v>
          </cell>
          <cell r="BT57">
            <v>0.22801630337245238</v>
          </cell>
          <cell r="BU57">
            <v>0.22144312716792675</v>
          </cell>
          <cell r="BW57">
            <v>0.22344037360930538</v>
          </cell>
          <cell r="BX57">
            <v>0.22528693766449692</v>
          </cell>
          <cell r="BY57">
            <v>0.22992167380135395</v>
          </cell>
          <cell r="BZ57">
            <v>0.23488546196726412</v>
          </cell>
          <cell r="CA57">
            <v>0.22835826391400132</v>
          </cell>
        </row>
        <row r="58">
          <cell r="C58" t="str">
            <v>Other Expense</v>
          </cell>
          <cell r="AE58">
            <v>1.1227521501172772E-2</v>
          </cell>
          <cell r="AK58">
            <v>1.014234185315907E-2</v>
          </cell>
          <cell r="AQ58">
            <v>1.0220347875216935E-2</v>
          </cell>
          <cell r="AS58">
            <v>8.6032966614640934E-3</v>
          </cell>
          <cell r="AT58">
            <v>7.9747274338328525E-3</v>
          </cell>
          <cell r="AU58">
            <v>5.2877848366112441E-3</v>
          </cell>
          <cell r="AV58">
            <v>5.4433778366251096E-3</v>
          </cell>
          <cell r="AW58">
            <v>6.8116024294715286E-3</v>
          </cell>
          <cell r="AY58">
            <v>8.0891672258256875E-3</v>
          </cell>
          <cell r="AZ58">
            <v>1.0967063770147166E-2</v>
          </cell>
          <cell r="BA58">
            <v>1.5240887858433609E-2</v>
          </cell>
          <cell r="BB58">
            <v>1.7058880652574993E-2</v>
          </cell>
          <cell r="BC58">
            <v>1.3011731321590466E-2</v>
          </cell>
          <cell r="BE58">
            <v>1.5931693274012039E-2</v>
          </cell>
          <cell r="BF58">
            <v>1.4478298639039929E-2</v>
          </cell>
          <cell r="BG58">
            <v>2.1943129312831041E-2</v>
          </cell>
          <cell r="BH58">
            <v>2.1607180242377063E-2</v>
          </cell>
          <cell r="BI58">
            <v>1.8445787632968769E-2</v>
          </cell>
          <cell r="BK58">
            <v>1.4841034741825533E-2</v>
          </cell>
          <cell r="BL58">
            <v>1.4500437015565536E-2</v>
          </cell>
          <cell r="BM58">
            <v>1.4927892546645916E-2</v>
          </cell>
          <cell r="BN58">
            <v>1.3996686765998662E-2</v>
          </cell>
          <cell r="BO58">
            <v>1.4563227146850025E-2</v>
          </cell>
          <cell r="BQ58">
            <v>1.2548269373436007E-2</v>
          </cell>
          <cell r="BR58">
            <v>1.2497211900205621E-2</v>
          </cell>
          <cell r="BS58">
            <v>1.2848292219239246E-2</v>
          </cell>
          <cell r="BT58">
            <v>1.0787154500793235E-2</v>
          </cell>
          <cell r="BU58">
            <v>1.2165904794876394E-2</v>
          </cell>
          <cell r="BW58">
            <v>1.0634822273683703E-2</v>
          </cell>
          <cell r="BX58">
            <v>8.1028851384367159E-3</v>
          </cell>
          <cell r="BY58">
            <v>9.3393557772243393E-3</v>
          </cell>
          <cell r="BZ58">
            <v>8.4050392383101368E-3</v>
          </cell>
          <cell r="CA58">
            <v>9.1100356447956152E-3</v>
          </cell>
        </row>
        <row r="59">
          <cell r="C59" t="str">
            <v>income tax rate</v>
          </cell>
          <cell r="I59">
            <v>0.25321909032671358</v>
          </cell>
          <cell r="J59">
            <v>0.25044680403700598</v>
          </cell>
          <cell r="K59">
            <v>0.26570226484168002</v>
          </cell>
          <cell r="L59">
            <v>0.28000277723133166</v>
          </cell>
          <cell r="M59">
            <v>0.44230591188239954</v>
          </cell>
          <cell r="O59">
            <v>0.28048648732077003</v>
          </cell>
          <cell r="P59">
            <v>0.7509095866199107</v>
          </cell>
          <cell r="Q59">
            <v>0.44870526052485593</v>
          </cell>
          <cell r="R59">
            <v>0.32724325112025904</v>
          </cell>
          <cell r="S59">
            <v>0.46991576898013676</v>
          </cell>
          <cell r="U59">
            <v>0.39026614174917618</v>
          </cell>
          <cell r="V59">
            <v>0.41387785970882957</v>
          </cell>
          <cell r="W59">
            <v>0.41242531694758833</v>
          </cell>
          <cell r="X59">
            <v>0.58189572020210767</v>
          </cell>
          <cell r="Y59">
            <v>0.28097764304660849</v>
          </cell>
          <cell r="AA59">
            <v>0.25028669724770608</v>
          </cell>
          <cell r="AB59">
            <v>0.24192708333333326</v>
          </cell>
          <cell r="AC59">
            <v>0.24631306597671407</v>
          </cell>
          <cell r="AD59">
            <v>0.22531939605110343</v>
          </cell>
          <cell r="AE59">
            <v>0.23422094037158753</v>
          </cell>
          <cell r="AG59">
            <v>0.24317968015051747</v>
          </cell>
          <cell r="AH59">
            <v>0.23669159700835879</v>
          </cell>
          <cell r="AI59">
            <v>0.23294008790191989</v>
          </cell>
          <cell r="AJ59">
            <v>0.20907172995780596</v>
          </cell>
          <cell r="AK59">
            <v>0.22326695088477516</v>
          </cell>
          <cell r="AM59">
            <v>0.19987775061124682</v>
          </cell>
          <cell r="AN59">
            <v>0.19994905756495165</v>
          </cell>
          <cell r="AO59">
            <v>0.19999999999999998</v>
          </cell>
          <cell r="AP59">
            <v>0.20033181252592297</v>
          </cell>
          <cell r="AQ59">
            <v>0.19191266714036548</v>
          </cell>
          <cell r="AS59">
            <v>0.21027064538514917</v>
          </cell>
          <cell r="AT59">
            <v>0.20717131474103578</v>
          </cell>
          <cell r="AU59">
            <v>0.1957913998170174</v>
          </cell>
          <cell r="AV59">
            <v>0.18542063996609459</v>
          </cell>
          <cell r="AW59">
            <v>0.19930999377863237</v>
          </cell>
          <cell r="AY59">
            <v>0.20503833515881714</v>
          </cell>
          <cell r="AZ59">
            <v>0.20041753653444688</v>
          </cell>
          <cell r="BA59">
            <v>0.1850229038040232</v>
          </cell>
          <cell r="BB59">
            <v>0.17636161541311596</v>
          </cell>
          <cell r="BC59">
            <v>0.19171009772760078</v>
          </cell>
          <cell r="BE59">
            <v>0.17509059698645815</v>
          </cell>
          <cell r="BF59">
            <v>0.17611447440836547</v>
          </cell>
          <cell r="BG59">
            <v>0.17100000000000001</v>
          </cell>
          <cell r="BH59">
            <v>0.17100000000000001</v>
          </cell>
          <cell r="BI59">
            <v>0.17330126784870592</v>
          </cell>
          <cell r="BK59">
            <v>0.17399999999999999</v>
          </cell>
          <cell r="BL59">
            <v>0.17399999999999999</v>
          </cell>
          <cell r="BM59">
            <v>0.17399999999999999</v>
          </cell>
          <cell r="BN59">
            <v>0.17399999999999999</v>
          </cell>
          <cell r="BO59">
            <v>0.17399999999999999</v>
          </cell>
          <cell r="BQ59">
            <v>0.17399999999999999</v>
          </cell>
          <cell r="BR59">
            <v>0.17399999999999999</v>
          </cell>
          <cell r="BS59">
            <v>0.17399999999999999</v>
          </cell>
          <cell r="BT59">
            <v>0.17399999999999999</v>
          </cell>
          <cell r="BU59">
            <v>0.17399999999999999</v>
          </cell>
          <cell r="BW59">
            <v>0.17399999999999999</v>
          </cell>
          <cell r="BX59">
            <v>0.17399999999999999</v>
          </cell>
          <cell r="BY59">
            <v>0.17399999999999999</v>
          </cell>
          <cell r="BZ59">
            <v>0.17399999999999999</v>
          </cell>
          <cell r="CA59">
            <v>0.17399999999999999</v>
          </cell>
        </row>
        <row r="60">
          <cell r="C60" t="str">
            <v>Net Income (non-GAAP)</v>
          </cell>
          <cell r="AE60">
            <v>0.11902006776127189</v>
          </cell>
          <cell r="AG60">
            <v>0.12599843382928738</v>
          </cell>
          <cell r="AH60">
            <v>0.1280631827576027</v>
          </cell>
          <cell r="AI60">
            <v>0.12812487925505198</v>
          </cell>
          <cell r="AJ60">
            <v>0.14166950081245508</v>
          </cell>
          <cell r="AK60">
            <v>0.12896094325718474</v>
          </cell>
          <cell r="AM60">
            <v>0.11609241275331478</v>
          </cell>
          <cell r="AN60">
            <v>0.12644418501670621</v>
          </cell>
          <cell r="AO60">
            <v>0.13006202836711311</v>
          </cell>
          <cell r="AP60">
            <v>0.13580333873353514</v>
          </cell>
          <cell r="AQ60">
            <v>0.12621574720529494</v>
          </cell>
          <cell r="AS60">
            <v>0.12996307434618756</v>
          </cell>
          <cell r="AT60">
            <v>0.1303309319258775</v>
          </cell>
          <cell r="AU60">
            <v>0.13375432723399397</v>
          </cell>
          <cell r="AV60">
            <v>0.14138070543234388</v>
          </cell>
          <cell r="AW60">
            <v>0.13393313276948407</v>
          </cell>
          <cell r="AY60">
            <v>0.13527920673973007</v>
          </cell>
          <cell r="AZ60">
            <v>0.13419761737911692</v>
          </cell>
          <cell r="BA60">
            <v>0.13952061099935212</v>
          </cell>
          <cell r="BB60">
            <v>0.14391609749781506</v>
          </cell>
          <cell r="BC60">
            <v>0.13839671938263468</v>
          </cell>
          <cell r="BE60">
            <v>0.14148783041088717</v>
          </cell>
          <cell r="BF60">
            <v>0.14449342041761845</v>
          </cell>
          <cell r="BG60">
            <v>0.1425826142950089</v>
          </cell>
          <cell r="BH60">
            <v>0.14690298209446959</v>
          </cell>
          <cell r="BI60">
            <v>0.14387875949553922</v>
          </cell>
          <cell r="BK60">
            <v>0.14505377272015865</v>
          </cell>
          <cell r="BL60">
            <v>0.14691097160774955</v>
          </cell>
          <cell r="BM60">
            <v>0.14868721935376328</v>
          </cell>
          <cell r="BN60">
            <v>0.15387911976303992</v>
          </cell>
          <cell r="BO60">
            <v>0.14861965753542727</v>
          </cell>
          <cell r="BQ60">
            <v>0.15149059691444844</v>
          </cell>
          <cell r="BR60">
            <v>0.15310863555303683</v>
          </cell>
          <cell r="BS60">
            <v>0.15494796922420107</v>
          </cell>
          <cell r="BT60">
            <v>0.16107319341409956</v>
          </cell>
          <cell r="BU60">
            <v>0.15514817853814716</v>
          </cell>
          <cell r="BW60">
            <v>0.15761410421884386</v>
          </cell>
          <cell r="BX60">
            <v>0.16128134945825801</v>
          </cell>
          <cell r="BY60">
            <v>0.1623893507253053</v>
          </cell>
          <cell r="BZ60">
            <v>0.16758382062091057</v>
          </cell>
          <cell r="CA60">
            <v>0.16221739893585302</v>
          </cell>
        </row>
        <row r="62">
          <cell r="C62" t="str">
            <v>Growth</v>
          </cell>
          <cell r="AQ62">
            <v>-9.2237061769615547E-3</v>
          </cell>
          <cell r="AS62">
            <v>0.14320944160648219</v>
          </cell>
          <cell r="AT62">
            <v>5.9587217043941321E-2</v>
          </cell>
          <cell r="AU62">
            <v>6.5752519411861998E-2</v>
          </cell>
          <cell r="AV62">
            <v>6.2930776146239431E-3</v>
          </cell>
          <cell r="AW62">
            <v>9.6212982855217177E-2</v>
          </cell>
          <cell r="AY62">
            <v>4.5300462249614704E-2</v>
          </cell>
          <cell r="AZ62">
            <v>0.11671379202010668</v>
          </cell>
          <cell r="BA62">
            <v>0.16075027127577113</v>
          </cell>
          <cell r="BB62">
            <v>0.18448481238832648</v>
          </cell>
          <cell r="BC62">
            <v>0.12731045613495739</v>
          </cell>
          <cell r="BE62">
            <v>0.18042452830188682</v>
          </cell>
          <cell r="BF62">
            <v>0.12195808130538754</v>
          </cell>
          <cell r="BG62">
            <v>1.3947014264714008E-2</v>
          </cell>
          <cell r="BH62">
            <v>-7.4119110687711487E-3</v>
          </cell>
          <cell r="BI62">
            <v>7.2827702831405272E-2</v>
          </cell>
          <cell r="BK62">
            <v>2.9760566713556758E-2</v>
          </cell>
          <cell r="BL62">
            <v>4.1660678079855851E-2</v>
          </cell>
          <cell r="BM62">
            <v>2.9077141808425466E-2</v>
          </cell>
          <cell r="BN62">
            <v>3.0215542061826417E-2</v>
          </cell>
          <cell r="BO62">
            <v>3.2725663552943152E-2</v>
          </cell>
          <cell r="BQ62">
            <v>2.812611130765319E-2</v>
          </cell>
          <cell r="BR62">
            <v>3.0903089821762153E-2</v>
          </cell>
          <cell r="BS62">
            <v>2.939580560714794E-2</v>
          </cell>
          <cell r="BT62">
            <v>3.3623947632629214E-2</v>
          </cell>
          <cell r="BU62">
            <v>3.0517167054494143E-2</v>
          </cell>
          <cell r="BW62">
            <v>3.6202292647599554E-2</v>
          </cell>
          <cell r="BX62">
            <v>3.4159462444636635E-2</v>
          </cell>
          <cell r="BY62">
            <v>3.2510908155257923E-2</v>
          </cell>
          <cell r="BZ62">
            <v>3.7442621233896523E-2</v>
          </cell>
          <cell r="CA62">
            <v>3.5104870167074198E-2</v>
          </cell>
        </row>
        <row r="63">
          <cell r="C63" t="str">
            <v>Revenues</v>
          </cell>
          <cell r="O63">
            <v>6.509317527312608E-2</v>
          </cell>
          <cell r="P63">
            <v>0.2442600450401573</v>
          </cell>
          <cell r="Q63">
            <v>0.25279772825756264</v>
          </cell>
          <cell r="R63">
            <v>0.20779373234051635</v>
          </cell>
          <cell r="S63">
            <v>0.1935779546191172</v>
          </cell>
          <cell r="U63">
            <v>0.22367169282270649</v>
          </cell>
          <cell r="V63">
            <v>9.1562235607484999E-2</v>
          </cell>
          <cell r="W63">
            <v>6.7044837366483589E-2</v>
          </cell>
          <cell r="X63">
            <v>1.2528743079994653</v>
          </cell>
          <cell r="Y63">
            <v>0.43059679980493937</v>
          </cell>
          <cell r="AA63">
            <v>2.4169873167252924</v>
          </cell>
          <cell r="AB63">
            <v>2.3440883122999212</v>
          </cell>
          <cell r="AC63">
            <v>2.3121736035819804</v>
          </cell>
          <cell r="AD63">
            <v>0.57055545568937638</v>
          </cell>
          <cell r="AE63">
            <v>1.5465912711054473</v>
          </cell>
          <cell r="AG63">
            <v>9.229321700453319E-2</v>
          </cell>
          <cell r="AH63">
            <v>0.13567207343140963</v>
          </cell>
          <cell r="AI63">
            <v>7.7836081959020698E-2</v>
          </cell>
          <cell r="AJ63">
            <v>9.6142840792032835E-3</v>
          </cell>
          <cell r="AK63">
            <v>7.513161323951012E-2</v>
          </cell>
          <cell r="AM63">
            <v>-0.11703210649960827</v>
          </cell>
          <cell r="AN63">
            <v>-8.3222615884263496E-2</v>
          </cell>
          <cell r="AO63">
            <v>-2.2023878520922913E-2</v>
          </cell>
          <cell r="AP63">
            <v>7.2969806900200496E-2</v>
          </cell>
          <cell r="AQ63">
            <v>-3.8940387076756067E-2</v>
          </cell>
          <cell r="AS63">
            <v>0.16487073743958103</v>
          </cell>
          <cell r="AT63">
            <v>4.4925727627712186E-2</v>
          </cell>
          <cell r="AU63">
            <v>3.8560309746750399E-2</v>
          </cell>
          <cell r="AV63">
            <v>-4.2438543354229807E-2</v>
          </cell>
          <cell r="AW63">
            <v>6.6447394971548279E-2</v>
          </cell>
          <cell r="AY63">
            <v>2.1203700178918261E-2</v>
          </cell>
          <cell r="AZ63">
            <v>9.9510729283045052E-2</v>
          </cell>
          <cell r="BA63">
            <v>0.11572260052497452</v>
          </cell>
          <cell r="BB63">
            <v>0.13623156423553651</v>
          </cell>
          <cell r="BC63">
            <v>9.3527085580216163E-2</v>
          </cell>
          <cell r="BE63">
            <v>0.13949153806009096</v>
          </cell>
          <cell r="BF63">
            <v>8.9032936229852755E-2</v>
          </cell>
          <cell r="BG63">
            <v>9.9910809829100167E-3</v>
          </cell>
          <cell r="BH63">
            <v>-1.125168500906204E-2</v>
          </cell>
          <cell r="BI63">
            <v>5.3884746765778591E-2</v>
          </cell>
          <cell r="BK63">
            <v>2.9760566713556758E-2</v>
          </cell>
          <cell r="BL63">
            <v>4.1660678079855851E-2</v>
          </cell>
          <cell r="BM63">
            <v>2.9077141808425466E-2</v>
          </cell>
          <cell r="BN63">
            <v>3.0215542061826195E-2</v>
          </cell>
          <cell r="BO63">
            <v>3.2744731771305213E-2</v>
          </cell>
          <cell r="BQ63">
            <v>3.4046829995082684E-2</v>
          </cell>
          <cell r="BR63">
            <v>3.6964378030179379E-2</v>
          </cell>
          <cell r="BS63">
            <v>3.5455579636291867E-2</v>
          </cell>
          <cell r="BT63">
            <v>3.9656732337880252E-2</v>
          </cell>
          <cell r="BU63">
            <v>3.6542241085790517E-2</v>
          </cell>
          <cell r="BW63">
            <v>4.2204082818467104E-2</v>
          </cell>
          <cell r="BX63">
            <v>4.0275858697668587E-2</v>
          </cell>
          <cell r="BY63">
            <v>3.8625012020435667E-2</v>
          </cell>
          <cell r="BZ63">
            <v>4.353324190459773E-2</v>
          </cell>
          <cell r="CA63">
            <v>4.1174802359299489E-2</v>
          </cell>
        </row>
        <row r="64">
          <cell r="C64" t="str">
            <v>COGS</v>
          </cell>
          <cell r="AG64">
            <v>8.0189696055184667E-2</v>
          </cell>
          <cell r="AH64">
            <v>0.12976773918602169</v>
          </cell>
          <cell r="AI64">
            <v>7.1242703424994946E-2</v>
          </cell>
          <cell r="AJ64">
            <v>-8.3892617449665696E-4</v>
          </cell>
          <cell r="AK64">
            <v>6.7363043059857075E-2</v>
          </cell>
          <cell r="AM64">
            <v>-0.10969201090933289</v>
          </cell>
          <cell r="AN64">
            <v>-7.9152521061234826E-2</v>
          </cell>
          <cell r="AO64">
            <v>-2.2912289915966499E-2</v>
          </cell>
          <cell r="AP64">
            <v>7.3564554672867155E-2</v>
          </cell>
          <cell r="AQ64">
            <v>-3.4752389226759495E-2</v>
          </cell>
          <cell r="AS64">
            <v>0.13792588164973063</v>
          </cell>
          <cell r="AT64">
            <v>3.2088482283061381E-2</v>
          </cell>
          <cell r="AU64">
            <v>2.9698313512060537E-2</v>
          </cell>
          <cell r="AV64">
            <v>-6.1123811815665952E-2</v>
          </cell>
          <cell r="AW64">
            <v>4.0673878708625377E-2</v>
          </cell>
          <cell r="AY64">
            <v>1.9697964543667901E-3</v>
          </cell>
          <cell r="AZ64">
            <v>8.0108487133690565E-2</v>
          </cell>
          <cell r="BA64">
            <v>6.8384991843393417E-2</v>
          </cell>
          <cell r="BB64">
            <v>9.015763168012314E-2</v>
          </cell>
          <cell r="BC64">
            <v>6.0315284441398331E-2</v>
          </cell>
          <cell r="BE64">
            <v>0.10288335517693326</v>
          </cell>
          <cell r="BF64">
            <v>5.3650171484566522E-2</v>
          </cell>
          <cell r="BG64">
            <v>-5.3871173631628855E-3</v>
          </cell>
          <cell r="BH64">
            <v>-2.5615007971509618E-2</v>
          </cell>
          <cell r="BI64">
            <v>2.9581195505796742E-2</v>
          </cell>
          <cell r="BK64">
            <v>2.4149564752184105E-2</v>
          </cell>
          <cell r="BL64">
            <v>3.6955979240138381E-2</v>
          </cell>
          <cell r="BM64">
            <v>2.7205251551196463E-2</v>
          </cell>
          <cell r="BN64">
            <v>2.7368107781621687E-2</v>
          </cell>
          <cell r="BO64">
            <v>2.8984490926845741E-2</v>
          </cell>
          <cell r="BQ64">
            <v>2.6493195264452929E-2</v>
          </cell>
          <cell r="BR64">
            <v>2.9436798917751528E-2</v>
          </cell>
          <cell r="BS64">
            <v>2.7907879862025364E-2</v>
          </cell>
          <cell r="BT64">
            <v>3.1972750463855615E-2</v>
          </cell>
          <cell r="BU64">
            <v>2.8955601519738083E-2</v>
          </cell>
          <cell r="BW64">
            <v>3.4534836697109883E-2</v>
          </cell>
          <cell r="BX64">
            <v>3.266902082930434E-2</v>
          </cell>
          <cell r="BY64">
            <v>3.0998618719679571E-2</v>
          </cell>
          <cell r="BZ64">
            <v>3.5763181588438053E-2</v>
          </cell>
          <cell r="CA64">
            <v>3.349738141798464E-2</v>
          </cell>
        </row>
        <row r="65">
          <cell r="C65" t="str">
            <v>SGA</v>
          </cell>
          <cell r="AG65">
            <v>5.946791862284817E-2</v>
          </cell>
          <cell r="AH65">
            <v>0.12298426267728768</v>
          </cell>
          <cell r="AI65">
            <v>6.3784412563009152E-2</v>
          </cell>
          <cell r="AJ65">
            <v>-2.2580645161290325E-2</v>
          </cell>
          <cell r="AK65">
            <v>5.2507836990595802E-2</v>
          </cell>
          <cell r="AM65">
            <v>-5.9268833087149253E-2</v>
          </cell>
          <cell r="AN65">
            <v>-6.1072664359861473E-2</v>
          </cell>
          <cell r="AO65">
            <v>-7.1077091306727125E-3</v>
          </cell>
          <cell r="AP65">
            <v>9.6626329299596803E-2</v>
          </cell>
          <cell r="AQ65">
            <v>-8.7025316455697777E-3</v>
          </cell>
          <cell r="AS65">
            <v>0.14406280667320903</v>
          </cell>
          <cell r="AT65">
            <v>4.4776119402984982E-2</v>
          </cell>
          <cell r="AU65">
            <v>5.2863436123348206E-2</v>
          </cell>
          <cell r="AV65">
            <v>-6.8550409630496745E-3</v>
          </cell>
          <cell r="AW65">
            <v>8.7977090277451708E-2</v>
          </cell>
          <cell r="AY65">
            <v>3.5512094698919361E-2</v>
          </cell>
          <cell r="AZ65">
            <v>0.10687830687830702</v>
          </cell>
          <cell r="BA65">
            <v>0.15411436541143653</v>
          </cell>
          <cell r="BB65">
            <v>0.17811447811447834</v>
          </cell>
          <cell r="BC65">
            <v>0.1188781014023732</v>
          </cell>
          <cell r="BE65">
            <v>0.17461895294897278</v>
          </cell>
          <cell r="BF65">
            <v>0.12077756532823436</v>
          </cell>
          <cell r="BG65">
            <v>1.4465707631572844E-2</v>
          </cell>
          <cell r="BH65">
            <v>-6.8868090880824795E-3</v>
          </cell>
          <cell r="BI65">
            <v>7.171496700819957E-2</v>
          </cell>
          <cell r="BK65">
            <v>2.9760566713556758E-2</v>
          </cell>
          <cell r="BL65">
            <v>4.1660678079856073E-2</v>
          </cell>
          <cell r="BM65">
            <v>2.9077141808425466E-2</v>
          </cell>
          <cell r="BN65">
            <v>3.0215542061826195E-2</v>
          </cell>
          <cell r="BO65">
            <v>3.2721305465763129E-2</v>
          </cell>
          <cell r="BQ65">
            <v>3.070316883507318E-2</v>
          </cell>
          <cell r="BR65">
            <v>3.3527867172179926E-2</v>
          </cell>
          <cell r="BS65">
            <v>3.2030172723599648E-2</v>
          </cell>
          <cell r="BT65">
            <v>3.6229651206600488E-2</v>
          </cell>
          <cell r="BU65">
            <v>3.3122641455393786E-2</v>
          </cell>
          <cell r="BW65">
            <v>3.8823112023100403E-2</v>
          </cell>
          <cell r="BX65">
            <v>3.6816910567406547E-2</v>
          </cell>
          <cell r="BY65">
            <v>3.5177716204964682E-2</v>
          </cell>
          <cell r="BZ65">
            <v>4.0082005898148365E-2</v>
          </cell>
          <cell r="CA65">
            <v>3.7748798942701223E-2</v>
          </cell>
        </row>
        <row r="66">
          <cell r="C66" t="str">
            <v>R&amp;D</v>
          </cell>
          <cell r="AG66">
            <v>3.6789297658862852E-2</v>
          </cell>
          <cell r="AH66">
            <v>9.7103918228279351E-2</v>
          </cell>
          <cell r="AI66">
            <v>5.1020408163265252E-2</v>
          </cell>
          <cell r="AJ66">
            <v>-8.1433224755700362E-3</v>
          </cell>
          <cell r="AK66">
            <v>4.3037974683544311E-2</v>
          </cell>
          <cell r="AM66">
            <v>-6.1290322580645151E-2</v>
          </cell>
          <cell r="AN66">
            <v>-9.782608695652184E-2</v>
          </cell>
          <cell r="AO66">
            <v>-2.1035598705501535E-2</v>
          </cell>
          <cell r="AP66">
            <v>0.13793103448275867</v>
          </cell>
          <cell r="AQ66">
            <v>-1.3754045307443286E-2</v>
          </cell>
          <cell r="AS66">
            <v>0.13573883161512001</v>
          </cell>
          <cell r="AT66">
            <v>0.19793459552495674</v>
          </cell>
          <cell r="AU66">
            <v>0.18181818181818188</v>
          </cell>
          <cell r="AV66">
            <v>0.11976911976911975</v>
          </cell>
          <cell r="AW66">
            <v>0.16817063166529911</v>
          </cell>
          <cell r="AY66">
            <v>0.1316187594553706</v>
          </cell>
          <cell r="AZ66">
            <v>0.19683908045977017</v>
          </cell>
          <cell r="BA66">
            <v>0.21398601398601391</v>
          </cell>
          <cell r="BB66">
            <v>0.23324742268041243</v>
          </cell>
          <cell r="BC66">
            <v>0.1959269662921348</v>
          </cell>
          <cell r="BE66">
            <v>0.22727272727272729</v>
          </cell>
          <cell r="BF66">
            <v>0.13085234093637466</v>
          </cell>
          <cell r="BG66">
            <v>9.9910809829100167E-3</v>
          </cell>
          <cell r="BH66">
            <v>-1.125168500906204E-2</v>
          </cell>
          <cell r="BI66">
            <v>8.1299000510714592E-2</v>
          </cell>
          <cell r="BK66">
            <v>2.9760566713556758E-2</v>
          </cell>
          <cell r="BL66">
            <v>4.1660678079855851E-2</v>
          </cell>
          <cell r="BM66">
            <v>2.9077141808425466E-2</v>
          </cell>
          <cell r="BN66">
            <v>3.0215542061826195E-2</v>
          </cell>
          <cell r="BO66">
            <v>3.2758547752964162E-2</v>
          </cell>
          <cell r="BQ66">
            <v>8.2226931492577204E-3</v>
          </cell>
          <cell r="BR66">
            <v>1.130363771683851E-2</v>
          </cell>
          <cell r="BS66">
            <v>9.2151907867934479E-3</v>
          </cell>
          <cell r="BT66">
            <v>1.4485795478856867E-2</v>
          </cell>
          <cell r="BU66">
            <v>1.0858117534830569E-2</v>
          </cell>
          <cell r="BW66">
            <v>1.5509562809287836E-2</v>
          </cell>
          <cell r="BX66">
            <v>1.3879979489180405E-2</v>
          </cell>
          <cell r="BY66">
            <v>1.1619944683920691E-2</v>
          </cell>
          <cell r="BZ66">
            <v>1.7641593683072276E-2</v>
          </cell>
          <cell r="CA66">
            <v>1.4716282910608003E-2</v>
          </cell>
        </row>
        <row r="67">
          <cell r="C67" t="str">
            <v>EBIT</v>
          </cell>
          <cell r="U67">
            <v>0.57756924227885831</v>
          </cell>
          <cell r="V67">
            <v>0.28456772565944988</v>
          </cell>
          <cell r="W67">
            <v>0.14760295670538492</v>
          </cell>
          <cell r="X67">
            <v>1.3211597115706661</v>
          </cell>
          <cell r="Y67">
            <v>0.60688403729614371</v>
          </cell>
          <cell r="AA67">
            <v>2.8711340206185567</v>
          </cell>
          <cell r="AB67">
            <v>2.8951036833086246</v>
          </cell>
          <cell r="AC67">
            <v>2.7238447523877882</v>
          </cell>
          <cell r="AD67">
            <v>0.71694193690494834</v>
          </cell>
          <cell r="AE67">
            <v>1.8384232954545445</v>
          </cell>
          <cell r="AG67">
            <v>0.19067909454061094</v>
          </cell>
          <cell r="AH67">
            <v>0.17795353435491901</v>
          </cell>
          <cell r="AI67">
            <v>0.12280701754385981</v>
          </cell>
          <cell r="AJ67">
            <v>8.7591240875912302E-2</v>
          </cell>
          <cell r="AK67">
            <v>0.13655698736394184</v>
          </cell>
          <cell r="AM67">
            <v>-0.21941400134198097</v>
          </cell>
          <cell r="AN67">
            <v>-0.12169534200587584</v>
          </cell>
          <cell r="AO67">
            <v>-3.7191901408450856E-2</v>
          </cell>
          <cell r="AP67">
            <v>3.6811063656701171E-2</v>
          </cell>
          <cell r="AQ67">
            <v>-9.2189993945729798E-2</v>
          </cell>
          <cell r="AS67">
            <v>0.30343839541547224</v>
          </cell>
          <cell r="AT67">
            <v>6.8800764452938923E-2</v>
          </cell>
          <cell r="AU67">
            <v>3.1085714285714161E-2</v>
          </cell>
          <cell r="AV67">
            <v>-4.5311887014515384E-2</v>
          </cell>
          <cell r="AW67">
            <v>0.11561780041227032</v>
          </cell>
          <cell r="AY67">
            <v>5.1220048362276893E-2</v>
          </cell>
          <cell r="AZ67">
            <v>0.1405900759946348</v>
          </cell>
          <cell r="BA67">
            <v>0.21214808246508499</v>
          </cell>
          <cell r="BB67">
            <v>0.21738237107047498</v>
          </cell>
          <cell r="BC67">
            <v>0.15635019835878317</v>
          </cell>
          <cell r="BE67">
            <v>0.19824341279799285</v>
          </cell>
          <cell r="BF67">
            <v>0.15637860082304567</v>
          </cell>
          <cell r="BG67">
            <v>5.0621149217385142E-2</v>
          </cell>
          <cell r="BH67">
            <v>2.4835709398550732E-2</v>
          </cell>
          <cell r="BI67">
            <v>0.10198082630449723</v>
          </cell>
          <cell r="BK67">
            <v>4.6241048914237304E-2</v>
          </cell>
          <cell r="BL67">
            <v>5.5376936144336142E-2</v>
          </cell>
          <cell r="BM67">
            <v>3.4383396369848773E-2</v>
          </cell>
          <cell r="BN67">
            <v>3.7989149281491441E-2</v>
          </cell>
          <cell r="BO67">
            <v>4.3498134483396234E-2</v>
          </cell>
          <cell r="BQ67">
            <v>6.3908892588112831E-2</v>
          </cell>
          <cell r="BR67">
            <v>6.6613686401779892E-2</v>
          </cell>
          <cell r="BS67">
            <v>6.4670230620955005E-2</v>
          </cell>
          <cell r="BT67">
            <v>6.8205750712096336E-2</v>
          </cell>
          <cell r="BU67">
            <v>6.5889093169752444E-2</v>
          </cell>
          <cell r="BW67">
            <v>7.1456929347578413E-2</v>
          </cell>
          <cell r="BX67">
            <v>6.9193038478203128E-2</v>
          </cell>
          <cell r="BY67">
            <v>6.7124979763895087E-2</v>
          </cell>
          <cell r="BZ67">
            <v>7.1422859309652864E-2</v>
          </cell>
          <cell r="CA67">
            <v>6.9820654016403028E-2</v>
          </cell>
        </row>
        <row r="68">
          <cell r="C68" t="str">
            <v>EBITDA</v>
          </cell>
          <cell r="U68">
            <v>0.51872583369393999</v>
          </cell>
          <cell r="V68">
            <v>0.27996245484212579</v>
          </cell>
          <cell r="W68">
            <v>0.14048953662182306</v>
          </cell>
          <cell r="X68">
            <v>1.3336431965168156</v>
          </cell>
          <cell r="Y68">
            <v>0.58460412468292877</v>
          </cell>
          <cell r="AA68">
            <v>2.8740808823529416</v>
          </cell>
          <cell r="AB68">
            <v>2.8337568429489917</v>
          </cell>
          <cell r="AC68">
            <v>2.6927210471993321</v>
          </cell>
          <cell r="AD68">
            <v>0.68189107201830423</v>
          </cell>
          <cell r="AE68">
            <v>1.8117684277127486</v>
          </cell>
          <cell r="AG68">
            <v>0.17366548042704477</v>
          </cell>
          <cell r="AH68">
            <v>0.16725978647686879</v>
          </cell>
          <cell r="AI68">
            <v>0.11379769299023956</v>
          </cell>
          <cell r="AJ68">
            <v>7.4696356275303577E-2</v>
          </cell>
          <cell r="AK68">
            <v>0.12488748874887357</v>
          </cell>
          <cell r="AM68">
            <v>-0.203557711744491</v>
          </cell>
          <cell r="AN68">
            <v>-0.11242378048780577</v>
          </cell>
          <cell r="AO68">
            <v>-3.4455287791276823E-2</v>
          </cell>
          <cell r="AP68">
            <v>4.2192503296289097E-2</v>
          </cell>
          <cell r="AQ68">
            <v>-8.3616723344667188E-2</v>
          </cell>
          <cell r="AS68">
            <v>0.27360406091370493</v>
          </cell>
          <cell r="AT68">
            <v>6.2473164448261453E-2</v>
          </cell>
          <cell r="AU68">
            <v>2.8052805280527782E-2</v>
          </cell>
          <cell r="AV68">
            <v>-3.0724742454364518E-2</v>
          </cell>
          <cell r="AW68">
            <v>0.10860074219602645</v>
          </cell>
          <cell r="AY68">
            <v>5.0418493423674215E-2</v>
          </cell>
          <cell r="AZ68">
            <v>0.1349767629824199</v>
          </cell>
          <cell r="BA68">
            <v>0.20766452648475098</v>
          </cell>
          <cell r="BB68">
            <v>0.21704269998135417</v>
          </cell>
          <cell r="BC68">
            <v>0.15358865806832589</v>
          </cell>
          <cell r="BE68">
            <v>0.20072092582052781</v>
          </cell>
          <cell r="BF68">
            <v>0.15417482641979752</v>
          </cell>
          <cell r="BG68">
            <v>4.4352638054630633E-2</v>
          </cell>
          <cell r="BH68">
            <v>1.6506616143396657E-2</v>
          </cell>
          <cell r="BI68">
            <v>9.8092396177297703E-2</v>
          </cell>
          <cell r="BK68">
            <v>4.2008691366772322E-2</v>
          </cell>
          <cell r="BL68">
            <v>5.5909243172164391E-2</v>
          </cell>
          <cell r="BM68">
            <v>4.6503545166797444E-2</v>
          </cell>
          <cell r="BN68">
            <v>4.8419664382020056E-2</v>
          </cell>
          <cell r="BO68">
            <v>4.8261703682993318E-2</v>
          </cell>
          <cell r="BQ68">
            <v>6.8863467407113133E-2</v>
          </cell>
          <cell r="BR68">
            <v>7.1116937752185416E-2</v>
          </cell>
          <cell r="BS68">
            <v>6.9517299265485555E-2</v>
          </cell>
          <cell r="BT68">
            <v>7.2434628108702048E-2</v>
          </cell>
          <cell r="BU68">
            <v>7.0515691579384088E-2</v>
          </cell>
          <cell r="BW68">
            <v>7.5298989494087865E-2</v>
          </cell>
          <cell r="BX68">
            <v>7.3075113255003821E-2</v>
          </cell>
          <cell r="BY68">
            <v>7.1353663333736828E-2</v>
          </cell>
          <cell r="BZ68">
            <v>7.4970447190273459E-2</v>
          </cell>
          <cell r="CA68">
            <v>7.3688189552490124E-2</v>
          </cell>
        </row>
        <row r="69">
          <cell r="C69" t="str">
            <v>Adj EPS</v>
          </cell>
          <cell r="AA69">
            <v>0.5275040697108222</v>
          </cell>
          <cell r="AB69">
            <v>0.54667091641763421</v>
          </cell>
          <cell r="AC69">
            <v>0.48054173683496959</v>
          </cell>
          <cell r="AD69">
            <v>0.32638841094042959</v>
          </cell>
          <cell r="AE69">
            <v>0.38096324624378219</v>
          </cell>
          <cell r="AG69">
            <v>0.24441644903007953</v>
          </cell>
          <cell r="AH69">
            <v>0.21738677439865195</v>
          </cell>
          <cell r="AI69">
            <v>0.15937293640234218</v>
          </cell>
          <cell r="AJ69">
            <v>0.15911929388604729</v>
          </cell>
          <cell r="AK69">
            <v>0.18877464398664756</v>
          </cell>
          <cell r="AM69">
            <v>-0.16560079624999047</v>
          </cell>
          <cell r="AN69">
            <v>-6.5971450900160988E-2</v>
          </cell>
          <cell r="AO69">
            <v>3.5997850411860544E-2</v>
          </cell>
          <cell r="AP69">
            <v>4.1208904721031114E-2</v>
          </cell>
          <cell r="AQ69">
            <v>-3.2816521616205185E-2</v>
          </cell>
          <cell r="AS69">
            <v>0.32618841197624171</v>
          </cell>
          <cell r="AT69">
            <v>9.724498617092614E-2</v>
          </cell>
          <cell r="AU69">
            <v>0.10949809779710917</v>
          </cell>
          <cell r="AV69">
            <v>5.5381393142082125E-2</v>
          </cell>
          <cell r="AW69">
            <v>0.16897564396265974</v>
          </cell>
          <cell r="AY69">
            <v>0.12654981084713857</v>
          </cell>
          <cell r="AZ69">
            <v>0.22014352052321273</v>
          </cell>
          <cell r="BA69">
            <v>0.2301181385003801</v>
          </cell>
          <cell r="BB69">
            <v>0.22706877064244657</v>
          </cell>
          <cell r="BC69">
            <v>0.20214058823990033</v>
          </cell>
          <cell r="BE69">
            <v>0.27068276513113898</v>
          </cell>
          <cell r="BF69">
            <v>0.22562431225230561</v>
          </cell>
          <cell r="BG69">
            <v>9.1343196289347173E-2</v>
          </cell>
          <cell r="BH69">
            <v>6.96207234942674E-2</v>
          </cell>
          <cell r="BI69">
            <v>0.15821357966246108</v>
          </cell>
          <cell r="BK69">
            <v>0.10640792295131751</v>
          </cell>
          <cell r="BL69">
            <v>0.11885882533486924</v>
          </cell>
          <cell r="BM69">
            <v>0.12320228657631183</v>
          </cell>
          <cell r="BN69">
            <v>0.11870236475311935</v>
          </cell>
          <cell r="BO69">
            <v>0.12246488990128901</v>
          </cell>
          <cell r="BQ69">
            <v>0.12646948741720521</v>
          </cell>
          <cell r="BR69">
            <v>0.12868534449808333</v>
          </cell>
          <cell r="BS69">
            <v>0.1283932921941755</v>
          </cell>
          <cell r="BT69">
            <v>0.13950459717763142</v>
          </cell>
          <cell r="BU69">
            <v>0.12523355700379657</v>
          </cell>
          <cell r="BW69">
            <v>0.13694787596233859</v>
          </cell>
          <cell r="BX69">
            <v>0.15059273133712736</v>
          </cell>
          <cell r="BY69">
            <v>0.14457626611128571</v>
          </cell>
          <cell r="BZ69">
            <v>0.14332857225316475</v>
          </cell>
          <cell r="CA69">
            <v>0.14386273940454486</v>
          </cell>
        </row>
        <row r="70">
          <cell r="C70" t="str">
            <v>Net Income</v>
          </cell>
          <cell r="U70">
            <v>0.37869633663787927</v>
          </cell>
          <cell r="V70">
            <v>0.25824136189858038</v>
          </cell>
          <cell r="W70">
            <v>0.15340899917660855</v>
          </cell>
          <cell r="X70">
            <v>1.3561245800417625</v>
          </cell>
          <cell r="Y70">
            <v>0.57150665871596074</v>
          </cell>
          <cell r="AA70">
            <v>3.0350579412717762</v>
          </cell>
          <cell r="AB70">
            <v>3.172160752164193</v>
          </cell>
          <cell r="AC70">
            <v>3.0774905166501041</v>
          </cell>
          <cell r="AD70">
            <v>0.83608976194146667</v>
          </cell>
          <cell r="AE70">
            <v>2.0084321475625821</v>
          </cell>
          <cell r="AG70">
            <v>0.2305927342256191</v>
          </cell>
          <cell r="AH70">
            <v>0.19203023016145715</v>
          </cell>
          <cell r="AI70">
            <v>0.13834534843803636</v>
          </cell>
          <cell r="AJ70">
            <v>0.12413793103448278</v>
          </cell>
          <cell r="AK70">
            <v>0.16492949110974608</v>
          </cell>
          <cell r="AM70">
            <v>-0.18645121193287684</v>
          </cell>
          <cell r="AN70">
            <v>-9.4812680115274883E-2</v>
          </cell>
          <cell r="AO70">
            <v>-7.2376357056697094E-3</v>
          </cell>
          <cell r="AP70">
            <v>2.8540944251800093E-2</v>
          </cell>
          <cell r="AQ70">
            <v>-5.9398496240598897E-2</v>
          </cell>
          <cell r="AS70">
            <v>0.30404889228418575</v>
          </cell>
          <cell r="AT70">
            <v>7.7045526902261408E-2</v>
          </cell>
          <cell r="AU70">
            <v>6.8043742405831997E-2</v>
          </cell>
          <cell r="AV70">
            <v>-3.1120331950204028E-3</v>
          </cell>
          <cell r="AW70">
            <v>0.13165467625899185</v>
          </cell>
          <cell r="AY70">
            <v>6.2975981253660773E-2</v>
          </cell>
          <cell r="AZ70">
            <v>0.13213124445758062</v>
          </cell>
          <cell r="BA70">
            <v>0.1638225255972694</v>
          </cell>
          <cell r="BB70">
            <v>0.15660770031217552</v>
          </cell>
          <cell r="BC70">
            <v>0.12997103906194618</v>
          </cell>
          <cell r="BE70">
            <v>0.19178837145219108</v>
          </cell>
          <cell r="BF70">
            <v>0.17258485639686749</v>
          </cell>
          <cell r="BG70">
            <v>3.2156953081678319E-2</v>
          </cell>
          <cell r="BH70">
            <v>9.2691404118703247E-3</v>
          </cell>
          <cell r="BI70">
            <v>9.5630233811428766E-2</v>
          </cell>
          <cell r="BK70">
            <v>5.5713800730923246E-2</v>
          </cell>
          <cell r="BL70">
            <v>5.9088931938933609E-2</v>
          </cell>
          <cell r="BM70">
            <v>7.3136577503258859E-2</v>
          </cell>
          <cell r="BN70">
            <v>7.9138479821540209E-2</v>
          </cell>
          <cell r="BO70">
            <v>6.6774337612541812E-2</v>
          </cell>
          <cell r="BQ70">
            <v>7.9933107397752501E-2</v>
          </cell>
          <cell r="BR70">
            <v>8.0710305702785368E-2</v>
          </cell>
          <cell r="BS70">
            <v>7.9055348427636396E-2</v>
          </cell>
          <cell r="BT70">
            <v>8.8262203410084838E-2</v>
          </cell>
          <cell r="BU70">
            <v>8.2075166563847279E-2</v>
          </cell>
          <cell r="BW70">
            <v>8.4331742513502395E-2</v>
          </cell>
          <cell r="BX70">
            <v>9.5804254891228124E-2</v>
          </cell>
          <cell r="BY70">
            <v>8.8505013608903393E-2</v>
          </cell>
          <cell r="BZ70">
            <v>8.5713171239512276E-2</v>
          </cell>
          <cell r="CA70">
            <v>8.8615218481271629E-2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7">
          <cell r="E7" t="str">
            <v>Current Quarter</v>
          </cell>
          <cell r="P7" t="str">
            <v>Y/Y</v>
          </cell>
        </row>
        <row r="8">
          <cell r="D8" t="str">
            <v>($ in millions, except EPS)</v>
          </cell>
          <cell r="E8" t="str">
            <v>2Q12E</v>
          </cell>
          <cell r="F8" t="str">
            <v>2Q12A</v>
          </cell>
          <cell r="G8" t="str">
            <v>Co. Guid
(midpt)</v>
          </cell>
          <cell r="H8" t="str">
            <v>A v E ($)</v>
          </cell>
          <cell r="I8" t="str">
            <v>A v E (%)</v>
          </cell>
          <cell r="J8" t="str">
            <v>EPS Impact</v>
          </cell>
          <cell r="K8" t="str">
            <v>Cons Est</v>
          </cell>
          <cell r="M8" t="str">
            <v>Variance</v>
          </cell>
          <cell r="O8" t="str">
            <v>2Q11A</v>
          </cell>
          <cell r="P8" t="str">
            <v>% Change</v>
          </cell>
          <cell r="Q8" t="str">
            <v>Comments</v>
          </cell>
        </row>
        <row r="9">
          <cell r="D9" t="str">
            <v>Analytical Technologies</v>
          </cell>
          <cell r="E9">
            <v>990.70749999999998</v>
          </cell>
          <cell r="F9">
            <v>999.5</v>
          </cell>
          <cell r="H9">
            <v>8.7925000000000182</v>
          </cell>
          <cell r="I9">
            <v>8.8749706649036142E-3</v>
          </cell>
          <cell r="O9">
            <v>929.2</v>
          </cell>
          <cell r="P9">
            <v>7.5656478691347395E-2</v>
          </cell>
        </row>
        <row r="10">
          <cell r="D10" t="str">
            <v>Specialty Diagnostics</v>
          </cell>
          <cell r="E10">
            <v>731.92075</v>
          </cell>
          <cell r="F10">
            <v>731.9</v>
          </cell>
          <cell r="H10">
            <v>-2.0750000000020918E-2</v>
          </cell>
          <cell r="I10">
            <v>-2.8350063855930863E-5</v>
          </cell>
          <cell r="O10">
            <v>570.6</v>
          </cell>
          <cell r="P10">
            <v>0.28268489309498768</v>
          </cell>
        </row>
        <row r="11">
          <cell r="D11" t="str">
            <v>Lab Products &amp; Services</v>
          </cell>
          <cell r="E11">
            <v>1500.2015000000001</v>
          </cell>
          <cell r="F11">
            <v>1519.7</v>
          </cell>
          <cell r="O11">
            <v>1483.9</v>
          </cell>
          <cell r="P11">
            <v>2.4125614933620865E-2</v>
          </cell>
        </row>
        <row r="12">
          <cell r="D12" t="str">
            <v>Eliminations</v>
          </cell>
          <cell r="E12">
            <v>-148.2501685</v>
          </cell>
          <cell r="F12">
            <v>-143</v>
          </cell>
          <cell r="O12">
            <v>-129.69999999999999</v>
          </cell>
        </row>
        <row r="13">
          <cell r="D13" t="str">
            <v>Total Revenues</v>
          </cell>
          <cell r="E13">
            <v>3074.5795814999997</v>
          </cell>
          <cell r="F13">
            <v>3108.1</v>
          </cell>
          <cell r="H13">
            <v>33.520418500000233</v>
          </cell>
          <cell r="I13">
            <v>1.0902439703202038E-2</v>
          </cell>
          <cell r="J13">
            <v>1.4433365526662112E-2</v>
          </cell>
          <cell r="K13">
            <v>3054.82</v>
          </cell>
          <cell r="M13">
            <v>1.7441289503145718E-2</v>
          </cell>
          <cell r="O13">
            <v>2854</v>
          </cell>
          <cell r="P13">
            <v>8.9032936229852755E-2</v>
          </cell>
          <cell r="Q13" t="str">
            <v>pro forma 1% reported and organic 4%</v>
          </cell>
        </row>
        <row r="15">
          <cell r="D15" t="str">
            <v>Reported Growth (% y/y)</v>
          </cell>
          <cell r="E15">
            <v>6.1151232656864618E-2</v>
          </cell>
          <cell r="F15">
            <v>8.9032936229852755E-2</v>
          </cell>
          <cell r="O15">
            <v>0.09</v>
          </cell>
          <cell r="Q15" t="str">
            <v>changed historicals so y/y comps changed</v>
          </cell>
        </row>
        <row r="16">
          <cell r="D16" t="str">
            <v>FX Impact (% y/y)</v>
          </cell>
          <cell r="E16">
            <v>-3.15E-2</v>
          </cell>
          <cell r="F16">
            <v>-0.03</v>
          </cell>
          <cell r="O16">
            <v>0.04</v>
          </cell>
        </row>
        <row r="17">
          <cell r="D17" t="str">
            <v>CC growth (% y/y)</v>
          </cell>
          <cell r="E17">
            <v>2.1154958504485011E-2</v>
          </cell>
          <cell r="F17">
            <v>0.04</v>
          </cell>
          <cell r="O17">
            <v>0.04</v>
          </cell>
          <cell r="Q17" t="str">
            <v>acquisitions added 1%</v>
          </cell>
        </row>
        <row r="19">
          <cell r="D19" t="str">
            <v>COGS</v>
          </cell>
          <cell r="E19">
            <v>1743.3440309921866</v>
          </cell>
          <cell r="F19">
            <v>1720.4</v>
          </cell>
          <cell r="H19">
            <v>-22.944030992186526</v>
          </cell>
          <cell r="I19">
            <v>-1.3160931281663513E-2</v>
          </cell>
          <cell r="K19">
            <v>1707.2625275</v>
          </cell>
          <cell r="O19">
            <v>1632.8</v>
          </cell>
          <cell r="P19">
            <v>5.3650171484566522E-2</v>
          </cell>
        </row>
        <row r="20">
          <cell r="D20" t="str">
            <v>Gross Profit</v>
          </cell>
          <cell r="E20">
            <v>1331.2355505078131</v>
          </cell>
          <cell r="F20">
            <v>1387.7</v>
          </cell>
          <cell r="H20">
            <v>56.464449492186986</v>
          </cell>
          <cell r="I20">
            <v>4.2415070323691406E-2</v>
          </cell>
          <cell r="K20">
            <v>1347.5574725000001</v>
          </cell>
          <cell r="M20">
            <v>2.9789102371661436E-2</v>
          </cell>
          <cell r="O20">
            <v>1221.2</v>
          </cell>
          <cell r="P20">
            <v>0.13634130363576813</v>
          </cell>
        </row>
        <row r="21">
          <cell r="D21" t="str">
            <v>SG&amp;A</v>
          </cell>
          <cell r="E21">
            <v>672.89631767382321</v>
          </cell>
          <cell r="F21">
            <v>703.4</v>
          </cell>
          <cell r="H21">
            <v>30.503682326176772</v>
          </cell>
          <cell r="I21">
            <v>4.5331920423679506E-2</v>
          </cell>
          <cell r="O21">
            <v>627.6</v>
          </cell>
          <cell r="P21">
            <v>0.12077756532823436</v>
          </cell>
          <cell r="Q21" t="str">
            <v>primarily due to acquisitions</v>
          </cell>
        </row>
        <row r="22">
          <cell r="D22" t="str">
            <v>R&amp;D</v>
          </cell>
          <cell r="E22">
            <v>86.087962994191813</v>
          </cell>
          <cell r="F22">
            <v>94.2</v>
          </cell>
          <cell r="H22">
            <v>8.1120370058081903</v>
          </cell>
          <cell r="I22">
            <v>9.4229631224466148E-2</v>
          </cell>
          <cell r="O22">
            <v>83.3</v>
          </cell>
          <cell r="P22">
            <v>0.13085234093637466</v>
          </cell>
          <cell r="Q22" t="str">
            <v>primarily due to acquisitions</v>
          </cell>
        </row>
        <row r="23">
          <cell r="D23" t="str">
            <v>Total Operating Expenses</v>
          </cell>
          <cell r="E23">
            <v>2502.3283116602015</v>
          </cell>
          <cell r="F23">
            <v>2518</v>
          </cell>
          <cell r="H23">
            <v>15.671688339798493</v>
          </cell>
          <cell r="I23">
            <v>6.2628425961424039E-3</v>
          </cell>
          <cell r="K23">
            <v>2476.9120000000003</v>
          </cell>
          <cell r="M23">
            <v>1.6588397165502755E-2</v>
          </cell>
          <cell r="O23">
            <v>2343.7000000000003</v>
          </cell>
          <cell r="P23">
            <v>7.4369586551179534E-2</v>
          </cell>
        </row>
        <row r="24">
          <cell r="D24" t="str">
            <v>Operating Income (Loss)</v>
          </cell>
          <cell r="E24">
            <v>572.25126983979817</v>
          </cell>
          <cell r="F24">
            <v>590.09999999999991</v>
          </cell>
          <cell r="H24">
            <v>17.84873016020174</v>
          </cell>
          <cell r="I24">
            <v>3.1190372308301795E-2</v>
          </cell>
          <cell r="K24">
            <v>577.90800000000002</v>
          </cell>
          <cell r="M24">
            <v>2.1096783571087352E-2</v>
          </cell>
          <cell r="O24">
            <v>510.29999999999973</v>
          </cell>
          <cell r="P24">
            <v>0.15637860082304567</v>
          </cell>
        </row>
        <row r="25">
          <cell r="D25" t="str">
            <v>Other (Income) expense, net</v>
          </cell>
          <cell r="E25">
            <v>-51.947374999999994</v>
          </cell>
          <cell r="F25">
            <v>-45</v>
          </cell>
          <cell r="O25">
            <v>-31.300000000000011</v>
          </cell>
          <cell r="Q25" t="str">
            <v>due to debt issued last year higher y/y</v>
          </cell>
        </row>
        <row r="26">
          <cell r="D26" t="str">
            <v>Income Taxes</v>
          </cell>
          <cell r="E26">
            <v>89.75242185986518</v>
          </cell>
          <cell r="F26">
            <v>96</v>
          </cell>
          <cell r="H26">
            <v>6.24757814013482</v>
          </cell>
          <cell r="I26">
            <v>6.9609020131952137E-2</v>
          </cell>
          <cell r="O26">
            <v>96</v>
          </cell>
          <cell r="P26">
            <v>0</v>
          </cell>
        </row>
        <row r="27">
          <cell r="D27" t="str">
            <v>Net Income (Loss)</v>
          </cell>
          <cell r="E27">
            <v>430.55147297993301</v>
          </cell>
          <cell r="F27">
            <v>449.09999999999991</v>
          </cell>
          <cell r="H27">
            <v>18.548527020066899</v>
          </cell>
          <cell r="I27">
            <v>4.3080858350544871E-2</v>
          </cell>
          <cell r="K27">
            <v>427.66899999999998</v>
          </cell>
          <cell r="M27">
            <v>5.0111184116688134E-2</v>
          </cell>
          <cell r="O27">
            <v>382.99999999999972</v>
          </cell>
          <cell r="P27">
            <v>0.17258485639686749</v>
          </cell>
        </row>
        <row r="28">
          <cell r="D28" t="str">
            <v>Diluted Shares Outstanding</v>
          </cell>
          <cell r="E28">
            <v>369.7435227272727</v>
          </cell>
          <cell r="F28">
            <v>369.2</v>
          </cell>
          <cell r="H28">
            <v>-0.54352272727271611</v>
          </cell>
          <cell r="I28">
            <v>-1.4699993207821782E-3</v>
          </cell>
          <cell r="J28">
            <v>1.7881275594888724E-3</v>
          </cell>
          <cell r="K28">
            <v>368.88051269223803</v>
          </cell>
          <cell r="O28">
            <v>385.9</v>
          </cell>
          <cell r="P28">
            <v>-4.3275459963721175E-2</v>
          </cell>
        </row>
        <row r="29">
          <cell r="D29" t="str">
            <v>EPS, Diluted</v>
          </cell>
          <cell r="E29">
            <v>1.1644598120452079</v>
          </cell>
          <cell r="F29">
            <v>1.2164138678223184</v>
          </cell>
          <cell r="H29">
            <v>5.1954055777110542E-2</v>
          </cell>
          <cell r="I29">
            <v>4.4616443813428441E-2</v>
          </cell>
          <cell r="J29">
            <v>5.1954055777110542E-2</v>
          </cell>
          <cell r="K29">
            <v>1.15937</v>
          </cell>
          <cell r="M29">
            <v>4.9202470153892452E-2</v>
          </cell>
          <cell r="O29">
            <v>0.99248509976677823</v>
          </cell>
          <cell r="P29">
            <v>0.22562431225230561</v>
          </cell>
          <cell r="Q29" t="str">
            <v>LPS would have been a $0.02 drag on Q</v>
          </cell>
        </row>
        <row r="31">
          <cell r="D31" t="str">
            <v>Margin Analysis</v>
          </cell>
        </row>
        <row r="32">
          <cell r="D32" t="str">
            <v>Gross Margin</v>
          </cell>
          <cell r="E32">
            <v>0.43298132808725059</v>
          </cell>
          <cell r="F32">
            <v>0.44647855603101577</v>
          </cell>
          <cell r="I32">
            <v>130</v>
          </cell>
          <cell r="J32">
            <v>9.514086872908889E-2</v>
          </cell>
          <cell r="K32">
            <v>0.44112499999999999</v>
          </cell>
          <cell r="O32">
            <v>0.42789067974772249</v>
          </cell>
          <cell r="P32">
            <v>190</v>
          </cell>
        </row>
        <row r="33">
          <cell r="D33" t="str">
            <v>SG&amp;A</v>
          </cell>
          <cell r="E33">
            <v>0.2188579933733692</v>
          </cell>
          <cell r="F33">
            <v>0.22631189472668189</v>
          </cell>
          <cell r="I33">
            <v>70</v>
          </cell>
          <cell r="J33">
            <v>-5.2541948104439351E-2</v>
          </cell>
          <cell r="O33">
            <v>0.21990189208128944</v>
          </cell>
          <cell r="P33">
            <v>60</v>
          </cell>
        </row>
        <row r="34">
          <cell r="D34" t="str">
            <v>R&amp;D</v>
          </cell>
          <cell r="E34">
            <v>2.7999913715745145E-2</v>
          </cell>
          <cell r="F34">
            <v>3.0307905151056917E-2</v>
          </cell>
          <cell r="I34">
            <v>20</v>
          </cell>
          <cell r="J34">
            <v>-1.62688450613514E-2</v>
          </cell>
          <cell r="O34">
            <v>2.9187105816398037E-2</v>
          </cell>
          <cell r="P34">
            <v>10</v>
          </cell>
        </row>
        <row r="35">
          <cell r="D35" t="str">
            <v>Operating Income</v>
          </cell>
          <cell r="E35">
            <v>0.18612342099813631</v>
          </cell>
          <cell r="F35">
            <v>0.18985875615327691</v>
          </cell>
          <cell r="I35">
            <v>40</v>
          </cell>
          <cell r="K35">
            <v>0.18917906783378399</v>
          </cell>
          <cell r="O35">
            <v>0.17880168185003495</v>
          </cell>
          <cell r="P35">
            <v>110.00000000000001</v>
          </cell>
          <cell r="Q35" t="str">
            <v>driven by good pull through on organic growth, productivity &amp; cost actions, and solid accretion</v>
          </cell>
        </row>
        <row r="36">
          <cell r="D36" t="str">
            <v>Effective Tax Rate</v>
          </cell>
          <cell r="E36">
            <v>0.15684093088162371</v>
          </cell>
          <cell r="F36">
            <v>0.16268429079816982</v>
          </cell>
          <cell r="I36">
            <v>60</v>
          </cell>
          <cell r="J36">
            <v>-4.1189371704560829E-2</v>
          </cell>
          <cell r="K36">
            <v>0.17368866459027288</v>
          </cell>
          <cell r="O36">
            <v>0.1881246325690771</v>
          </cell>
          <cell r="P36">
            <v>-250</v>
          </cell>
        </row>
        <row r="37">
          <cell r="D37" t="str">
            <v>Net Income</v>
          </cell>
          <cell r="E37">
            <v>0.14003588509160633</v>
          </cell>
          <cell r="F37">
            <v>0.14449342041761845</v>
          </cell>
          <cell r="I37">
            <v>40</v>
          </cell>
          <cell r="K37">
            <v>0.13999810136112764</v>
          </cell>
          <cell r="O37">
            <v>0.13419761737911692</v>
          </cell>
          <cell r="P37">
            <v>100</v>
          </cell>
        </row>
      </sheetData>
      <sheetData sheetId="8" refreshError="1">
        <row r="1">
          <cell r="B1">
            <v>2011</v>
          </cell>
          <cell r="C1" t="str">
            <v>2012 Guidance</v>
          </cell>
          <cell r="E1">
            <v>2012</v>
          </cell>
        </row>
        <row r="2">
          <cell r="A2" t="str">
            <v>($mm, except EPS)</v>
          </cell>
          <cell r="B2" t="str">
            <v>Actual</v>
          </cell>
          <cell r="C2" t="str">
            <v>Previous</v>
          </cell>
          <cell r="D2" t="str">
            <v>Current</v>
          </cell>
          <cell r="E2" t="str">
            <v>MSe</v>
          </cell>
          <cell r="F2" t="str">
            <v>Commentary</v>
          </cell>
        </row>
        <row r="3">
          <cell r="A3" t="str">
            <v>Total Revenues</v>
          </cell>
          <cell r="B3">
            <v>11558.8</v>
          </cell>
          <cell r="C3" t="str">
            <v>$12,270-$12,430</v>
          </cell>
          <cell r="D3" t="str">
            <v>$12,140-$12,260</v>
          </cell>
          <cell r="E3">
            <v>12181.643010916281</v>
          </cell>
          <cell r="F3" t="str">
            <v>Lab Workstations discontinued ops (-$110m), Doe &amp; Ingalls update (+$75m), and unfavorable FX (-$40m)</v>
          </cell>
        </row>
        <row r="4">
          <cell r="A4" t="str">
            <v>Organic Growth</v>
          </cell>
          <cell r="B4">
            <v>0.03</v>
          </cell>
          <cell r="C4">
            <v>0.03</v>
          </cell>
          <cell r="D4">
            <v>0.03</v>
          </cell>
          <cell r="E4">
            <v>3.2080330999612876E-2</v>
          </cell>
          <cell r="F4" t="str">
            <v>same organic growth</v>
          </cell>
        </row>
        <row r="5">
          <cell r="A5" t="str">
            <v>Currency Growth</v>
          </cell>
          <cell r="B5">
            <v>0.02</v>
          </cell>
          <cell r="C5">
            <v>-2.5000000000000001E-2</v>
          </cell>
          <cell r="D5">
            <v>-3.1577672422742849E-2</v>
          </cell>
          <cell r="E5">
            <v>-2.9963117427830893E-2</v>
          </cell>
          <cell r="F5" t="str">
            <v>$40mm increased FX headwind to $365mm or ~3% headwind on reported; Euro at 1.21 for 2H</v>
          </cell>
        </row>
        <row r="6">
          <cell r="A6" t="str">
            <v>Total Growth</v>
          </cell>
          <cell r="B6">
            <v>9.3527085580216163E-2</v>
          </cell>
          <cell r="C6" t="str">
            <v>4-5%</v>
          </cell>
          <cell r="D6" t="str">
            <v>5-6%</v>
          </cell>
          <cell r="E6">
            <v>5.3884746765778591E-2</v>
          </cell>
          <cell r="F6" t="str">
            <v>Acquisitions contribute 1% to growth</v>
          </cell>
        </row>
        <row r="8">
          <cell r="A8" t="str">
            <v>Gross Margins</v>
          </cell>
          <cell r="B8">
            <v>0.4378828252067688</v>
          </cell>
          <cell r="C8" t="str">
            <v>up slightly</v>
          </cell>
          <cell r="D8" t="str">
            <v>up slightly</v>
          </cell>
          <cell r="E8">
            <v>0.45084576409892801</v>
          </cell>
          <cell r="F8" t="str">
            <v>improving gross margins due to acquisitions &amp; mix</v>
          </cell>
        </row>
        <row r="9">
          <cell r="A9" t="str">
            <v>EBIT Margin</v>
          </cell>
          <cell r="B9">
            <v>0.18408485309893741</v>
          </cell>
          <cell r="C9" t="str">
            <v>18.8%-19.0%</v>
          </cell>
          <cell r="D9" t="str">
            <v>18.8%-19.0%</v>
          </cell>
          <cell r="E9">
            <v>0.19248592329536141</v>
          </cell>
          <cell r="F9" t="str">
            <v>still +70-90 bps</v>
          </cell>
        </row>
        <row r="11">
          <cell r="A11" t="str">
            <v>Net Interest Expense</v>
          </cell>
          <cell r="B11">
            <v>-150.39999999999986</v>
          </cell>
          <cell r="C11" t="str">
            <v>(205-210)</v>
          </cell>
          <cell r="D11" t="str">
            <v>(220-225)</v>
          </cell>
          <cell r="E11">
            <v>-224.7</v>
          </cell>
          <cell r="F11" t="str">
            <v>up $70-75mm y/y and +15mm vs. previous guidance</v>
          </cell>
        </row>
        <row r="12">
          <cell r="A12" t="str">
            <v>Tax Rate</v>
          </cell>
          <cell r="B12">
            <v>0.19171009772760078</v>
          </cell>
          <cell r="C12" t="str">
            <v>17-18%</v>
          </cell>
          <cell r="D12" t="str">
            <v>17-18%</v>
          </cell>
          <cell r="E12">
            <v>0.17330126784870592</v>
          </cell>
        </row>
        <row r="13">
          <cell r="A13" t="str">
            <v>Adjusted EPS, Diluted</v>
          </cell>
          <cell r="B13">
            <v>4.1574946397245078</v>
          </cell>
          <cell r="C13" t="str">
            <v>$4.71-$4.83</v>
          </cell>
          <cell r="D13" t="str">
            <v>$4.74-$4.84</v>
          </cell>
          <cell r="E13">
            <v>4.8152667491028165</v>
          </cell>
          <cell r="F13" t="str">
            <v>+$0.02 from buyback, -$0.02 from FX and debt issuance, +0.02 higher from workstation divestiture</v>
          </cell>
        </row>
        <row r="14">
          <cell r="A14" t="str">
            <v>Diluted Share Count</v>
          </cell>
          <cell r="B14">
            <v>384.77499999999998</v>
          </cell>
          <cell r="C14" t="str">
            <v>367-372</v>
          </cell>
          <cell r="D14" t="str">
            <v>364-368</v>
          </cell>
          <cell r="E14">
            <v>363.98392370572208</v>
          </cell>
          <cell r="F14" t="str">
            <v>use $750mm repurchase through EOY</v>
          </cell>
        </row>
        <row r="15">
          <cell r="A15" t="str">
            <v>FCF</v>
          </cell>
          <cell r="B15">
            <v>1424.5</v>
          </cell>
          <cell r="C15" t="str">
            <v>&gt;$1,500</v>
          </cell>
          <cell r="E15">
            <v>1575.3018869243094</v>
          </cell>
          <cell r="F15" t="str">
            <v xml:space="preserve">Capex 300-310; </v>
          </cell>
        </row>
        <row r="17">
          <cell r="H17" t="str">
            <v>Analysis</v>
          </cell>
          <cell r="I17" t="str">
            <v>Commentary</v>
          </cell>
        </row>
        <row r="18">
          <cell r="H18" t="str">
            <v>Product Lines</v>
          </cell>
        </row>
        <row r="19">
          <cell r="H19" t="str">
            <v>MS</v>
          </cell>
          <cell r="I19" t="str">
            <v xml:space="preserve">Instrumentation broadly would be softer in 2H; good strength in biopharma; believe have gained share in mass spec vs. peers; pricing was up slightly in the quarter overall as well </v>
          </cell>
        </row>
        <row r="20">
          <cell r="H20" t="str">
            <v>Phadia</v>
          </cell>
          <cell r="I20" t="str">
            <v>Integration for both businesses has gone well; '12 accretion will be better for both; Phadia will be more accretive than the $0.30 that was discussed</v>
          </cell>
        </row>
        <row r="21">
          <cell r="H21" t="str">
            <v>Dionex</v>
          </cell>
          <cell r="I21" t="str">
            <v>Integration going well; both businesses have more European exposure than company average and growing slightly less than company avg for organic growth</v>
          </cell>
        </row>
        <row r="22">
          <cell r="H22" t="str">
            <v>New Products</v>
          </cell>
          <cell r="I22" t="str">
            <v xml:space="preserve">Launched 13 products in Q1 and continued in Q2 with ASMS- Qexactive2 strong follow through; intro of 8 software packages going well; launched new spectrometer as well as '50 </v>
          </cell>
        </row>
        <row r="23">
          <cell r="H23" t="str">
            <v>Revenue Mix</v>
          </cell>
        </row>
        <row r="24">
          <cell r="H24" t="str">
            <v>Analytical Technologies</v>
          </cell>
          <cell r="I24" t="str">
            <v>5% organic- strong growth in instruments sold to industrial and applied markets, as well as bioprocess; margin expansion +40 bps y/y driven by organic growth pull thorugh and productivity actions; Q4 strongest Q for instrumentation</v>
          </cell>
        </row>
        <row r="25">
          <cell r="H25" t="str">
            <v>Specialty Diagnostics</v>
          </cell>
          <cell r="I25" t="str">
            <v>3% organic- strong growth in clinical diagnostics, offset by weak demand in S. Europe</v>
          </cell>
        </row>
        <row r="26">
          <cell r="H26" t="str">
            <v>Lab Products &amp; Services</v>
          </cell>
          <cell r="I26" t="str">
            <v>Organic 4%, solid growth in lab consumables and clinical trials logistics business; channel business also performing well, good trajectory; would have had 3.5% organic growth without divestiture vs. 4%, and $0.02 lower on the year (all in Q3- nothing in Q</v>
          </cell>
        </row>
        <row r="28">
          <cell r="H28" t="str">
            <v>End Market</v>
          </cell>
        </row>
        <row r="29">
          <cell r="H29" t="str">
            <v>Industrial/Applied</v>
          </cell>
          <cell r="I29" t="str">
            <v>Strong sales &amp; bookings in applied, particularly in mining industry; consistent pacing through the quarter; for comps, industrial gets harder for Q3/Q4</v>
          </cell>
        </row>
        <row r="30">
          <cell r="H30" t="str">
            <v>Academic/Govt</v>
          </cell>
          <cell r="I30" t="str">
            <v>Markets are consistent with 1H trends- down low single digits; outlook has not changed; lab consumables spend is steady while capital equipment side is constrained; for comps, Q3/Q4 academic comps are easier</v>
          </cell>
        </row>
        <row r="31">
          <cell r="H31" t="str">
            <v>Diagnostics</v>
          </cell>
          <cell r="I31" t="str">
            <v xml:space="preserve">Trends continuing from last several quarters- clinical Dx product sales robust, driven by strength in Biomarker business in applied markets- high single digit growth there; softness in Europe; pricing here was flat, and traditionally haven't gotten a lot </v>
          </cell>
        </row>
        <row r="32">
          <cell r="H32" t="str">
            <v>Pharma</v>
          </cell>
          <cell r="I32" t="str">
            <v>Strength on quarter, continue to gain share; BioProcess production had another great quarter; sera media &amp; disposable products grew in the US, and vaccines/biosimilars grew in LatAm and ROW</v>
          </cell>
        </row>
        <row r="34">
          <cell r="H34" t="str">
            <v>Geography</v>
          </cell>
        </row>
        <row r="35">
          <cell r="H35" t="str">
            <v>US</v>
          </cell>
          <cell r="I35" t="str">
            <v>N America low single digits; US was slightly stronger than 1Q- low single digit org. growth- implies slowdown in 2H to 2% in US and W Europe</v>
          </cell>
        </row>
        <row r="36">
          <cell r="H36" t="str">
            <v>Europe</v>
          </cell>
          <cell r="I36" t="str">
            <v>Europe weakened but still up y/y low single digits; expect slowdown in 2H in W Europe; 3Q is seasonally weakest quarter in Europe &amp; around the world</v>
          </cell>
        </row>
        <row r="37">
          <cell r="H37" t="str">
            <v>Asia</v>
          </cell>
          <cell r="I37" t="str">
            <v>Low double digits overall; Good growth- slightly stronger than Q1- India, S. Korea strong, China was +20%- driven by biopharma, HC, and environmental monitoring strength- due to regulations relating to particulate matter- TMO is 70% share for this applica</v>
          </cell>
        </row>
        <row r="38">
          <cell r="H38" t="str">
            <v>EM</v>
          </cell>
          <cell r="I38" t="str">
            <v>Low single digit growth; going to continue to expand in emerging markets and make commercial investments there</v>
          </cell>
        </row>
        <row r="50">
          <cell r="S50">
            <v>2010</v>
          </cell>
          <cell r="T50">
            <v>2011</v>
          </cell>
          <cell r="U50" t="str">
            <v>2012E</v>
          </cell>
          <cell r="V50" t="str">
            <v>2013E</v>
          </cell>
          <cell r="W50" t="str">
            <v>2014E</v>
          </cell>
          <cell r="X50" t="str">
            <v>2015E</v>
          </cell>
          <cell r="Y50" t="str">
            <v>Comments</v>
          </cell>
        </row>
        <row r="51">
          <cell r="Q51" t="str">
            <v>Total Revs ($MM)</v>
          </cell>
        </row>
        <row r="52">
          <cell r="R52" t="str">
            <v>Current</v>
          </cell>
          <cell r="S52">
            <v>10570.199999999999</v>
          </cell>
          <cell r="T52">
            <v>11558.8</v>
          </cell>
          <cell r="U52">
            <v>12181.643010916281</v>
          </cell>
          <cell r="V52">
            <v>12580.52764384253</v>
          </cell>
          <cell r="W52">
            <v>13040.248317990276</v>
          </cell>
          <cell r="X52">
            <v>13577.177965199713</v>
          </cell>
          <cell r="Y52" t="str">
            <v>Sustainable 4% growth rate</v>
          </cell>
        </row>
        <row r="53">
          <cell r="R53" t="str">
            <v>% Y/Y</v>
          </cell>
          <cell r="T53">
            <v>9.3527085580216163E-2</v>
          </cell>
          <cell r="U53">
            <v>5.3884746765778591E-2</v>
          </cell>
          <cell r="V53">
            <v>3.2744731771305213E-2</v>
          </cell>
          <cell r="W53">
            <v>3.6542241085790517E-2</v>
          </cell>
          <cell r="X53">
            <v>4.1174802359299489E-2</v>
          </cell>
        </row>
        <row r="54">
          <cell r="R54" t="str">
            <v>Prior</v>
          </cell>
          <cell r="S54">
            <v>10570.2</v>
          </cell>
          <cell r="T54">
            <v>11725.9</v>
          </cell>
          <cell r="U54">
            <v>12329.063963099999</v>
          </cell>
          <cell r="V54">
            <v>12740.925074374001</v>
          </cell>
          <cell r="W54">
            <v>13208.993797358809</v>
          </cell>
          <cell r="X54">
            <v>13754.818656943684</v>
          </cell>
        </row>
        <row r="55">
          <cell r="R55" t="str">
            <v>% Y/Y</v>
          </cell>
          <cell r="T55">
            <v>0.10933567955194778</v>
          </cell>
          <cell r="U55">
            <v>5.1438607109049128E-2</v>
          </cell>
          <cell r="V55">
            <v>3.3405708049424776E-2</v>
          </cell>
          <cell r="W55">
            <v>3.673742057601781E-2</v>
          </cell>
          <cell r="X55">
            <v>4.132221333119368E-2</v>
          </cell>
        </row>
        <row r="56">
          <cell r="Q56" t="str">
            <v xml:space="preserve">COGS </v>
          </cell>
        </row>
        <row r="57">
          <cell r="R57" t="str">
            <v>Current</v>
          </cell>
          <cell r="S57">
            <v>6127.7999999999993</v>
          </cell>
          <cell r="T57">
            <v>6497.4000000000005</v>
          </cell>
          <cell r="U57">
            <v>6689.6008596793645</v>
          </cell>
          <cell r="V57">
            <v>6883.4955351009603</v>
          </cell>
          <cell r="W57">
            <v>7082.8112888782398</v>
          </cell>
          <cell r="X57">
            <v>7320.0669201334013</v>
          </cell>
        </row>
        <row r="58">
          <cell r="R58" t="str">
            <v>% sales</v>
          </cell>
          <cell r="S58">
            <v>0.57972413010160639</v>
          </cell>
          <cell r="T58">
            <v>0.5621171747932312</v>
          </cell>
          <cell r="U58">
            <v>0.54915423590107204</v>
          </cell>
          <cell r="V58">
            <v>0.54715475614173059</v>
          </cell>
          <cell r="W58">
            <v>0.54315003182161958</v>
          </cell>
          <cell r="X58">
            <v>0.53914494889113185</v>
          </cell>
        </row>
        <row r="59">
          <cell r="R59" t="str">
            <v>Prior</v>
          </cell>
          <cell r="S59">
            <v>6127.8</v>
          </cell>
          <cell r="T59">
            <v>6664.5</v>
          </cell>
          <cell r="U59">
            <v>6859.1139928342564</v>
          </cell>
          <cell r="V59">
            <v>7024.7183908234101</v>
          </cell>
          <cell r="W59">
            <v>7229.8853901584498</v>
          </cell>
          <cell r="X59">
            <v>7473.5418878996743</v>
          </cell>
        </row>
        <row r="60">
          <cell r="R60" t="str">
            <v>% sales</v>
          </cell>
          <cell r="S60">
            <v>0.57972413010160639</v>
          </cell>
          <cell r="T60">
            <v>0.56835722631098684</v>
          </cell>
          <cell r="U60">
            <v>0.55633696226762153</v>
          </cell>
          <cell r="V60">
            <v>0.55135073393943135</v>
          </cell>
          <cell r="W60">
            <v>0.54734565713885752</v>
          </cell>
          <cell r="X60">
            <v>0.54333990685707034</v>
          </cell>
        </row>
        <row r="61">
          <cell r="Q61" t="str">
            <v>SG&amp;A</v>
          </cell>
        </row>
        <row r="62">
          <cell r="R62" t="str">
            <v>Current</v>
          </cell>
          <cell r="S62">
            <v>2317.5</v>
          </cell>
          <cell r="T62">
            <v>2593</v>
          </cell>
          <cell r="U62">
            <v>2778.9569094522612</v>
          </cell>
          <cell r="V62">
            <v>2869.8880073626419</v>
          </cell>
          <cell r="W62">
            <v>2964.9462788476494</v>
          </cell>
          <cell r="X62">
            <v>3076.8694398037796</v>
          </cell>
        </row>
        <row r="63">
          <cell r="R63" t="str">
            <v>% sales</v>
          </cell>
          <cell r="S63">
            <v>0.219248453198615</v>
          </cell>
          <cell r="T63">
            <v>0.22433124545800603</v>
          </cell>
          <cell r="U63">
            <v>0.2281266087802743</v>
          </cell>
          <cell r="V63">
            <v>0.22812143406141577</v>
          </cell>
          <cell r="W63">
            <v>0.22736885115578828</v>
          </cell>
          <cell r="X63">
            <v>0.22662069007935556</v>
          </cell>
        </row>
        <row r="64">
          <cell r="R64" t="str">
            <v>Prior</v>
          </cell>
          <cell r="S64">
            <v>2317.5</v>
          </cell>
          <cell r="T64">
            <v>2593</v>
          </cell>
          <cell r="U64">
            <v>2763.4525179782313</v>
          </cell>
          <cell r="V64">
            <v>2855.7332098784591</v>
          </cell>
          <cell r="W64">
            <v>2950.6941543773014</v>
          </cell>
          <cell r="X64">
            <v>3062.3363005746405</v>
          </cell>
        </row>
        <row r="65">
          <cell r="R65" t="str">
            <v>% sales</v>
          </cell>
          <cell r="S65">
            <v>0.21924845319861497</v>
          </cell>
          <cell r="T65">
            <v>0.22113441185751201</v>
          </cell>
          <cell r="U65">
            <v>0.22414130758418041</v>
          </cell>
          <cell r="V65">
            <v>0.22413860792747575</v>
          </cell>
          <cell r="W65">
            <v>0.22338523279247086</v>
          </cell>
          <cell r="X65">
            <v>0.22263734455188308</v>
          </cell>
        </row>
        <row r="66">
          <cell r="Q66" t="str">
            <v>R&amp;D</v>
          </cell>
        </row>
        <row r="67">
          <cell r="R67" t="str">
            <v>Current</v>
          </cell>
          <cell r="S67">
            <v>284.79999999999995</v>
          </cell>
          <cell r="T67">
            <v>340.59999999999997</v>
          </cell>
          <cell r="U67">
            <v>368.29043957394936</v>
          </cell>
          <cell r="V67">
            <v>380.35509952569271</v>
          </cell>
          <cell r="W67">
            <v>384.48503990131485</v>
          </cell>
          <cell r="X67">
            <v>390.14323052339898</v>
          </cell>
        </row>
        <row r="68">
          <cell r="R68" t="str">
            <v>% sales</v>
          </cell>
          <cell r="S68">
            <v>2.6943671832131841E-2</v>
          </cell>
          <cell r="T68">
            <v>2.9466726649825241E-2</v>
          </cell>
          <cell r="U68">
            <v>3.0233232023292336E-2</v>
          </cell>
          <cell r="V68">
            <v>3.0233636481205573E-2</v>
          </cell>
          <cell r="W68">
            <v>2.9484487605261379E-2</v>
          </cell>
          <cell r="X68">
            <v>2.8735222556807678E-2</v>
          </cell>
        </row>
        <row r="69">
          <cell r="R69" t="str">
            <v>Prior</v>
          </cell>
          <cell r="S69">
            <v>284.8</v>
          </cell>
          <cell r="T69">
            <v>340.6</v>
          </cell>
          <cell r="U69">
            <v>358.64519153634689</v>
          </cell>
          <cell r="V69">
            <v>370.60942505382383</v>
          </cell>
          <cell r="W69">
            <v>374.32176024261116</v>
          </cell>
          <cell r="X69">
            <v>379.48788802854426</v>
          </cell>
        </row>
        <row r="70">
          <cell r="R70" t="str">
            <v>% sales</v>
          </cell>
          <cell r="S70">
            <v>2.6943671832131841E-2</v>
          </cell>
          <cell r="T70">
            <v>2.9046810905772696E-2</v>
          </cell>
          <cell r="U70">
            <v>2.9089409594251932E-2</v>
          </cell>
          <cell r="V70">
            <v>2.9088109606674926E-2</v>
          </cell>
          <cell r="W70">
            <v>2.8338400788518674E-2</v>
          </cell>
          <cell r="X70">
            <v>2.7589450467743668E-2</v>
          </cell>
        </row>
        <row r="71">
          <cell r="Q71" t="str">
            <v>Int Exp/Other</v>
          </cell>
        </row>
        <row r="72">
          <cell r="R72" t="str">
            <v>Current</v>
          </cell>
          <cell r="S72">
            <v>-71.999999999999943</v>
          </cell>
          <cell r="T72">
            <v>-150.39999999999986</v>
          </cell>
          <cell r="U72">
            <v>-224.7</v>
          </cell>
          <cell r="V72">
            <v>-183.2130817045047</v>
          </cell>
          <cell r="W72">
            <v>-158.64641953821672</v>
          </cell>
          <cell r="X72">
            <v>-123.68857521870299</v>
          </cell>
        </row>
        <row r="73">
          <cell r="R73" t="str">
            <v>% sales</v>
          </cell>
          <cell r="S73">
            <v>-6.8116024294715286E-3</v>
          </cell>
          <cell r="T73">
            <v>-1.3011731321590466E-2</v>
          </cell>
          <cell r="U73">
            <v>-1.8445787632968769E-2</v>
          </cell>
          <cell r="V73">
            <v>-1.4563227146850025E-2</v>
          </cell>
          <cell r="W73">
            <v>-1.2165904794876394E-2</v>
          </cell>
          <cell r="X73">
            <v>-9.1100356447956152E-3</v>
          </cell>
        </row>
        <row r="74">
          <cell r="R74" t="str">
            <v>Prior</v>
          </cell>
          <cell r="S74">
            <v>-71.999999999999943</v>
          </cell>
          <cell r="T74">
            <v>-150.4</v>
          </cell>
          <cell r="U74">
            <v>-202.25387499999999</v>
          </cell>
          <cell r="V74">
            <v>-188.32484134598826</v>
          </cell>
          <cell r="W74">
            <v>-162.42762130718484</v>
          </cell>
          <cell r="X74">
            <v>-126.05908932965031</v>
          </cell>
        </row>
        <row r="75">
          <cell r="R75" t="str">
            <v>% sales</v>
          </cell>
          <cell r="S75">
            <v>-6.8116024294715277E-3</v>
          </cell>
          <cell r="T75">
            <v>-1.2826307575537913E-2</v>
          </cell>
          <cell r="U75">
            <v>-1.6404641553108272E-2</v>
          </cell>
          <cell r="V75">
            <v>-1.4781096368329536E-2</v>
          </cell>
          <cell r="W75">
            <v>-1.2296744460555571E-2</v>
          </cell>
          <cell r="X75">
            <v>-9.1647220129662255E-3</v>
          </cell>
        </row>
        <row r="76">
          <cell r="Q76" t="str">
            <v>EPS- Diluted Adj.</v>
          </cell>
        </row>
        <row r="77">
          <cell r="R77" t="str">
            <v>Current</v>
          </cell>
          <cell r="S77">
            <v>3.4584096738732146</v>
          </cell>
          <cell r="T77">
            <v>4.1574946397245078</v>
          </cell>
          <cell r="U77">
            <v>4.8152667491028165</v>
          </cell>
          <cell r="V77">
            <v>5.4049678613770302</v>
          </cell>
          <cell r="W77">
            <v>6.0818512121484787</v>
          </cell>
          <cell r="X77">
            <v>6.9568029881790103</v>
          </cell>
        </row>
        <row r="78">
          <cell r="R78" t="str">
            <v>% Y/Y</v>
          </cell>
          <cell r="T78">
            <v>0.20214058823990033</v>
          </cell>
          <cell r="U78">
            <v>0.15821357966246108</v>
          </cell>
          <cell r="V78">
            <v>0.12246488990128901</v>
          </cell>
          <cell r="W78">
            <v>0.12523355700379657</v>
          </cell>
          <cell r="X78">
            <v>0.14386273940454486</v>
          </cell>
        </row>
        <row r="79">
          <cell r="R79" t="str">
            <v>Prior</v>
          </cell>
          <cell r="S79">
            <v>3.4584096738732146</v>
          </cell>
          <cell r="T79">
            <v>4.1574946397245132</v>
          </cell>
          <cell r="U79">
            <v>4.8164473532256684</v>
          </cell>
          <cell r="V79">
            <v>5.3260367232475581</v>
          </cell>
          <cell r="W79">
            <v>6.0189766752123948</v>
          </cell>
          <cell r="X79">
            <v>6.8780970827631673</v>
          </cell>
        </row>
        <row r="80">
          <cell r="R80" t="str">
            <v>% Y/Y</v>
          </cell>
          <cell r="T80">
            <v>0.20214058823990189</v>
          </cell>
          <cell r="U80">
            <v>0.1584975497514578</v>
          </cell>
          <cell r="V80">
            <v>0.10580191843695919</v>
          </cell>
          <cell r="W80">
            <v>0.13010423847440467</v>
          </cell>
          <cell r="X80">
            <v>0.1427352943713569</v>
          </cell>
        </row>
        <row r="81">
          <cell r="Q81" t="str">
            <v>Diluted Shs</v>
          </cell>
        </row>
        <row r="82">
          <cell r="R82" t="str">
            <v>Current</v>
          </cell>
          <cell r="S82">
            <v>409.34999999999997</v>
          </cell>
          <cell r="T82">
            <v>384.77499999999998</v>
          </cell>
          <cell r="U82">
            <v>363.98392370572208</v>
          </cell>
          <cell r="V82">
            <v>345.92503748329472</v>
          </cell>
          <cell r="W82">
            <v>332.65706503639075</v>
          </cell>
          <cell r="X82">
            <v>316.59003397771681</v>
          </cell>
        </row>
        <row r="83">
          <cell r="R83" t="str">
            <v>% Y/Y</v>
          </cell>
          <cell r="T83">
            <v>-6.0034200561866369E-2</v>
          </cell>
          <cell r="U83">
            <v>-5.4034374099871108E-2</v>
          </cell>
          <cell r="V83">
            <v>-4.9614516043922308E-2</v>
          </cell>
          <cell r="W83">
            <v>-3.83550509770334E-2</v>
          </cell>
          <cell r="X83">
            <v>-4.8299082591004905E-2</v>
          </cell>
        </row>
        <row r="84">
          <cell r="R84" t="str">
            <v>Prior</v>
          </cell>
          <cell r="S84">
            <v>409.35</v>
          </cell>
          <cell r="T84">
            <v>384.77499999999998</v>
          </cell>
          <cell r="U84">
            <v>368.45196022727276</v>
          </cell>
          <cell r="V84">
            <v>356.93921840774613</v>
          </cell>
          <cell r="W84">
            <v>341.93772375751701</v>
          </cell>
          <cell r="X84">
            <v>325.8551015911857</v>
          </cell>
        </row>
        <row r="85">
          <cell r="R85" t="str">
            <v>% Y/Y</v>
          </cell>
          <cell r="T85">
            <v>-6.003420056186648E-2</v>
          </cell>
          <cell r="U85">
            <v>-4.2422298155356253E-2</v>
          </cell>
          <cell r="V85">
            <v>-3.1246249341230881E-2</v>
          </cell>
          <cell r="W85">
            <v>-4.2028148986117619E-2</v>
          </cell>
          <cell r="X85">
            <v>-4.7033775593991467E-2</v>
          </cell>
        </row>
        <row r="86">
          <cell r="Q86" t="str">
            <v>FCF</v>
          </cell>
        </row>
        <row r="87">
          <cell r="R87" t="str">
            <v>Current</v>
          </cell>
          <cell r="S87">
            <v>1239.9999999999998</v>
          </cell>
          <cell r="T87">
            <v>1424.5</v>
          </cell>
          <cell r="U87">
            <v>1575.3018869243094</v>
          </cell>
          <cell r="V87">
            <v>1644.5873070170619</v>
          </cell>
          <cell r="W87">
            <v>1817.1464779661073</v>
          </cell>
          <cell r="X87">
            <v>1945.6685496018629</v>
          </cell>
        </row>
        <row r="88">
          <cell r="R88" t="str">
            <v>% Y/Y</v>
          </cell>
          <cell r="T88">
            <v>0.14879032258064528</v>
          </cell>
          <cell r="U88">
            <v>0.10586303048389567</v>
          </cell>
          <cell r="V88">
            <v>4.3982312639787802E-2</v>
          </cell>
          <cell r="W88">
            <v>0.10492551548511697</v>
          </cell>
          <cell r="X88">
            <v>7.0727414214624806E-2</v>
          </cell>
        </row>
        <row r="89">
          <cell r="R89" t="str">
            <v>Prior</v>
          </cell>
          <cell r="S89">
            <v>1240</v>
          </cell>
          <cell r="T89">
            <v>1424.5</v>
          </cell>
          <cell r="U89">
            <v>1559.7019119336819</v>
          </cell>
          <cell r="V89">
            <v>1721.9872961077901</v>
          </cell>
          <cell r="W89">
            <v>1885.5349283103346</v>
          </cell>
          <cell r="X89">
            <v>2018.5558878479412</v>
          </cell>
        </row>
        <row r="90">
          <cell r="R90" t="str">
            <v>% Y/Y</v>
          </cell>
          <cell r="T90">
            <v>0.14879032258064506</v>
          </cell>
          <cell r="U90">
            <v>9.4911837089281859E-2</v>
          </cell>
          <cell r="V90">
            <v>0.10404897431516935</v>
          </cell>
          <cell r="W90">
            <v>9.4976096845900804E-2</v>
          </cell>
          <cell r="X90">
            <v>7.0548128035373692E-2</v>
          </cell>
        </row>
      </sheetData>
      <sheetData sheetId="9" refreshError="1"/>
      <sheetData sheetId="10" refreshError="1">
        <row r="1">
          <cell r="B1">
            <v>2013</v>
          </cell>
          <cell r="C1" t="str">
            <v>Bear</v>
          </cell>
          <cell r="D1" t="str">
            <v>Base</v>
          </cell>
          <cell r="E1" t="str">
            <v>Bull</v>
          </cell>
        </row>
        <row r="2">
          <cell r="B2" t="str">
            <v>Revenues</v>
          </cell>
          <cell r="C2">
            <v>12328.917090965679</v>
          </cell>
          <cell r="D2">
            <v>12580.52764384253</v>
          </cell>
          <cell r="E2">
            <v>12895.040834938593</v>
          </cell>
        </row>
        <row r="3">
          <cell r="B3" t="str">
            <v xml:space="preserve">  % from base</v>
          </cell>
          <cell r="C3">
            <v>-0.02</v>
          </cell>
          <cell r="E3">
            <v>2.5000000000000001E-2</v>
          </cell>
        </row>
        <row r="4">
          <cell r="B4" t="str">
            <v xml:space="preserve">  % change YY</v>
          </cell>
          <cell r="C4">
            <v>1.2089837135879078E-2</v>
          </cell>
          <cell r="D4">
            <v>3.2744731771305213E-2</v>
          </cell>
          <cell r="E4">
            <v>5.8563350065587771E-2</v>
          </cell>
        </row>
        <row r="5">
          <cell r="B5" t="str">
            <v>EBITDA</v>
          </cell>
          <cell r="C5">
            <v>2552.0858378298954</v>
          </cell>
          <cell r="D5">
            <v>2697.4601019829402</v>
          </cell>
          <cell r="E5">
            <v>2836.9089836864905</v>
          </cell>
        </row>
        <row r="6">
          <cell r="B6" t="str">
            <v>other exp</v>
          </cell>
          <cell r="C6">
            <v>433.88418183420845</v>
          </cell>
          <cell r="D6">
            <v>433.88418183420845</v>
          </cell>
          <cell r="E6">
            <v>433.88418183420845</v>
          </cell>
        </row>
        <row r="7">
          <cell r="B7" t="str">
            <v>Pre-tax</v>
          </cell>
          <cell r="C7">
            <v>2118.2016559956869</v>
          </cell>
          <cell r="D7">
            <v>2263.5759201487317</v>
          </cell>
          <cell r="E7">
            <v>2403.0248018522821</v>
          </cell>
        </row>
        <row r="8">
          <cell r="B8" t="str">
            <v>tax</v>
          </cell>
          <cell r="C8">
            <v>0.17399999999999999</v>
          </cell>
          <cell r="D8">
            <v>0.17399999999999999</v>
          </cell>
          <cell r="E8">
            <v>0.17399999999999999</v>
          </cell>
        </row>
        <row r="9">
          <cell r="B9" t="str">
            <v>Net income</v>
          </cell>
          <cell r="C9">
            <v>1749.6345678524376</v>
          </cell>
          <cell r="D9">
            <v>1869.7137100428524</v>
          </cell>
          <cell r="E9">
            <v>1984.8984863299852</v>
          </cell>
        </row>
        <row r="10">
          <cell r="B10" t="str">
            <v>Shares</v>
          </cell>
          <cell r="C10">
            <v>345.92503748329472</v>
          </cell>
          <cell r="D10">
            <v>345.92503748329472</v>
          </cell>
          <cell r="E10">
            <v>345.92503748329472</v>
          </cell>
        </row>
        <row r="12">
          <cell r="B12" t="str">
            <v>Diluted EPS</v>
          </cell>
          <cell r="C12">
            <v>5.0578431112750266</v>
          </cell>
          <cell r="D12">
            <v>5.4049678613770302</v>
          </cell>
          <cell r="E12">
            <v>5.7379439799174383</v>
          </cell>
        </row>
        <row r="13">
          <cell r="B13" t="str">
            <v>change vs  base</v>
          </cell>
          <cell r="C13">
            <v>-6.4223277363496867E-2</v>
          </cell>
          <cell r="E13">
            <v>6.1605568632479457E-2</v>
          </cell>
        </row>
        <row r="14">
          <cell r="B14" t="str">
            <v>yy %</v>
          </cell>
          <cell r="C14">
            <v>5.0376515946371381E-2</v>
          </cell>
          <cell r="D14">
            <v>0.12246488990128901</v>
          </cell>
          <cell r="E14">
            <v>0.1916149777136511</v>
          </cell>
        </row>
        <row r="16">
          <cell r="B16" t="str">
            <v>Margin</v>
          </cell>
        </row>
        <row r="17">
          <cell r="B17" t="str">
            <v>Rev growth</v>
          </cell>
          <cell r="C17">
            <v>1.2089837135879078E-2</v>
          </cell>
          <cell r="D17">
            <v>3.2744731771305213E-2</v>
          </cell>
          <cell r="E17">
            <v>5.8563350065587771E-2</v>
          </cell>
        </row>
        <row r="18">
          <cell r="B18" t="str">
            <v>EBITDA margin</v>
          </cell>
          <cell r="C18">
            <v>0.20699999999999999</v>
          </cell>
          <cell r="D18">
            <v>0.21441549816896568</v>
          </cell>
          <cell r="E18">
            <v>0.22</v>
          </cell>
        </row>
        <row r="19">
          <cell r="B19" t="str">
            <v>EBITDA y/y</v>
          </cell>
          <cell r="C19">
            <v>-4.2415967941191457E-3</v>
          </cell>
          <cell r="D19">
            <v>3.1739013748465494E-3</v>
          </cell>
          <cell r="E19">
            <v>8.7584032058808658E-3</v>
          </cell>
        </row>
        <row r="20">
          <cell r="B20" t="str">
            <v>Net Income margin</v>
          </cell>
          <cell r="C20">
            <v>0.1419130775998588</v>
          </cell>
          <cell r="D20">
            <v>0.14861965753542727</v>
          </cell>
          <cell r="E20">
            <v>0.15392727419303573</v>
          </cell>
        </row>
        <row r="21">
          <cell r="B21" t="str">
            <v>EPS growth</v>
          </cell>
          <cell r="C21">
            <v>5.0376515946371381E-2</v>
          </cell>
          <cell r="D21">
            <v>0.12246488990128901</v>
          </cell>
          <cell r="E21">
            <v>0.1916149777136511</v>
          </cell>
        </row>
        <row r="22">
          <cell r="B22" t="str">
            <v>Price</v>
          </cell>
          <cell r="D22">
            <v>55.07</v>
          </cell>
        </row>
        <row r="23">
          <cell r="B23" t="str">
            <v>Mcap</v>
          </cell>
          <cell r="D23">
            <v>19050.09181420504</v>
          </cell>
        </row>
        <row r="24">
          <cell r="B24" t="str">
            <v>Net Debt</v>
          </cell>
          <cell r="C24">
            <v>5882.5999999999995</v>
          </cell>
          <cell r="D24">
            <v>5882.5999999999995</v>
          </cell>
          <cell r="E24">
            <v>5882.5999999999995</v>
          </cell>
        </row>
        <row r="25">
          <cell r="B25" t="str">
            <v>EV</v>
          </cell>
          <cell r="D25">
            <v>24932.691814205038</v>
          </cell>
        </row>
        <row r="27">
          <cell r="B27" t="str">
            <v>P/E</v>
          </cell>
          <cell r="C27">
            <v>9.4499999999999993</v>
          </cell>
          <cell r="D27">
            <v>12.24</v>
          </cell>
          <cell r="E27">
            <v>14</v>
          </cell>
        </row>
        <row r="28">
          <cell r="B28" t="str">
            <v>Sh Price</v>
          </cell>
          <cell r="C28">
            <v>47.796617401549</v>
          </cell>
          <cell r="D28">
            <v>66.156806623254852</v>
          </cell>
          <cell r="E28">
            <v>80.331215718844135</v>
          </cell>
        </row>
        <row r="29">
          <cell r="B29" t="str">
            <v>% Diff</v>
          </cell>
          <cell r="C29">
            <v>-0.13207522423190488</v>
          </cell>
          <cell r="D29">
            <v>0.20132207414662884</v>
          </cell>
          <cell r="E29">
            <v>0.4587110172297828</v>
          </cell>
        </row>
        <row r="31">
          <cell r="B31" t="str">
            <v>EV/EBITDA</v>
          </cell>
          <cell r="C31">
            <v>8.5500000000000007</v>
          </cell>
          <cell r="D31">
            <v>9.5</v>
          </cell>
          <cell r="E31">
            <v>10.450000000000001</v>
          </cell>
        </row>
        <row r="32">
          <cell r="B32" t="str">
            <v>Sh Price</v>
          </cell>
          <cell r="C32">
            <v>46.072796665419943</v>
          </cell>
          <cell r="D32">
            <v>57.07384210312145</v>
          </cell>
          <cell r="E32">
            <v>68.694359484376406</v>
          </cell>
        </row>
      </sheetData>
      <sheetData sheetId="11" refreshError="1"/>
      <sheetData sheetId="12" refreshError="1"/>
      <sheetData sheetId="13" refreshError="1">
        <row r="56">
          <cell r="I56" t="str">
            <v>WACC</v>
          </cell>
        </row>
        <row r="57">
          <cell r="I57">
            <v>6.6970283544374828E-2</v>
          </cell>
          <cell r="J57">
            <v>7.1970283544374833E-2</v>
          </cell>
          <cell r="K57">
            <v>7.6970283544374837E-2</v>
          </cell>
          <cell r="L57">
            <v>8.1970283544374842E-2</v>
          </cell>
          <cell r="M57">
            <v>8.6970283544374846E-2</v>
          </cell>
          <cell r="N57">
            <v>9.1970283544374851E-2</v>
          </cell>
          <cell r="O57">
            <v>9.6970283544374855E-2</v>
          </cell>
          <cell r="P57">
            <v>0.10197028354437486</v>
          </cell>
          <cell r="Q57">
            <v>0.10697028354437486</v>
          </cell>
        </row>
        <row r="58">
          <cell r="H58">
            <v>-0.01</v>
          </cell>
          <cell r="I58">
            <v>88.727278757774656</v>
          </cell>
          <cell r="J58">
            <v>82.898128065702551</v>
          </cell>
          <cell r="K58">
            <v>77.813241525523949</v>
          </cell>
          <cell r="L58">
            <v>73.348205516203663</v>
          </cell>
          <cell r="M58">
            <v>69.404403174040226</v>
          </cell>
          <cell r="N58">
            <v>65.902683076269682</v>
          </cell>
          <cell r="O58">
            <v>62.778803913861061</v>
          </cell>
          <cell r="P58">
            <v>59.980099988796148</v>
          </cell>
          <cell r="Q58">
            <v>57.463002220525951</v>
          </cell>
        </row>
        <row r="59">
          <cell r="G59" t="str">
            <v>Terminal</v>
          </cell>
          <cell r="H59">
            <v>-5.0000000000000001E-3</v>
          </cell>
          <cell r="I59">
            <v>93.402620670254962</v>
          </cell>
          <cell r="J59">
            <v>86.880230319843903</v>
          </cell>
          <cell r="K59">
            <v>81.232471234710047</v>
          </cell>
          <cell r="L59">
            <v>76.30527620721665</v>
          </cell>
          <cell r="M59">
            <v>71.978226479935216</v>
          </cell>
          <cell r="N59">
            <v>68.155869684606813</v>
          </cell>
          <cell r="O59">
            <v>64.761592452841526</v>
          </cell>
          <cell r="P59">
            <v>61.733211804253223</v>
          </cell>
          <cell r="Q59">
            <v>59.019748031981258</v>
          </cell>
        </row>
        <row r="60">
          <cell r="G60" t="str">
            <v>Value</v>
          </cell>
          <cell r="H60">
            <v>0</v>
          </cell>
          <cell r="I60">
            <v>98.776084445902015</v>
          </cell>
          <cell r="J60">
            <v>91.415630693435631</v>
          </cell>
          <cell r="K60">
            <v>85.095928190014405</v>
          </cell>
          <cell r="L60">
            <v>79.623096009145186</v>
          </cell>
          <cell r="M60">
            <v>74.847992629868642</v>
          </cell>
          <cell r="N60">
            <v>70.654047014022908</v>
          </cell>
          <cell r="O60">
            <v>66.948854823031624</v>
          </cell>
          <cell r="P60">
            <v>63.65824741500839</v>
          </cell>
          <cell r="Q60">
            <v>60.722024523535175</v>
          </cell>
        </row>
        <row r="61">
          <cell r="G61" t="str">
            <v>Growth</v>
          </cell>
          <cell r="H61">
            <v>5.0000000000000001E-3</v>
          </cell>
          <cell r="I61">
            <v>105.01665152789414</v>
          </cell>
          <cell r="J61">
            <v>96.628256865330357</v>
          </cell>
          <cell r="K61">
            <v>89.496197947080518</v>
          </cell>
          <cell r="L61">
            <v>83.371967854686844</v>
          </cell>
          <cell r="M61">
            <v>78.067857135675098</v>
          </cell>
          <cell r="N61">
            <v>73.439469276720331</v>
          </cell>
          <cell r="O61">
            <v>69.373939920943855</v>
          </cell>
          <cell r="P61">
            <v>65.781801122276519</v>
          </cell>
          <cell r="Q61">
            <v>62.591239502693981</v>
          </cell>
        </row>
        <row r="62">
          <cell r="H62">
            <v>0.01</v>
          </cell>
          <cell r="I62">
            <v>112.3526260212135</v>
          </cell>
          <cell r="J62">
            <v>102.68203235489152</v>
          </cell>
          <cell r="K62">
            <v>94.553515804316376</v>
          </cell>
          <cell r="L62">
            <v>87.641731332290817</v>
          </cell>
          <cell r="M62">
            <v>81.706047306600126</v>
          </cell>
          <cell r="N62">
            <v>76.564700326487426</v>
          </cell>
          <cell r="O62">
            <v>72.077865675581677</v>
          </cell>
          <cell r="P62">
            <v>68.136250465116277</v>
          </cell>
          <cell r="Q62">
            <v>64.653216110553529</v>
          </cell>
        </row>
        <row r="63">
          <cell r="H63">
            <v>1.4999999999999999E-2</v>
          </cell>
          <cell r="I63">
            <v>121.1001715110727</v>
          </cell>
          <cell r="J63">
            <v>109.79842770746349</v>
          </cell>
          <cell r="K63">
            <v>100.42692123901418</v>
          </cell>
          <cell r="L63">
            <v>92.549055717752509</v>
          </cell>
          <cell r="M63">
            <v>85.849750307508884</v>
          </cell>
          <cell r="N63">
            <v>80.095962237238084</v>
          </cell>
          <cell r="O63">
            <v>75.111658015733241</v>
          </cell>
          <cell r="P63">
            <v>70.761418638214693</v>
          </cell>
          <cell r="Q63">
            <v>66.939393028382199</v>
          </cell>
        </row>
        <row r="64">
          <cell r="H64">
            <v>0.02</v>
          </cell>
          <cell r="I64">
            <v>131.71007439581444</v>
          </cell>
          <cell r="J64">
            <v>118.28414315360314</v>
          </cell>
          <cell r="K64">
            <v>107.33128616158658</v>
          </cell>
          <cell r="L64">
            <v>98.248263584261665</v>
          </cell>
          <cell r="M64">
            <v>90.612190871050714</v>
          </cell>
          <cell r="N64">
            <v>84.117879698702737</v>
          </cell>
          <cell r="O64">
            <v>78.539601475050517</v>
          </cell>
          <cell r="P64">
            <v>73.706845331789921</v>
          </cell>
          <cell r="Q64">
            <v>69.488438689953938</v>
          </cell>
        </row>
        <row r="65">
          <cell r="H65">
            <v>2.5000000000000001E-2</v>
          </cell>
          <cell r="I65">
            <v>144.84793325052806</v>
          </cell>
          <cell r="J65">
            <v>128.57647222985267</v>
          </cell>
          <cell r="K65">
            <v>115.56417277996172</v>
          </cell>
          <cell r="L65">
            <v>104.94785402075921</v>
          </cell>
          <cell r="M65">
            <v>96.14313535149509</v>
          </cell>
          <cell r="N65">
            <v>88.7403497110312</v>
          </cell>
          <cell r="O65">
            <v>82.443844775149103</v>
          </cell>
          <cell r="P65">
            <v>77.034942655891911</v>
          </cell>
          <cell r="Q65">
            <v>72.348456273465118</v>
          </cell>
        </row>
        <row r="66">
          <cell r="H66">
            <v>3.0000000000000002E-2</v>
          </cell>
          <cell r="I66">
            <v>161.53941885493768</v>
          </cell>
          <cell r="J66">
            <v>141.32109092796475</v>
          </cell>
          <cell r="K66">
            <v>125.54984562765509</v>
          </cell>
          <cell r="L66">
            <v>112.93656392699705</v>
          </cell>
          <cell r="M66">
            <v>102.64492711166848</v>
          </cell>
          <cell r="N66">
            <v>94.10873691914243</v>
          </cell>
          <cell r="O66">
            <v>86.931069525148757</v>
          </cell>
          <cell r="P66">
            <v>80.825466576111182</v>
          </cell>
          <cell r="Q66">
            <v>75.580048112885379</v>
          </cell>
        </row>
      </sheetData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"/>
      <sheetName val="Cashflow Forecast Port"/>
      <sheetName val="FX Adjustment"/>
      <sheetName val="LBO Control"/>
      <sheetName val="Standalone"/>
      <sheetName val="Balance Sheet"/>
      <sheetName val="Data Validation Names"/>
      <sheetName val="c1"/>
      <sheetName val="DCF Inpu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enue"/>
      <sheetName val="Org_MT"/>
      <sheetName val="Org Growth"/>
      <sheetName val="$ Impact"/>
      <sheetName val="Geo"/>
      <sheetName val="DataQ"/>
      <sheetName val="MTDataQ"/>
      <sheetName val="AnimalDataQ"/>
      <sheetName val="Correl_Medtech"/>
      <sheetName val="Correl_A"/>
      <sheetName val="Correl_Dental"/>
      <sheetName val="Correl_Animal"/>
      <sheetName val="Correl_TMO"/>
      <sheetName val="Correl_TMO_3Qr"/>
      <sheetName val="Correl_ILMN"/>
      <sheetName val="Correl_MTD"/>
      <sheetName val="Correl_BRKR"/>
      <sheetName val="MedTech_Index"/>
      <sheetName val="MTD_Index"/>
      <sheetName val="DataM_Pref"/>
      <sheetName val="ILMN_Index"/>
      <sheetName val="Altarum"/>
      <sheetName val="BRKR_Index"/>
      <sheetName val="Calc_Pref"/>
      <sheetName val="Animal_Index"/>
      <sheetName val="REQUEST_TABLE"/>
      <sheetName val="DentalAW"/>
      <sheetName val="NIH_Treasury"/>
      <sheetName val="Capexplans"/>
      <sheetName val="Sorter"/>
      <sheetName val="Matrix"/>
      <sheetName val="DataM"/>
      <sheetName val="Ideas"/>
      <sheetName val="Labels"/>
      <sheetName val="Labels2"/>
      <sheetName val="MTD_Raw"/>
      <sheetName val="MT-AHSorter"/>
      <sheetName val="MedtechSort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49">
          <cell r="B49">
            <v>40786</v>
          </cell>
        </row>
      </sheetData>
      <sheetData sheetId="19">
        <row r="2">
          <cell r="AC2" t="str">
            <v>US INDL PROD - COMMERCIAL ENERGY PRDS VOLN</v>
          </cell>
        </row>
      </sheetData>
      <sheetData sheetId="20"/>
      <sheetData sheetId="21"/>
      <sheetData sheetId="22">
        <row r="49">
          <cell r="B49">
            <v>40770</v>
          </cell>
          <cell r="AG49">
            <v>0.21198887448106918</v>
          </cell>
        </row>
        <row r="50">
          <cell r="B50">
            <v>40862</v>
          </cell>
          <cell r="AG50">
            <v>0.21153239385236727</v>
          </cell>
        </row>
        <row r="51">
          <cell r="B51">
            <v>40892</v>
          </cell>
          <cell r="AG51">
            <v>0.18170581726451296</v>
          </cell>
        </row>
        <row r="52">
          <cell r="B52">
            <v>40923</v>
          </cell>
          <cell r="AG52">
            <v>0.20320302713534971</v>
          </cell>
        </row>
        <row r="53">
          <cell r="B53">
            <v>40954</v>
          </cell>
          <cell r="AG53">
            <v>0.21219051255418436</v>
          </cell>
        </row>
        <row r="54">
          <cell r="B54">
            <v>40983</v>
          </cell>
          <cell r="AG54">
            <v>0.23142999868732769</v>
          </cell>
        </row>
        <row r="55">
          <cell r="B55">
            <v>41014</v>
          </cell>
          <cell r="AG55">
            <v>0.35090739534487503</v>
          </cell>
        </row>
        <row r="56">
          <cell r="B56">
            <v>41044</v>
          </cell>
          <cell r="AG56">
            <v>0.30017556338454987</v>
          </cell>
        </row>
        <row r="57">
          <cell r="B57">
            <v>41075</v>
          </cell>
          <cell r="AG57">
            <v>0.14333231318388406</v>
          </cell>
        </row>
        <row r="58">
          <cell r="B58">
            <v>41105</v>
          </cell>
          <cell r="AG58">
            <v>0.18741832726138355</v>
          </cell>
        </row>
        <row r="59">
          <cell r="B59">
            <v>41136</v>
          </cell>
          <cell r="AG59">
            <v>0.16203978549732861</v>
          </cell>
        </row>
        <row r="60">
          <cell r="B60">
            <v>41167</v>
          </cell>
          <cell r="AG60">
            <v>0.15461780151567334</v>
          </cell>
        </row>
        <row r="61">
          <cell r="B61">
            <v>41197</v>
          </cell>
          <cell r="AG61">
            <v>0.16793250924162487</v>
          </cell>
        </row>
        <row r="62">
          <cell r="B62">
            <v>41228</v>
          </cell>
          <cell r="AG62">
            <v>0.18569363926718221</v>
          </cell>
        </row>
        <row r="63">
          <cell r="B63">
            <v>41258</v>
          </cell>
          <cell r="AG63">
            <v>0.16126459548679434</v>
          </cell>
        </row>
        <row r="64">
          <cell r="B64">
            <v>41289</v>
          </cell>
          <cell r="AG64">
            <v>0.174443963073181</v>
          </cell>
        </row>
        <row r="65">
          <cell r="B65">
            <v>41320</v>
          </cell>
          <cell r="AG65">
            <v>0.18649339162345713</v>
          </cell>
        </row>
        <row r="66">
          <cell r="B66">
            <v>41348</v>
          </cell>
          <cell r="AG66">
            <v>0.18501106497287406</v>
          </cell>
        </row>
        <row r="67">
          <cell r="B67">
            <v>41379</v>
          </cell>
          <cell r="AG67">
            <v>0.21266053092944165</v>
          </cell>
        </row>
        <row r="68">
          <cell r="B68">
            <v>41409</v>
          </cell>
          <cell r="AG68">
            <v>0.16177160280286643</v>
          </cell>
        </row>
        <row r="69">
          <cell r="B69">
            <v>41440</v>
          </cell>
          <cell r="AG69">
            <v>0.13953191955501712</v>
          </cell>
        </row>
        <row r="70">
          <cell r="B70">
            <v>41470</v>
          </cell>
          <cell r="AG70">
            <v>9.6926234245745688E-2</v>
          </cell>
        </row>
        <row r="71">
          <cell r="B71">
            <v>41501</v>
          </cell>
          <cell r="AG71">
            <v>0.1014329781374689</v>
          </cell>
        </row>
        <row r="72">
          <cell r="B72">
            <v>41532</v>
          </cell>
          <cell r="AG72">
            <v>0.1097661181338408</v>
          </cell>
        </row>
        <row r="73">
          <cell r="B73">
            <v>41562</v>
          </cell>
          <cell r="AG73">
            <v>9.6250433290798632E-2</v>
          </cell>
        </row>
        <row r="74">
          <cell r="B74">
            <v>41593</v>
          </cell>
          <cell r="AG74">
            <v>9.6841561709668497E-2</v>
          </cell>
        </row>
        <row r="75">
          <cell r="B75">
            <v>41623</v>
          </cell>
          <cell r="AG75">
            <v>0.10398283672970111</v>
          </cell>
        </row>
        <row r="76">
          <cell r="B76">
            <v>41654</v>
          </cell>
          <cell r="AG76">
            <v>0.10439718826725676</v>
          </cell>
        </row>
        <row r="77">
          <cell r="B77">
            <v>41685</v>
          </cell>
          <cell r="AG77">
            <v>6.2683540279346806E-2</v>
          </cell>
        </row>
        <row r="78">
          <cell r="B78">
            <v>41713</v>
          </cell>
          <cell r="AG78">
            <v>0.11511201415383102</v>
          </cell>
        </row>
        <row r="79">
          <cell r="B79">
            <v>41744</v>
          </cell>
          <cell r="AG79">
            <v>-2.8999618147794629E-2</v>
          </cell>
        </row>
        <row r="80">
          <cell r="B80">
            <v>41774</v>
          </cell>
          <cell r="AG80">
            <v>-2.5741219512468806E-2</v>
          </cell>
        </row>
        <row r="81">
          <cell r="B81">
            <v>41805</v>
          </cell>
          <cell r="AG81">
            <v>5.4024039603449737E-2</v>
          </cell>
        </row>
        <row r="82">
          <cell r="B82">
            <v>41835</v>
          </cell>
          <cell r="AG82">
            <v>5.3171547343059469E-2</v>
          </cell>
        </row>
        <row r="83">
          <cell r="B83">
            <v>41866</v>
          </cell>
          <cell r="AG83">
            <v>0.12787944461879672</v>
          </cell>
        </row>
        <row r="84">
          <cell r="B84">
            <v>41897</v>
          </cell>
          <cell r="AG84">
            <v>0.11518635054194215</v>
          </cell>
        </row>
        <row r="85">
          <cell r="B85">
            <v>41927</v>
          </cell>
          <cell r="AG85">
            <v>0.11110533393319386</v>
          </cell>
        </row>
        <row r="86">
          <cell r="B86">
            <v>41958</v>
          </cell>
          <cell r="AG86">
            <v>9.2370055638410123E-2</v>
          </cell>
        </row>
        <row r="87">
          <cell r="B87">
            <v>41988</v>
          </cell>
          <cell r="AG87">
            <v>0.11680425418377362</v>
          </cell>
        </row>
        <row r="88">
          <cell r="B88">
            <v>42019</v>
          </cell>
          <cell r="AG88">
            <v>0.10578806886886676</v>
          </cell>
        </row>
        <row r="89">
          <cell r="B89">
            <v>42050</v>
          </cell>
          <cell r="AG89">
            <v>9.8597567943599695E-2</v>
          </cell>
        </row>
        <row r="90">
          <cell r="B90">
            <v>42078</v>
          </cell>
          <cell r="AG90">
            <v>2.1503278177873172E-2</v>
          </cell>
        </row>
        <row r="91">
          <cell r="B91">
            <v>42109</v>
          </cell>
          <cell r="AG91">
            <v>1.2675825185131965E-2</v>
          </cell>
        </row>
        <row r="92">
          <cell r="B92">
            <v>42139</v>
          </cell>
          <cell r="AG92">
            <v>4.9385375874068577E-2</v>
          </cell>
        </row>
        <row r="93">
          <cell r="B93">
            <v>42170</v>
          </cell>
          <cell r="AG93">
            <v>5.4093495814132003E-2</v>
          </cell>
        </row>
        <row r="94">
          <cell r="B94">
            <v>42200</v>
          </cell>
          <cell r="AG94">
            <v>6.8438190101609328E-2</v>
          </cell>
        </row>
        <row r="95">
          <cell r="B95">
            <v>42231</v>
          </cell>
          <cell r="AG95">
            <v>9.423075992032455E-2</v>
          </cell>
        </row>
        <row r="96">
          <cell r="B96">
            <v>42262</v>
          </cell>
          <cell r="AG96">
            <v>7.1267339021718279E-2</v>
          </cell>
        </row>
        <row r="97">
          <cell r="B97">
            <v>42292</v>
          </cell>
          <cell r="AG97">
            <v>9.4992016486988559E-2</v>
          </cell>
        </row>
        <row r="98">
          <cell r="B98">
            <v>42323</v>
          </cell>
          <cell r="AG98">
            <v>7.4904610079468609E-2</v>
          </cell>
        </row>
        <row r="99">
          <cell r="B99">
            <v>42353</v>
          </cell>
          <cell r="AG99">
            <v>9.8439696953553812E-2</v>
          </cell>
        </row>
        <row r="100">
          <cell r="B100">
            <v>42384</v>
          </cell>
          <cell r="AG100">
            <v>6.468783713351553E-2</v>
          </cell>
        </row>
        <row r="101">
          <cell r="B101">
            <v>42415</v>
          </cell>
          <cell r="AG101">
            <v>8.2238483025777492E-2</v>
          </cell>
        </row>
        <row r="102">
          <cell r="B102">
            <v>42444</v>
          </cell>
          <cell r="AG102">
            <v>-1.1065320832283575E-2</v>
          </cell>
        </row>
        <row r="103">
          <cell r="B103">
            <v>42475</v>
          </cell>
          <cell r="AG103">
            <v>6.1248668653874856E-2</v>
          </cell>
        </row>
        <row r="104">
          <cell r="B104">
            <v>42505</v>
          </cell>
          <cell r="AG104">
            <v>6.3396283640531459E-2</v>
          </cell>
        </row>
        <row r="105">
          <cell r="B105">
            <v>42536</v>
          </cell>
          <cell r="AG105">
            <v>8.4451983234792402E-2</v>
          </cell>
        </row>
        <row r="106">
          <cell r="B106">
            <v>42566</v>
          </cell>
          <cell r="AG106">
            <v>5.4720268869181375E-2</v>
          </cell>
        </row>
        <row r="107">
          <cell r="B107">
            <v>42597</v>
          </cell>
          <cell r="AG107">
            <v>1.6959017622887668E-2</v>
          </cell>
        </row>
        <row r="108">
          <cell r="B108">
            <v>42628</v>
          </cell>
          <cell r="AG108">
            <v>3.1029425916435045E-2</v>
          </cell>
        </row>
        <row r="109">
          <cell r="B109">
            <v>42658</v>
          </cell>
          <cell r="AG109">
            <v>5.0793618075304706E-2</v>
          </cell>
        </row>
        <row r="110">
          <cell r="B110">
            <v>42689</v>
          </cell>
          <cell r="AG110">
            <v>4.0140993457179343E-2</v>
          </cell>
        </row>
        <row r="111">
          <cell r="B111">
            <v>42719</v>
          </cell>
          <cell r="AG111">
            <v>5.5633554520280008E-2</v>
          </cell>
        </row>
        <row r="112">
          <cell r="B112">
            <v>42750</v>
          </cell>
          <cell r="AG112">
            <v>4.2718127360610057E-2</v>
          </cell>
        </row>
        <row r="113">
          <cell r="B113">
            <v>42781</v>
          </cell>
          <cell r="AG113">
            <v>4.3011598383033596E-2</v>
          </cell>
        </row>
        <row r="114">
          <cell r="B114">
            <v>42809</v>
          </cell>
          <cell r="AG114">
            <v>0.10306107919833965</v>
          </cell>
        </row>
        <row r="115">
          <cell r="B115">
            <v>42840</v>
          </cell>
          <cell r="AG115">
            <v>0.10551013234505868</v>
          </cell>
        </row>
        <row r="116">
          <cell r="B116">
            <v>42870</v>
          </cell>
          <cell r="AG116">
            <v>9.4006994373650718E-2</v>
          </cell>
        </row>
        <row r="117">
          <cell r="B117">
            <v>42901</v>
          </cell>
          <cell r="AG117">
            <v>8.6005944006349477E-2</v>
          </cell>
        </row>
        <row r="118">
          <cell r="B118">
            <v>42931</v>
          </cell>
          <cell r="AG118">
            <v>0.10869881933095552</v>
          </cell>
        </row>
        <row r="119">
          <cell r="B119">
            <v>42962</v>
          </cell>
          <cell r="AG119">
            <v>7.1680649844784047E-2</v>
          </cell>
        </row>
        <row r="120">
          <cell r="B120">
            <v>42993</v>
          </cell>
          <cell r="AG120">
            <v>0.10362550611320634</v>
          </cell>
        </row>
        <row r="121">
          <cell r="B121">
            <v>43023</v>
          </cell>
          <cell r="AG121">
            <v>7.7559916749509961E-2</v>
          </cell>
        </row>
        <row r="122">
          <cell r="B122">
            <v>43054</v>
          </cell>
          <cell r="AG122">
            <v>6.8967248951725693E-2</v>
          </cell>
        </row>
      </sheetData>
      <sheetData sheetId="23">
        <row r="2">
          <cell r="C2" t="str">
            <v>US Employment - Analytical Testing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>
        <row r="3">
          <cell r="FG3" t="str">
            <v>BDESG0NYH</v>
          </cell>
        </row>
      </sheetData>
      <sheetData sheetId="32"/>
      <sheetData sheetId="33"/>
      <sheetData sheetId="34"/>
      <sheetData sheetId="35"/>
      <sheetData sheetId="36"/>
      <sheetData sheetId="3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/Relationships>

</file>

<file path=xl/worksheets/_rels/sheet8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/Relationships>

</file>

<file path=xl/worksheets/_rels/sheet9.xml.rels><?xml version="1.0" encoding="UTF-8" standalone="yes"?>
<Relationships xmlns="http://schemas.openxmlformats.org/package/2006/relationships">
<Relationship Id="rId1" Target="../printerSettings/printerSettings9.bin" Type="http://schemas.openxmlformats.org/officeDocument/2006/relationships/printerSettings"/>
</Relationships>

</file>

<file path=xl/worksheets/_rels/sheet10.xml.rels><?xml version="1.0" encoding="UTF-8" standalone="yes"?>
<Relationships xmlns="http://schemas.openxmlformats.org/package/2006/relationships">
<Relationship Id="rId1" Target="../printerSettings/printerSettings10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81"/>
  <sheetViews>
    <sheetView showGridLines="0" tabSelected="1" workbookViewId="0">
      <selection activeCell="Z1" sqref="Z1"/>
    </sheetView>
  </sheetViews>
  <sheetFormatPr defaultRowHeight="12.75"/>
  <cols>
    <col min="1" max="1" width="25.7109375" style="2386" customWidth="1"/>
    <col min="2" max="5" width="9.140625" style="2386"/>
    <col min="6" max="6" width="18.7109375" style="2386" customWidth="1"/>
    <col min="7" max="256" width="9.140625" style="2386"/>
    <col min="257" max="257" width="100.7109375" style="2386" customWidth="1"/>
    <col min="258" max="512" width="9.140625" style="2386"/>
    <col min="513" max="513" width="100.7109375" style="2386" customWidth="1"/>
    <col min="514" max="768" width="9.140625" style="2386"/>
    <col min="769" max="769" width="100.7109375" style="2386" customWidth="1"/>
    <col min="770" max="1024" width="9.140625" style="2386"/>
    <col min="1025" max="1025" width="100.7109375" style="2386" customWidth="1"/>
    <col min="1026" max="1280" width="9.140625" style="2386"/>
    <col min="1281" max="1281" width="100.7109375" style="2386" customWidth="1"/>
    <col min="1282" max="1536" width="9.140625" style="2386"/>
    <col min="1537" max="1537" width="100.7109375" style="2386" customWidth="1"/>
    <col min="1538" max="1792" width="9.140625" style="2386"/>
    <col min="1793" max="1793" width="100.7109375" style="2386" customWidth="1"/>
    <col min="1794" max="2048" width="9.140625" style="2386"/>
    <col min="2049" max="2049" width="100.7109375" style="2386" customWidth="1"/>
    <col min="2050" max="2304" width="9.140625" style="2386"/>
    <col min="2305" max="2305" width="100.7109375" style="2386" customWidth="1"/>
    <col min="2306" max="2560" width="9.140625" style="2386"/>
    <col min="2561" max="2561" width="100.7109375" style="2386" customWidth="1"/>
    <col min="2562" max="2816" width="9.140625" style="2386"/>
    <col min="2817" max="2817" width="100.7109375" style="2386" customWidth="1"/>
    <col min="2818" max="3072" width="9.140625" style="2386"/>
    <col min="3073" max="3073" width="100.7109375" style="2386" customWidth="1"/>
    <col min="3074" max="3328" width="9.140625" style="2386"/>
    <col min="3329" max="3329" width="100.7109375" style="2386" customWidth="1"/>
    <col min="3330" max="3584" width="9.140625" style="2386"/>
    <col min="3585" max="3585" width="100.7109375" style="2386" customWidth="1"/>
    <col min="3586" max="3840" width="9.140625" style="2386"/>
    <col min="3841" max="3841" width="100.7109375" style="2386" customWidth="1"/>
    <col min="3842" max="4096" width="9.140625" style="2386"/>
    <col min="4097" max="4097" width="100.7109375" style="2386" customWidth="1"/>
    <col min="4098" max="4352" width="9.140625" style="2386"/>
    <col min="4353" max="4353" width="100.7109375" style="2386" customWidth="1"/>
    <col min="4354" max="4608" width="9.140625" style="2386"/>
    <col min="4609" max="4609" width="100.7109375" style="2386" customWidth="1"/>
    <col min="4610" max="4864" width="9.140625" style="2386"/>
    <col min="4865" max="4865" width="100.7109375" style="2386" customWidth="1"/>
    <col min="4866" max="5120" width="9.140625" style="2386"/>
    <col min="5121" max="5121" width="100.7109375" style="2386" customWidth="1"/>
    <col min="5122" max="5376" width="9.140625" style="2386"/>
    <col min="5377" max="5377" width="100.7109375" style="2386" customWidth="1"/>
    <col min="5378" max="5632" width="9.140625" style="2386"/>
    <col min="5633" max="5633" width="100.7109375" style="2386" customWidth="1"/>
    <col min="5634" max="5888" width="9.140625" style="2386"/>
    <col min="5889" max="5889" width="100.7109375" style="2386" customWidth="1"/>
    <col min="5890" max="6144" width="9.140625" style="2386"/>
    <col min="6145" max="6145" width="100.7109375" style="2386" customWidth="1"/>
    <col min="6146" max="6400" width="9.140625" style="2386"/>
    <col min="6401" max="6401" width="100.7109375" style="2386" customWidth="1"/>
    <col min="6402" max="6656" width="9.140625" style="2386"/>
    <col min="6657" max="6657" width="100.7109375" style="2386" customWidth="1"/>
    <col min="6658" max="6912" width="9.140625" style="2386"/>
    <col min="6913" max="6913" width="100.7109375" style="2386" customWidth="1"/>
    <col min="6914" max="7168" width="9.140625" style="2386"/>
    <col min="7169" max="7169" width="100.7109375" style="2386" customWidth="1"/>
    <col min="7170" max="7424" width="9.140625" style="2386"/>
    <col min="7425" max="7425" width="100.7109375" style="2386" customWidth="1"/>
    <col min="7426" max="7680" width="9.140625" style="2386"/>
    <col min="7681" max="7681" width="100.7109375" style="2386" customWidth="1"/>
    <col min="7682" max="7936" width="9.140625" style="2386"/>
    <col min="7937" max="7937" width="100.7109375" style="2386" customWidth="1"/>
    <col min="7938" max="8192" width="9.140625" style="2386"/>
    <col min="8193" max="8193" width="100.7109375" style="2386" customWidth="1"/>
    <col min="8194" max="8448" width="9.140625" style="2386"/>
    <col min="8449" max="8449" width="100.7109375" style="2386" customWidth="1"/>
    <col min="8450" max="8704" width="9.140625" style="2386"/>
    <col min="8705" max="8705" width="100.7109375" style="2386" customWidth="1"/>
    <col min="8706" max="8960" width="9.140625" style="2386"/>
    <col min="8961" max="8961" width="100.7109375" style="2386" customWidth="1"/>
    <col min="8962" max="9216" width="9.140625" style="2386"/>
    <col min="9217" max="9217" width="100.7109375" style="2386" customWidth="1"/>
    <col min="9218" max="9472" width="9.140625" style="2386"/>
    <col min="9473" max="9473" width="100.7109375" style="2386" customWidth="1"/>
    <col min="9474" max="9728" width="9.140625" style="2386"/>
    <col min="9729" max="9729" width="100.7109375" style="2386" customWidth="1"/>
    <col min="9730" max="9984" width="9.140625" style="2386"/>
    <col min="9985" max="9985" width="100.7109375" style="2386" customWidth="1"/>
    <col min="9986" max="10240" width="9.140625" style="2386"/>
    <col min="10241" max="10241" width="100.7109375" style="2386" customWidth="1"/>
    <col min="10242" max="10496" width="9.140625" style="2386"/>
    <col min="10497" max="10497" width="100.7109375" style="2386" customWidth="1"/>
    <col min="10498" max="10752" width="9.140625" style="2386"/>
    <col min="10753" max="10753" width="100.7109375" style="2386" customWidth="1"/>
    <col min="10754" max="11008" width="9.140625" style="2386"/>
    <col min="11009" max="11009" width="100.7109375" style="2386" customWidth="1"/>
    <col min="11010" max="11264" width="9.140625" style="2386"/>
    <col min="11265" max="11265" width="100.7109375" style="2386" customWidth="1"/>
    <col min="11266" max="11520" width="9.140625" style="2386"/>
    <col min="11521" max="11521" width="100.7109375" style="2386" customWidth="1"/>
    <col min="11522" max="11776" width="9.140625" style="2386"/>
    <col min="11777" max="11777" width="100.7109375" style="2386" customWidth="1"/>
    <col min="11778" max="12032" width="9.140625" style="2386"/>
    <col min="12033" max="12033" width="100.7109375" style="2386" customWidth="1"/>
    <col min="12034" max="12288" width="9.140625" style="2386"/>
    <col min="12289" max="12289" width="100.7109375" style="2386" customWidth="1"/>
    <col min="12290" max="12544" width="9.140625" style="2386"/>
    <col min="12545" max="12545" width="100.7109375" style="2386" customWidth="1"/>
    <col min="12546" max="12800" width="9.140625" style="2386"/>
    <col min="12801" max="12801" width="100.7109375" style="2386" customWidth="1"/>
    <col min="12802" max="13056" width="9.140625" style="2386"/>
    <col min="13057" max="13057" width="100.7109375" style="2386" customWidth="1"/>
    <col min="13058" max="13312" width="9.140625" style="2386"/>
    <col min="13313" max="13313" width="100.7109375" style="2386" customWidth="1"/>
    <col min="13314" max="13568" width="9.140625" style="2386"/>
    <col min="13569" max="13569" width="100.7109375" style="2386" customWidth="1"/>
    <col min="13570" max="13824" width="9.140625" style="2386"/>
    <col min="13825" max="13825" width="100.7109375" style="2386" customWidth="1"/>
    <col min="13826" max="14080" width="9.140625" style="2386"/>
    <col min="14081" max="14081" width="100.7109375" style="2386" customWidth="1"/>
    <col min="14082" max="14336" width="9.140625" style="2386"/>
    <col min="14337" max="14337" width="100.7109375" style="2386" customWidth="1"/>
    <col min="14338" max="14592" width="9.140625" style="2386"/>
    <col min="14593" max="14593" width="100.7109375" style="2386" customWidth="1"/>
    <col min="14594" max="14848" width="9.140625" style="2386"/>
    <col min="14849" max="14849" width="100.7109375" style="2386" customWidth="1"/>
    <col min="14850" max="15104" width="9.140625" style="2386"/>
    <col min="15105" max="15105" width="100.7109375" style="2386" customWidth="1"/>
    <col min="15106" max="15360" width="9.140625" style="2386"/>
    <col min="15361" max="15361" width="100.7109375" style="2386" customWidth="1"/>
    <col min="15362" max="15616" width="9.140625" style="2386"/>
    <col min="15617" max="15617" width="100.7109375" style="2386" customWidth="1"/>
    <col min="15618" max="15872" width="9.140625" style="2386"/>
    <col min="15873" max="15873" width="100.7109375" style="2386" customWidth="1"/>
    <col min="15874" max="16128" width="9.140625" style="2386"/>
    <col min="16129" max="16129" width="100.7109375" style="2386" customWidth="1"/>
    <col min="16130" max="16384" width="9.140625" style="2386"/>
  </cols>
  <sheetData>
    <row r="1" spans="1:8" ht="30" customHeight="1">
      <c r="A1" s="2384"/>
      <c r="B1" s="2385"/>
      <c r="C1" s="2385"/>
      <c r="D1" s="2385"/>
      <c r="E1" s="2385"/>
      <c r="F1" s="2385"/>
      <c r="G1" s="2385"/>
      <c r="H1" s="2385"/>
    </row>
    <row r="2" spans="1:8" ht="14.25">
      <c r="A2" s="2387" t="s">
        <v>590</v>
      </c>
      <c r="B2" s="2385"/>
      <c r="C2" s="2385"/>
      <c r="D2" s="2385"/>
      <c r="E2" s="2385"/>
      <c r="F2" s="2385"/>
      <c r="G2" s="2385"/>
      <c r="H2" s="2385"/>
    </row>
    <row r="3" spans="1:8" ht="14.25">
      <c r="A3" s="2387" t="s">
        <v>591</v>
      </c>
      <c r="B3" s="2385"/>
      <c r="C3" s="2385"/>
      <c r="D3" s="2385"/>
      <c r="E3" s="2385"/>
      <c r="F3" s="2385"/>
      <c r="G3" s="2385"/>
      <c r="H3" s="2385"/>
    </row>
    <row r="4" spans="1:8" ht="14.25">
      <c r="A4" s="2387" t="s">
        <v>396</v>
      </c>
      <c r="B4" s="2385"/>
      <c r="C4" s="2385"/>
      <c r="D4" s="2385"/>
      <c r="E4" s="2385"/>
      <c r="F4" s="2385"/>
      <c r="G4" s="2385"/>
      <c r="H4" s="2385"/>
    </row>
    <row r="5" spans="1:8" ht="14.25">
      <c r="A5" s="2387" t="s">
        <v>592</v>
      </c>
      <c r="B5" s="2385"/>
      <c r="C5" s="2385"/>
      <c r="D5" s="2385"/>
      <c r="E5" s="2385"/>
      <c r="F5" s="2385"/>
      <c r="G5" s="2385"/>
      <c r="H5" s="2385"/>
    </row>
    <row r="6" spans="1:8" ht="14.25">
      <c r="A6" s="2387"/>
      <c r="B6" s="2385"/>
      <c r="C6" s="2385"/>
      <c r="D6" s="2385"/>
      <c r="E6" s="2385"/>
      <c r="F6" s="2385"/>
      <c r="G6" s="2385"/>
      <c r="H6" s="2385"/>
    </row>
    <row r="7" spans="1:8">
      <c r="A7" s="2384" t="s">
        <v>593</v>
      </c>
      <c r="B7" s="2385"/>
      <c r="C7" s="2385"/>
      <c r="D7" s="2385"/>
      <c r="E7" s="2385"/>
      <c r="F7" s="2385"/>
      <c r="G7" s="2385"/>
      <c r="H7" s="2385"/>
    </row>
    <row r="8" spans="1:8">
      <c r="A8" s="2384" t="s">
        <v>594</v>
      </c>
      <c r="B8" s="2385"/>
      <c r="C8" s="2385"/>
      <c r="D8" s="2385"/>
      <c r="E8" s="2385"/>
      <c r="F8" s="2385"/>
      <c r="G8" s="2385"/>
      <c r="H8" s="2385"/>
    </row>
    <row r="9" spans="1:8">
      <c r="A9" s="2384"/>
      <c r="B9" s="2385"/>
      <c r="C9" s="2385"/>
      <c r="D9" s="2385"/>
      <c r="E9" s="2385"/>
      <c r="F9" s="2385"/>
      <c r="G9" s="2385"/>
      <c r="H9" s="2385"/>
    </row>
    <row r="10" spans="1:8">
      <c r="A10" s="2388" t="s">
        <v>595</v>
      </c>
      <c r="B10" s="2385"/>
      <c r="C10" s="2385"/>
      <c r="D10" s="2385"/>
      <c r="E10" s="2385"/>
      <c r="F10" s="2385"/>
      <c r="G10" s="2385"/>
      <c r="H10" s="2385"/>
    </row>
    <row r="11" spans="1:8">
      <c r="A11" s="2388" t="s">
        <v>596</v>
      </c>
      <c r="B11" s="2385"/>
      <c r="C11" s="2385"/>
      <c r="D11" s="2385"/>
      <c r="E11" s="2385"/>
      <c r="F11" s="2385"/>
      <c r="G11" s="2385"/>
      <c r="H11" s="2385"/>
    </row>
    <row r="12" spans="1:8">
      <c r="A12" s="2388" t="s">
        <v>597</v>
      </c>
      <c r="B12" s="2385"/>
      <c r="C12" s="2385"/>
      <c r="D12" s="2385"/>
      <c r="E12" s="2385"/>
      <c r="F12" s="2385"/>
      <c r="G12" s="2385"/>
      <c r="H12" s="2385"/>
    </row>
    <row r="13" spans="1:8">
      <c r="A13" s="2388" t="s">
        <v>598</v>
      </c>
      <c r="B13" s="2385"/>
      <c r="C13" s="2385"/>
      <c r="D13" s="2385"/>
      <c r="E13" s="2385"/>
      <c r="F13" s="2385"/>
      <c r="G13" s="2385"/>
      <c r="H13" s="2385"/>
    </row>
    <row r="14" spans="1:8">
      <c r="A14" s="2388" t="s">
        <v>599</v>
      </c>
      <c r="B14" s="2385"/>
      <c r="C14" s="2385"/>
      <c r="D14" s="2385"/>
      <c r="E14" s="2385"/>
      <c r="F14" s="2385"/>
      <c r="G14" s="2385"/>
      <c r="H14" s="2385"/>
    </row>
    <row r="15" spans="1:8">
      <c r="A15" s="2388" t="s">
        <v>600</v>
      </c>
      <c r="B15" s="2385"/>
      <c r="C15" s="2385"/>
      <c r="D15" s="2385"/>
      <c r="E15" s="2385"/>
      <c r="F15" s="2385"/>
      <c r="G15" s="2385"/>
      <c r="H15" s="2385"/>
    </row>
    <row r="16" spans="1:8">
      <c r="A16" s="2388"/>
      <c r="B16" s="2385"/>
      <c r="C16" s="2385"/>
      <c r="D16" s="2385"/>
      <c r="E16" s="2385"/>
      <c r="F16" s="2385"/>
      <c r="G16" s="2385"/>
      <c r="H16" s="2385"/>
    </row>
    <row r="17" spans="1:8">
      <c r="A17" s="2388" t="s">
        <v>587</v>
      </c>
      <c r="B17" s="2385"/>
      <c r="C17" s="2385"/>
      <c r="D17" s="2385"/>
      <c r="E17" s="2385"/>
      <c r="F17" s="2385"/>
      <c r="G17" s="2385"/>
      <c r="H17" s="2385"/>
    </row>
    <row r="18" spans="1:8">
      <c r="A18" s="2388"/>
      <c r="B18" s="2385"/>
      <c r="C18" s="2385"/>
      <c r="D18" s="2385"/>
      <c r="E18" s="2385"/>
      <c r="F18" s="2385"/>
      <c r="G18" s="2385"/>
      <c r="H18" s="2385"/>
    </row>
    <row r="19" spans="1:8">
      <c r="A19" s="2388" t="s">
        <v>588</v>
      </c>
      <c r="B19" s="2385"/>
      <c r="C19" s="2385"/>
      <c r="D19" s="2385"/>
      <c r="E19" s="2385"/>
      <c r="F19" s="2385"/>
      <c r="G19" s="2385"/>
      <c r="H19" s="2385"/>
    </row>
    <row r="20" spans="1:8">
      <c r="A20" s="2384"/>
      <c r="B20" s="2385"/>
      <c r="C20" s="2385"/>
      <c r="D20" s="2385"/>
      <c r="E20" s="2385"/>
      <c r="F20" s="2385"/>
      <c r="G20" s="2385"/>
      <c r="H20" s="2385"/>
    </row>
    <row r="21" spans="1:8">
      <c r="A21" s="2389" t="s">
        <v>589</v>
      </c>
      <c r="B21" s="2385"/>
      <c r="C21" s="2385"/>
      <c r="D21" s="2385"/>
      <c r="E21" s="2385"/>
      <c r="F21" s="2385"/>
      <c r="G21" s="2385"/>
      <c r="H21" s="2385"/>
    </row>
    <row r="22" spans="1:8">
      <c r="A22" s="2390"/>
      <c r="B22" s="2390"/>
      <c r="C22" s="2390"/>
      <c r="D22" s="2390"/>
      <c r="E22" s="2390"/>
      <c r="F22" s="2390"/>
      <c r="G22" s="2390"/>
      <c r="H22" s="2390"/>
    </row>
    <row r="23" spans="1:8">
      <c r="A23" s="2391" t="s">
        <v>872</v>
      </c>
      <c r="B23" s="2390"/>
      <c r="C23" s="2390"/>
      <c r="D23" s="2390"/>
      <c r="E23" s="2390"/>
      <c r="F23" s="2390"/>
      <c r="G23" s="2390"/>
      <c r="H23" s="2390"/>
    </row>
    <row r="24" spans="1:8">
      <c r="A24" s="2391" t="s">
        <v>873</v>
      </c>
      <c r="B24" s="2390"/>
      <c r="C24" s="2390"/>
      <c r="D24" s="2390"/>
      <c r="E24" s="2390"/>
      <c r="F24" s="2390"/>
      <c r="G24" s="2390"/>
      <c r="H24" s="2390"/>
    </row>
    <row r="25" spans="1:8">
      <c r="A25" s="2391" t="s">
        <v>874</v>
      </c>
      <c r="B25" s="2390"/>
      <c r="C25" s="2390"/>
      <c r="D25" s="2390"/>
      <c r="E25" s="2390"/>
      <c r="F25" s="2390"/>
      <c r="G25" s="2390"/>
      <c r="H25" s="2390"/>
    </row>
    <row r="26" spans="1:8">
      <c r="A26" s="2391" t="s">
        <v>875</v>
      </c>
      <c r="B26" s="2390"/>
      <c r="C26" s="2390"/>
      <c r="D26" s="2390"/>
      <c r="E26" s="2390"/>
      <c r="F26" s="2390"/>
      <c r="G26" s="2390"/>
      <c r="H26" s="2390"/>
    </row>
    <row r="27" spans="1:8">
      <c r="A27" s="2390"/>
      <c r="B27" s="2390"/>
      <c r="C27" s="2390"/>
      <c r="D27" s="2390"/>
      <c r="E27" s="2390"/>
      <c r="F27" s="2390"/>
      <c r="G27" s="2390"/>
      <c r="H27" s="2390"/>
    </row>
    <row r="28" spans="1:8">
      <c r="A28" s="2390"/>
      <c r="B28" s="2390"/>
      <c r="C28" s="2390"/>
      <c r="D28" s="2390"/>
      <c r="E28" s="2390"/>
      <c r="F28" s="2390"/>
      <c r="G28" s="2390"/>
      <c r="H28" s="2390"/>
    </row>
    <row r="29" spans="1:8">
      <c r="A29" s="2391" t="s">
        <v>867</v>
      </c>
      <c r="B29" s="2390"/>
      <c r="C29" s="2390"/>
      <c r="D29" s="2390"/>
      <c r="E29" s="2390"/>
      <c r="F29" s="2390"/>
      <c r="G29" s="2390"/>
      <c r="H29" s="2390"/>
    </row>
    <row r="30" spans="1:8">
      <c r="A30" s="2391" t="s">
        <v>868</v>
      </c>
      <c r="B30" s="2390"/>
      <c r="C30" s="2390"/>
      <c r="D30" s="2390"/>
      <c r="E30" s="2390"/>
      <c r="F30" s="2390"/>
      <c r="G30" s="2390"/>
      <c r="H30" s="2390"/>
    </row>
    <row r="31" spans="1:8">
      <c r="A31" s="2391" t="s">
        <v>869</v>
      </c>
      <c r="B31" s="2390"/>
      <c r="C31" s="2390"/>
      <c r="D31" s="2390"/>
      <c r="E31" s="2390"/>
      <c r="F31" s="2390"/>
      <c r="G31" s="2390"/>
      <c r="H31" s="2390"/>
    </row>
    <row r="32" spans="1:8">
      <c r="A32" s="2391" t="s">
        <v>870</v>
      </c>
      <c r="B32" s="2390"/>
      <c r="C32" s="2390"/>
      <c r="D32" s="2390"/>
      <c r="E32" s="2390"/>
      <c r="F32" s="2390"/>
      <c r="G32" s="2390"/>
      <c r="H32" s="2390"/>
    </row>
    <row r="33" spans="1:8">
      <c r="A33" s="2391" t="s">
        <v>871</v>
      </c>
      <c r="B33" s="2390"/>
      <c r="C33" s="2390"/>
      <c r="D33" s="2390"/>
      <c r="E33" s="2390"/>
      <c r="F33" s="2390"/>
      <c r="G33" s="2390"/>
      <c r="H33" s="2390"/>
    </row>
    <row r="34" spans="1:8">
      <c r="A34" s="2390"/>
      <c r="B34" s="2390"/>
      <c r="C34" s="2390"/>
      <c r="D34" s="2390"/>
      <c r="E34" s="2390"/>
      <c r="F34" s="2390"/>
      <c r="G34" s="2390"/>
      <c r="H34" s="2390"/>
    </row>
    <row r="35" spans="1:8">
      <c r="A35" s="2391" t="s">
        <v>863</v>
      </c>
      <c r="B35" s="2390"/>
      <c r="C35" s="2390"/>
      <c r="D35" s="2390"/>
      <c r="E35" s="2390"/>
      <c r="F35" s="2390"/>
      <c r="G35" s="2390"/>
      <c r="H35" s="2390"/>
    </row>
    <row r="36" spans="1:8">
      <c r="A36" s="2391" t="s">
        <v>864</v>
      </c>
      <c r="B36" s="2390"/>
      <c r="C36" s="2390"/>
      <c r="D36" s="2390"/>
      <c r="E36" s="2390"/>
      <c r="F36" s="2390"/>
      <c r="G36" s="2390"/>
      <c r="H36" s="2390"/>
    </row>
    <row r="37" spans="1:8">
      <c r="A37" s="2391" t="s">
        <v>865</v>
      </c>
      <c r="B37" s="2390"/>
      <c r="C37" s="2390"/>
      <c r="D37" s="2390"/>
      <c r="E37" s="2390"/>
      <c r="F37" s="2390"/>
      <c r="G37" s="2390"/>
      <c r="H37" s="2390"/>
    </row>
    <row r="38" spans="1:8">
      <c r="A38" s="2391" t="s">
        <v>866</v>
      </c>
      <c r="B38" s="2390"/>
      <c r="C38" s="2390"/>
      <c r="D38" s="2390"/>
      <c r="E38" s="2390"/>
      <c r="F38" s="2390"/>
      <c r="G38" s="2390"/>
      <c r="H38" s="2390"/>
    </row>
    <row r="39" spans="1:8">
      <c r="A39" s="2390"/>
      <c r="B39" s="2390"/>
      <c r="C39" s="2390"/>
      <c r="D39" s="2390"/>
      <c r="E39" s="2390"/>
      <c r="F39" s="2390"/>
      <c r="G39" s="2390"/>
      <c r="H39" s="2390"/>
    </row>
    <row r="40" spans="1:8">
      <c r="A40" s="2391" t="s">
        <v>857</v>
      </c>
      <c r="B40" s="2390"/>
      <c r="C40" s="2390"/>
      <c r="D40" s="2390"/>
      <c r="E40" s="2390"/>
      <c r="F40" s="2390"/>
      <c r="G40" s="2390"/>
      <c r="H40" s="2390"/>
    </row>
    <row r="41" spans="1:8">
      <c r="A41" s="2391" t="s">
        <v>858</v>
      </c>
      <c r="B41" s="2390"/>
      <c r="C41" s="2390"/>
      <c r="D41" s="2390"/>
      <c r="E41" s="2390"/>
      <c r="F41" s="2390"/>
      <c r="G41" s="2390"/>
      <c r="H41" s="2390"/>
    </row>
    <row r="42" spans="1:8">
      <c r="A42" s="2391" t="s">
        <v>859</v>
      </c>
      <c r="B42" s="2390"/>
      <c r="C42" s="2390"/>
      <c r="D42" s="2390"/>
      <c r="E42" s="2390"/>
      <c r="F42" s="2390"/>
      <c r="G42" s="2390"/>
      <c r="H42" s="2390"/>
    </row>
    <row r="43" spans="1:8">
      <c r="A43" s="2391" t="s">
        <v>860</v>
      </c>
      <c r="B43" s="2390"/>
      <c r="C43" s="2390"/>
      <c r="D43" s="2390"/>
      <c r="E43" s="2390"/>
      <c r="F43" s="2390"/>
      <c r="G43" s="2390"/>
      <c r="H43" s="2390"/>
    </row>
    <row r="44" spans="1:8">
      <c r="A44" s="2391" t="s">
        <v>861</v>
      </c>
      <c r="B44" s="2390"/>
      <c r="C44" s="2390"/>
      <c r="D44" s="2390"/>
      <c r="E44" s="2390"/>
      <c r="F44" s="2390"/>
      <c r="G44" s="2390"/>
      <c r="H44" s="2390"/>
    </row>
    <row r="45" spans="1:8">
      <c r="A45" s="2391" t="s">
        <v>862</v>
      </c>
      <c r="B45" s="2390"/>
      <c r="C45" s="2390"/>
      <c r="D45" s="2390"/>
      <c r="E45" s="2390"/>
      <c r="F45" s="2390"/>
      <c r="G45" s="2390"/>
      <c r="H45" s="2390"/>
    </row>
    <row r="46" spans="1:8">
      <c r="A46" s="2390"/>
      <c r="B46" s="2390"/>
      <c r="C46" s="2390"/>
      <c r="D46" s="2390"/>
      <c r="E46" s="2390"/>
      <c r="F46" s="2390"/>
      <c r="G46" s="2390"/>
      <c r="H46" s="2390"/>
    </row>
    <row r="47" spans="1:8" ht="15.75">
      <c r="A47" s="2392" t="s">
        <v>601</v>
      </c>
      <c r="B47" s="2390"/>
      <c r="C47" s="2390"/>
      <c r="D47" s="2390"/>
      <c r="E47" s="2390"/>
      <c r="F47" s="2390"/>
      <c r="G47" s="2390"/>
      <c r="H47" s="2390"/>
    </row>
    <row r="48" spans="1:8">
      <c r="A48" s="2390"/>
      <c r="B48" s="2390"/>
      <c r="C48" s="2390"/>
      <c r="D48" s="2390"/>
      <c r="E48" s="2390"/>
      <c r="F48" s="2390"/>
      <c r="G48" s="2390"/>
      <c r="H48" s="2390"/>
    </row>
    <row r="49" spans="1:8">
      <c r="A49" s="2391" t="s">
        <v>853</v>
      </c>
      <c r="B49" s="2390"/>
      <c r="C49" s="2390"/>
      <c r="D49" s="2390"/>
      <c r="E49" s="2390"/>
      <c r="F49" s="2390"/>
      <c r="G49" s="2390"/>
      <c r="H49" s="2390"/>
    </row>
    <row r="50" spans="1:8">
      <c r="A50" s="2391" t="s">
        <v>854</v>
      </c>
      <c r="B50" s="2390"/>
      <c r="C50" s="2390"/>
      <c r="D50" s="2390"/>
      <c r="E50" s="2390"/>
      <c r="F50" s="2390"/>
      <c r="G50" s="2390"/>
      <c r="H50" s="2390"/>
    </row>
    <row r="51" spans="1:8">
      <c r="A51" s="2391" t="s">
        <v>855</v>
      </c>
      <c r="B51" s="2390"/>
      <c r="C51" s="2390"/>
      <c r="D51" s="2390"/>
      <c r="E51" s="2390"/>
      <c r="F51" s="2390"/>
      <c r="G51" s="2390"/>
      <c r="H51" s="2390"/>
    </row>
    <row r="52" spans="1:8">
      <c r="A52" s="2391" t="s">
        <v>856</v>
      </c>
      <c r="B52" s="2390"/>
      <c r="C52" s="2390"/>
      <c r="D52" s="2390"/>
      <c r="E52" s="2390"/>
      <c r="F52" s="2390"/>
      <c r="G52" s="2390"/>
      <c r="H52" s="2390"/>
    </row>
    <row r="53" spans="1:8">
      <c r="A53" s="2390"/>
      <c r="B53" s="2390"/>
      <c r="C53" s="2390"/>
      <c r="D53" s="2390"/>
      <c r="E53" s="2390"/>
      <c r="F53" s="2390"/>
      <c r="G53" s="2390"/>
      <c r="H53" s="2390"/>
    </row>
    <row r="54" spans="1:8">
      <c r="A54" s="2391" t="s">
        <v>602</v>
      </c>
      <c r="B54" s="2390"/>
      <c r="C54" s="2390"/>
      <c r="D54" s="2390"/>
      <c r="E54" s="2390"/>
      <c r="F54" s="2390"/>
      <c r="G54" s="2390"/>
      <c r="H54" s="2390"/>
    </row>
    <row r="55" spans="1:8">
      <c r="A55" s="2390"/>
      <c r="B55" s="2390"/>
      <c r="C55" s="2390"/>
      <c r="D55" s="2390"/>
      <c r="E55" s="2390"/>
      <c r="F55" s="2390"/>
      <c r="G55" s="2390"/>
      <c r="H55" s="2390"/>
    </row>
    <row r="56" spans="1:8" ht="15.75">
      <c r="A56" s="2392" t="s">
        <v>603</v>
      </c>
      <c r="B56" s="2390"/>
      <c r="C56" s="2390"/>
      <c r="D56" s="2390"/>
      <c r="E56" s="2390"/>
      <c r="F56" s="2390"/>
      <c r="G56" s="2390"/>
      <c r="H56" s="2390"/>
    </row>
    <row r="57" spans="1:8">
      <c r="A57" s="2390"/>
      <c r="B57" s="2390"/>
      <c r="C57" s="2390"/>
      <c r="D57" s="2390"/>
      <c r="E57" s="2390"/>
      <c r="F57" s="2390"/>
      <c r="G57" s="2390"/>
      <c r="H57" s="2390"/>
    </row>
    <row r="58" spans="1:8">
      <c r="A58" s="2391" t="s">
        <v>851</v>
      </c>
      <c r="B58" s="2390"/>
      <c r="C58" s="2390"/>
      <c r="D58" s="2390"/>
      <c r="E58" s="2390"/>
      <c r="F58" s="2390"/>
      <c r="G58" s="2390"/>
      <c r="H58" s="2390"/>
    </row>
    <row r="59" spans="1:8">
      <c r="A59" s="2391" t="s">
        <v>852</v>
      </c>
      <c r="B59" s="2390"/>
      <c r="C59" s="2390"/>
      <c r="D59" s="2390"/>
      <c r="E59" s="2390"/>
      <c r="F59" s="2390"/>
      <c r="G59" s="2390"/>
      <c r="H59" s="2390"/>
    </row>
    <row r="60" spans="1:8">
      <c r="A60" s="2390"/>
      <c r="B60" s="2390"/>
      <c r="C60" s="2390"/>
      <c r="D60" s="2390"/>
      <c r="E60" s="2390"/>
      <c r="F60" s="2390"/>
      <c r="G60" s="2390"/>
      <c r="H60" s="2390"/>
    </row>
    <row r="61" spans="1:8" ht="15.75">
      <c r="A61" s="2392" t="s">
        <v>604</v>
      </c>
      <c r="B61" s="2390"/>
      <c r="C61" s="2390"/>
      <c r="D61" s="2390"/>
      <c r="E61" s="2390"/>
      <c r="F61" s="2390"/>
      <c r="G61" s="2390"/>
      <c r="H61" s="2390"/>
    </row>
    <row r="62" spans="1:8">
      <c r="A62" s="2390"/>
      <c r="B62" s="2390"/>
      <c r="C62" s="2390"/>
      <c r="D62" s="2390"/>
      <c r="E62" s="2390"/>
      <c r="F62" s="2390"/>
      <c r="G62" s="2390"/>
      <c r="H62" s="2390"/>
    </row>
    <row r="63" spans="1:8">
      <c r="A63" s="2391" t="s">
        <v>849</v>
      </c>
      <c r="B63" s="2390"/>
      <c r="C63" s="2390"/>
      <c r="D63" s="2390"/>
      <c r="E63" s="2390"/>
      <c r="F63" s="2390"/>
      <c r="G63" s="2390"/>
      <c r="H63" s="2390"/>
    </row>
    <row r="64" spans="1:8">
      <c r="A64" s="2391" t="s">
        <v>850</v>
      </c>
      <c r="B64" s="2390"/>
      <c r="C64" s="2390"/>
      <c r="D64" s="2390"/>
      <c r="E64" s="2390"/>
      <c r="F64" s="2390"/>
      <c r="G64" s="2390"/>
      <c r="H64" s="2390"/>
    </row>
    <row r="65" spans="1:8">
      <c r="A65" s="2390"/>
      <c r="B65" s="2390"/>
      <c r="C65" s="2390"/>
      <c r="D65" s="2390"/>
      <c r="E65" s="2390"/>
      <c r="F65" s="2390"/>
      <c r="G65" s="2390"/>
      <c r="H65" s="2390"/>
    </row>
    <row r="66" spans="1:8">
      <c r="A66" s="2391" t="s">
        <v>847</v>
      </c>
      <c r="B66" s="2390"/>
      <c r="C66" s="2390"/>
      <c r="D66" s="2390"/>
      <c r="E66" s="2390"/>
      <c r="F66" s="2390"/>
      <c r="G66" s="2390"/>
      <c r="H66" s="2390"/>
    </row>
    <row r="67" spans="1:8">
      <c r="A67" s="2391" t="s">
        <v>848</v>
      </c>
      <c r="B67" s="2390"/>
      <c r="C67" s="2390"/>
      <c r="D67" s="2390"/>
      <c r="E67" s="2390"/>
      <c r="F67" s="2390"/>
      <c r="G67" s="2390"/>
      <c r="H67" s="2390"/>
    </row>
    <row r="68" spans="1:8">
      <c r="A68" s="2390"/>
      <c r="B68" s="2390"/>
      <c r="C68" s="2390"/>
      <c r="D68" s="2390"/>
      <c r="E68" s="2390"/>
      <c r="F68" s="2390"/>
      <c r="G68" s="2390"/>
      <c r="H68" s="2390"/>
    </row>
    <row r="69" spans="1:8">
      <c r="A69" s="2391" t="s">
        <v>605</v>
      </c>
      <c r="B69" s="2390"/>
      <c r="C69" s="2390"/>
      <c r="D69" s="2390"/>
      <c r="E69" s="2390"/>
      <c r="F69" s="2390"/>
      <c r="G69" s="2390"/>
      <c r="H69" s="2390"/>
    </row>
    <row r="70" spans="1:8">
      <c r="A70" s="2390"/>
      <c r="B70" s="2390"/>
      <c r="C70" s="2390"/>
      <c r="D70" s="2390"/>
      <c r="E70" s="2390"/>
      <c r="F70" s="2390"/>
      <c r="G70" s="2390"/>
      <c r="H70" s="2390"/>
    </row>
    <row r="71" spans="1:8">
      <c r="A71" s="2391" t="s">
        <v>842</v>
      </c>
      <c r="B71" s="2390"/>
      <c r="C71" s="2390"/>
      <c r="D71" s="2390"/>
      <c r="E71" s="2390"/>
      <c r="F71" s="2390"/>
      <c r="G71" s="2390"/>
      <c r="H71" s="2390"/>
    </row>
    <row r="72" spans="1:8">
      <c r="A72" s="2391" t="s">
        <v>843</v>
      </c>
      <c r="B72" s="2390"/>
      <c r="C72" s="2390"/>
      <c r="D72" s="2390"/>
      <c r="E72" s="2390"/>
      <c r="F72" s="2390"/>
      <c r="G72" s="2390"/>
      <c r="H72" s="2390"/>
    </row>
    <row r="73" spans="1:8">
      <c r="A73" s="2391" t="s">
        <v>844</v>
      </c>
      <c r="B73" s="2390"/>
      <c r="C73" s="2390"/>
      <c r="D73" s="2390"/>
      <c r="E73" s="2390"/>
      <c r="F73" s="2390"/>
      <c r="G73" s="2390"/>
      <c r="H73" s="2390"/>
    </row>
    <row r="74" spans="1:8">
      <c r="A74" s="2391" t="s">
        <v>845</v>
      </c>
      <c r="B74" s="2390"/>
      <c r="C74" s="2390"/>
      <c r="D74" s="2390"/>
      <c r="E74" s="2390"/>
      <c r="F74" s="2390"/>
      <c r="G74" s="2390"/>
      <c r="H74" s="2390"/>
    </row>
    <row r="75" spans="1:8">
      <c r="A75" s="2391" t="s">
        <v>846</v>
      </c>
      <c r="B75" s="2390"/>
      <c r="C75" s="2390"/>
      <c r="D75" s="2390"/>
      <c r="E75" s="2390"/>
      <c r="F75" s="2390"/>
      <c r="G75" s="2390"/>
      <c r="H75" s="2390"/>
    </row>
    <row r="76" spans="1:8">
      <c r="A76" s="2391" t="s">
        <v>731</v>
      </c>
      <c r="B76" s="2390"/>
      <c r="C76" s="2390"/>
      <c r="D76" s="2390"/>
      <c r="E76" s="2390"/>
      <c r="F76" s="2390"/>
      <c r="G76" s="2390"/>
      <c r="H76" s="2390"/>
    </row>
    <row r="77" spans="1:8">
      <c r="A77" s="2390"/>
      <c r="B77" s="2390"/>
      <c r="C77" s="2390"/>
      <c r="D77" s="2390"/>
      <c r="E77" s="2390"/>
      <c r="F77" s="2390"/>
      <c r="G77" s="2390"/>
      <c r="H77" s="2390"/>
    </row>
    <row r="78" spans="1:8">
      <c r="A78" s="2391" t="s">
        <v>835</v>
      </c>
      <c r="B78" s="2390"/>
      <c r="C78" s="2390"/>
      <c r="D78" s="2390"/>
      <c r="E78" s="2390"/>
      <c r="F78" s="2390"/>
      <c r="G78" s="2390"/>
      <c r="H78" s="2390"/>
    </row>
    <row r="79" spans="1:8">
      <c r="A79" s="2391" t="s">
        <v>836</v>
      </c>
      <c r="B79" s="2390"/>
      <c r="C79" s="2390"/>
      <c r="D79" s="2390"/>
      <c r="E79" s="2390"/>
      <c r="F79" s="2390"/>
      <c r="G79" s="2390"/>
      <c r="H79" s="2390"/>
    </row>
    <row r="80" spans="1:8">
      <c r="A80" s="2391" t="s">
        <v>837</v>
      </c>
      <c r="B80" s="2390"/>
      <c r="C80" s="2390"/>
      <c r="D80" s="2390"/>
      <c r="E80" s="2390"/>
      <c r="F80" s="2390"/>
      <c r="G80" s="2390"/>
      <c r="H80" s="2390"/>
    </row>
    <row r="81" spans="1:8">
      <c r="A81" s="2391" t="s">
        <v>838</v>
      </c>
      <c r="B81" s="2390"/>
      <c r="C81" s="2390"/>
      <c r="D81" s="2390"/>
      <c r="E81" s="2390"/>
      <c r="F81" s="2390"/>
      <c r="G81" s="2390"/>
      <c r="H81" s="2390"/>
    </row>
    <row r="82" spans="1:8">
      <c r="A82" s="2391" t="s">
        <v>839</v>
      </c>
      <c r="B82" s="2390"/>
      <c r="C82" s="2390"/>
      <c r="D82" s="2390"/>
      <c r="E82" s="2390"/>
      <c r="F82" s="2390"/>
      <c r="G82" s="2390"/>
      <c r="H82" s="2390"/>
    </row>
    <row r="83" spans="1:8">
      <c r="A83" s="2391" t="s">
        <v>840</v>
      </c>
      <c r="B83" s="2390"/>
      <c r="C83" s="2390"/>
      <c r="D83" s="2390"/>
      <c r="E83" s="2390"/>
      <c r="F83" s="2390"/>
      <c r="G83" s="2390"/>
      <c r="H83" s="2390"/>
    </row>
    <row r="84" spans="1:8">
      <c r="A84" s="2391" t="s">
        <v>841</v>
      </c>
      <c r="B84" s="2390"/>
      <c r="C84" s="2390"/>
      <c r="D84" s="2390"/>
      <c r="E84" s="2390"/>
      <c r="F84" s="2390"/>
      <c r="G84" s="2390"/>
      <c r="H84" s="2390"/>
    </row>
    <row r="85" spans="1:8">
      <c r="A85" s="2390"/>
      <c r="B85" s="2390"/>
      <c r="C85" s="2390"/>
      <c r="D85" s="2390"/>
      <c r="E85" s="2390"/>
      <c r="F85" s="2390"/>
      <c r="G85" s="2390"/>
      <c r="H85" s="2390"/>
    </row>
    <row r="86" spans="1:8">
      <c r="A86" s="2391" t="s">
        <v>833</v>
      </c>
      <c r="B86" s="2390"/>
      <c r="C86" s="2390"/>
      <c r="D86" s="2390"/>
      <c r="E86" s="2390"/>
      <c r="F86" s="2390"/>
      <c r="G86" s="2390"/>
      <c r="H86" s="2390"/>
    </row>
    <row r="87" spans="1:8">
      <c r="A87" s="2391" t="s">
        <v>834</v>
      </c>
      <c r="B87" s="2390"/>
      <c r="C87" s="2390"/>
      <c r="D87" s="2390"/>
      <c r="E87" s="2390"/>
      <c r="F87" s="2390"/>
      <c r="G87" s="2390"/>
      <c r="H87" s="2390"/>
    </row>
    <row r="88" spans="1:8">
      <c r="A88" s="2390"/>
      <c r="B88" s="2390"/>
      <c r="C88" s="2390"/>
      <c r="D88" s="2390"/>
      <c r="E88" s="2390"/>
      <c r="F88" s="2390"/>
      <c r="G88" s="2390"/>
      <c r="H88" s="2390"/>
    </row>
    <row r="89" spans="1:8" ht="15.75">
      <c r="A89" s="2392" t="s">
        <v>606</v>
      </c>
      <c r="B89" s="2390"/>
      <c r="C89" s="2390"/>
      <c r="D89" s="2390"/>
      <c r="E89" s="2390"/>
      <c r="F89" s="2390"/>
      <c r="G89" s="2390"/>
      <c r="H89" s="2390"/>
    </row>
    <row r="90" spans="1:8">
      <c r="A90" s="2390"/>
      <c r="B90" s="2390"/>
      <c r="C90" s="2390"/>
      <c r="D90" s="2390"/>
      <c r="E90" s="2390"/>
      <c r="F90" s="2390"/>
      <c r="G90" s="2390"/>
      <c r="H90" s="2390"/>
    </row>
    <row r="91" spans="1:8">
      <c r="A91" s="2391" t="s">
        <v>824</v>
      </c>
      <c r="B91" s="2390"/>
      <c r="C91" s="2390"/>
      <c r="D91" s="2390"/>
      <c r="E91" s="2390"/>
      <c r="F91" s="2390"/>
      <c r="G91" s="2390"/>
      <c r="H91" s="2390"/>
    </row>
    <row r="92" spans="1:8">
      <c r="A92" s="2391" t="s">
        <v>825</v>
      </c>
      <c r="B92" s="2390"/>
      <c r="C92" s="2390"/>
      <c r="D92" s="2390"/>
      <c r="E92" s="2390"/>
      <c r="F92" s="2390"/>
      <c r="G92" s="2390"/>
      <c r="H92" s="2390"/>
    </row>
    <row r="93" spans="1:8">
      <c r="A93" s="2391" t="s">
        <v>826</v>
      </c>
      <c r="B93" s="2390"/>
      <c r="C93" s="2390"/>
      <c r="D93" s="2390"/>
      <c r="E93" s="2390"/>
      <c r="F93" s="2390"/>
      <c r="G93" s="2390"/>
      <c r="H93" s="2390"/>
    </row>
    <row r="94" spans="1:8">
      <c r="A94" s="2391" t="s">
        <v>827</v>
      </c>
      <c r="B94" s="2390"/>
      <c r="C94" s="2390"/>
      <c r="D94" s="2390"/>
      <c r="E94" s="2390"/>
      <c r="F94" s="2390"/>
      <c r="G94" s="2390"/>
      <c r="H94" s="2390"/>
    </row>
    <row r="95" spans="1:8">
      <c r="A95" s="2391" t="s">
        <v>828</v>
      </c>
      <c r="B95" s="2390"/>
      <c r="C95" s="2390"/>
      <c r="D95" s="2390"/>
      <c r="E95" s="2390"/>
      <c r="F95" s="2390"/>
      <c r="G95" s="2390"/>
      <c r="H95" s="2390"/>
    </row>
    <row r="96" spans="1:8">
      <c r="A96" s="2391" t="s">
        <v>829</v>
      </c>
      <c r="B96" s="2390"/>
      <c r="C96" s="2390"/>
      <c r="D96" s="2390"/>
      <c r="E96" s="2390"/>
      <c r="F96" s="2390"/>
      <c r="G96" s="2390"/>
      <c r="H96" s="2390"/>
    </row>
    <row r="97" spans="1:8">
      <c r="A97" s="2391" t="s">
        <v>830</v>
      </c>
      <c r="B97" s="2390"/>
      <c r="C97" s="2390"/>
      <c r="D97" s="2390"/>
      <c r="E97" s="2390"/>
      <c r="F97" s="2390"/>
      <c r="G97" s="2390"/>
      <c r="H97" s="2390"/>
    </row>
    <row r="98" spans="1:8">
      <c r="A98" s="2391" t="s">
        <v>831</v>
      </c>
      <c r="B98" s="2390"/>
      <c r="C98" s="2390"/>
      <c r="D98" s="2390"/>
      <c r="E98" s="2390"/>
      <c r="F98" s="2390"/>
      <c r="G98" s="2390"/>
      <c r="H98" s="2390"/>
    </row>
    <row r="99" spans="1:8">
      <c r="A99" s="2391" t="s">
        <v>832</v>
      </c>
      <c r="B99" s="2390"/>
      <c r="C99" s="2390"/>
      <c r="D99" s="2390"/>
      <c r="E99" s="2390"/>
      <c r="F99" s="2390"/>
      <c r="G99" s="2390"/>
      <c r="H99" s="2390"/>
    </row>
    <row r="100" spans="1:8">
      <c r="A100" s="2390"/>
      <c r="B100" s="2390"/>
      <c r="C100" s="2390"/>
      <c r="D100" s="2390"/>
      <c r="E100" s="2390"/>
      <c r="F100" s="2390"/>
      <c r="G100" s="2390"/>
      <c r="H100" s="2390"/>
    </row>
    <row r="101" spans="1:8" ht="15.75">
      <c r="A101" s="2393" t="s">
        <v>607</v>
      </c>
      <c r="B101" s="2393"/>
      <c r="C101" s="2393"/>
      <c r="D101" s="2393"/>
      <c r="E101" s="2393"/>
      <c r="F101" s="2393"/>
      <c r="G101" s="2393"/>
      <c r="H101" s="2393"/>
    </row>
    <row r="102" spans="1:8">
      <c r="A102" s="2394" t="s">
        <v>608</v>
      </c>
      <c r="B102" s="2394"/>
      <c r="C102" s="2394"/>
      <c r="D102" s="2394"/>
      <c r="E102" s="2394"/>
      <c r="F102" s="2394"/>
      <c r="G102" s="2394"/>
      <c r="H102" s="2394"/>
    </row>
    <row r="103" spans="1:8">
      <c r="A103" s="2395"/>
      <c r="B103" s="2395"/>
      <c r="C103" s="2395"/>
      <c r="D103" s="2395"/>
      <c r="E103" s="2395"/>
      <c r="F103" s="2395"/>
      <c r="G103" s="2395"/>
      <c r="H103" s="2395"/>
    </row>
    <row r="104" spans="1:8">
      <c r="A104" s="2394" t="s">
        <v>822</v>
      </c>
      <c r="B104" s="2394"/>
      <c r="C104" s="2394"/>
      <c r="D104" s="2394"/>
      <c r="E104" s="2394"/>
      <c r="F104" s="2394"/>
      <c r="G104" s="2394"/>
      <c r="H104" s="2394"/>
    </row>
    <row r="105" spans="1:8">
      <c r="A105" s="2391" t="s">
        <v>823</v>
      </c>
      <c r="B105" s="2391"/>
      <c r="C105" s="2391"/>
      <c r="D105" s="2391"/>
      <c r="E105" s="2391"/>
      <c r="F105" s="2391"/>
      <c r="G105" s="2391"/>
      <c r="H105" s="2391"/>
    </row>
    <row r="106" spans="1:8">
      <c r="A106" s="2395"/>
      <c r="B106" s="2395"/>
      <c r="C106" s="2395"/>
      <c r="D106" s="2395"/>
      <c r="E106" s="2395"/>
      <c r="F106" s="2395"/>
      <c r="G106" s="2395"/>
      <c r="H106" s="2395"/>
    </row>
    <row r="107" spans="1:8">
      <c r="A107" s="2394" t="s">
        <v>815</v>
      </c>
      <c r="B107" s="2394"/>
      <c r="C107" s="2394"/>
      <c r="D107" s="2394"/>
      <c r="E107" s="2394"/>
      <c r="F107" s="2394"/>
      <c r="G107" s="2394"/>
      <c r="H107" s="2394"/>
    </row>
    <row r="108" spans="1:8">
      <c r="A108" s="2391" t="s">
        <v>816</v>
      </c>
      <c r="B108" s="2391"/>
      <c r="C108" s="2391"/>
      <c r="D108" s="2391"/>
      <c r="E108" s="2391"/>
      <c r="F108" s="2391"/>
      <c r="G108" s="2391"/>
      <c r="H108" s="2391"/>
    </row>
    <row r="109" spans="1:8">
      <c r="A109" s="2391" t="s">
        <v>817</v>
      </c>
      <c r="B109" s="2391"/>
      <c r="C109" s="2391"/>
      <c r="D109" s="2391"/>
      <c r="E109" s="2391"/>
      <c r="F109" s="2391"/>
      <c r="G109" s="2391"/>
      <c r="H109" s="2391"/>
    </row>
    <row r="110" spans="1:8">
      <c r="A110" s="2391" t="s">
        <v>818</v>
      </c>
      <c r="B110" s="2391"/>
      <c r="C110" s="2391"/>
      <c r="D110" s="2391"/>
      <c r="E110" s="2391"/>
      <c r="F110" s="2391"/>
      <c r="G110" s="2391"/>
      <c r="H110" s="2391"/>
    </row>
    <row r="111" spans="1:8">
      <c r="A111" s="2391" t="s">
        <v>819</v>
      </c>
      <c r="B111" s="2391"/>
      <c r="C111" s="2391"/>
      <c r="D111" s="2391"/>
      <c r="E111" s="2391"/>
      <c r="F111" s="2391"/>
      <c r="G111" s="2391"/>
      <c r="H111" s="2391"/>
    </row>
    <row r="112" spans="1:8">
      <c r="A112" s="2391" t="s">
        <v>820</v>
      </c>
      <c r="B112" s="2391"/>
      <c r="C112" s="2391"/>
      <c r="D112" s="2391"/>
      <c r="E112" s="2391"/>
      <c r="F112" s="2391"/>
      <c r="G112" s="2391"/>
      <c r="H112" s="2391"/>
    </row>
    <row r="113" spans="1:8">
      <c r="A113" s="2391" t="s">
        <v>821</v>
      </c>
      <c r="B113" s="2391"/>
      <c r="C113" s="2391"/>
      <c r="D113" s="2391"/>
      <c r="E113" s="2391"/>
      <c r="F113" s="2391"/>
      <c r="G113" s="2391"/>
      <c r="H113" s="2391"/>
    </row>
    <row r="114" spans="1:8">
      <c r="A114" s="2396"/>
      <c r="B114" s="2396"/>
      <c r="C114" s="2396"/>
      <c r="D114" s="2396"/>
      <c r="E114" s="2396"/>
      <c r="F114" s="2396"/>
      <c r="G114" s="2396"/>
      <c r="H114" s="2396"/>
    </row>
    <row r="115" spans="1:8">
      <c r="A115" s="2397"/>
      <c r="B115" s="2398" t="s">
        <v>609</v>
      </c>
      <c r="C115" s="2399"/>
      <c r="D115" s="2398" t="s">
        <v>610</v>
      </c>
      <c r="E115" s="2400"/>
      <c r="F115" s="2399"/>
      <c r="G115" s="2398" t="s">
        <v>611</v>
      </c>
      <c r="H115" s="2399"/>
    </row>
    <row r="116" spans="1:8">
      <c r="A116" s="2397" t="s">
        <v>612</v>
      </c>
      <c r="B116" s="2397" t="s">
        <v>320</v>
      </c>
      <c r="C116" s="2397" t="s">
        <v>613</v>
      </c>
      <c r="D116" s="2397" t="s">
        <v>320</v>
      </c>
      <c r="E116" s="2397" t="s">
        <v>614</v>
      </c>
      <c r="F116" s="2397" t="s">
        <v>615</v>
      </c>
      <c r="G116" s="2397" t="s">
        <v>320</v>
      </c>
      <c r="H116" s="2397" t="s">
        <v>616</v>
      </c>
    </row>
    <row r="117" spans="1:8">
      <c r="A117" s="2397" t="s">
        <v>617</v>
      </c>
      <c r="B117" s="2397">
        <v>1189</v>
      </c>
      <c r="C117" s="2401">
        <v>0.38</v>
      </c>
      <c r="D117" s="2397">
        <v>315</v>
      </c>
      <c r="E117" s="2401">
        <v>0.41</v>
      </c>
      <c r="F117" s="2401">
        <v>0.26</v>
      </c>
      <c r="G117" s="2397">
        <v>555</v>
      </c>
      <c r="H117" s="2401">
        <v>0.39</v>
      </c>
    </row>
    <row r="118" spans="1:8">
      <c r="A118" s="2397" t="s">
        <v>618</v>
      </c>
      <c r="B118" s="2397">
        <v>1355</v>
      </c>
      <c r="C118" s="2401">
        <v>0.43</v>
      </c>
      <c r="D118" s="2397">
        <v>364</v>
      </c>
      <c r="E118" s="2401">
        <v>0.47</v>
      </c>
      <c r="F118" s="2401">
        <v>0.27</v>
      </c>
      <c r="G118" s="2397">
        <v>644</v>
      </c>
      <c r="H118" s="2401">
        <v>0.45</v>
      </c>
    </row>
    <row r="119" spans="1:8">
      <c r="A119" s="2397" t="s">
        <v>619</v>
      </c>
      <c r="B119" s="2397">
        <v>53</v>
      </c>
      <c r="C119" s="2401">
        <v>0.02</v>
      </c>
      <c r="D119" s="2397">
        <v>4</v>
      </c>
      <c r="E119" s="2401">
        <v>0.01</v>
      </c>
      <c r="F119" s="2401">
        <v>0.08</v>
      </c>
      <c r="G119" s="2397">
        <v>7</v>
      </c>
      <c r="H119" s="2401">
        <v>0</v>
      </c>
    </row>
    <row r="120" spans="1:8">
      <c r="A120" s="2397" t="s">
        <v>620</v>
      </c>
      <c r="B120" s="2397">
        <v>545</v>
      </c>
      <c r="C120" s="2401">
        <v>0.17</v>
      </c>
      <c r="D120" s="2397">
        <v>84</v>
      </c>
      <c r="E120" s="2401">
        <v>0.11</v>
      </c>
      <c r="F120" s="2401">
        <v>0.15</v>
      </c>
      <c r="G120" s="2397">
        <v>214</v>
      </c>
      <c r="H120" s="2401">
        <v>0.15</v>
      </c>
    </row>
    <row r="121" spans="1:8">
      <c r="A121" s="2397" t="s">
        <v>29</v>
      </c>
      <c r="B121" s="2402">
        <v>3142</v>
      </c>
      <c r="C121" s="2397"/>
      <c r="D121" s="2397">
        <v>767</v>
      </c>
      <c r="E121" s="2397"/>
      <c r="F121" s="2397"/>
      <c r="G121" s="2397">
        <v>1420</v>
      </c>
      <c r="H121" s="2397"/>
    </row>
    <row r="122" spans="1:8">
      <c r="A122" s="2403"/>
      <c r="B122" s="2403"/>
      <c r="C122" s="2403"/>
      <c r="D122" s="2403"/>
      <c r="E122" s="2403"/>
      <c r="F122" s="2403"/>
      <c r="G122" s="2403"/>
      <c r="H122" s="2403"/>
    </row>
    <row r="123" spans="1:8">
      <c r="A123" s="2394" t="s">
        <v>811</v>
      </c>
      <c r="B123" s="2394"/>
      <c r="C123" s="2394"/>
      <c r="D123" s="2394"/>
      <c r="E123" s="2394"/>
      <c r="F123" s="2394"/>
      <c r="G123" s="2394"/>
      <c r="H123" s="2394"/>
    </row>
    <row r="124" spans="1:8">
      <c r="A124" s="2391" t="s">
        <v>812</v>
      </c>
      <c r="B124" s="2391"/>
      <c r="C124" s="2391"/>
      <c r="D124" s="2391"/>
      <c r="E124" s="2391"/>
      <c r="F124" s="2391"/>
      <c r="G124" s="2391"/>
      <c r="H124" s="2391"/>
    </row>
    <row r="125" spans="1:8">
      <c r="A125" s="2391" t="s">
        <v>813</v>
      </c>
      <c r="B125" s="2391"/>
      <c r="C125" s="2391"/>
      <c r="D125" s="2391"/>
      <c r="E125" s="2391"/>
      <c r="F125" s="2391"/>
      <c r="G125" s="2391"/>
      <c r="H125" s="2391"/>
    </row>
    <row r="126" spans="1:8">
      <c r="A126" s="2391" t="s">
        <v>814</v>
      </c>
      <c r="B126" s="2391"/>
      <c r="C126" s="2391"/>
      <c r="D126" s="2391"/>
      <c r="E126" s="2391"/>
      <c r="F126" s="2391"/>
      <c r="G126" s="2391"/>
      <c r="H126" s="2391"/>
    </row>
    <row r="127" spans="1:8">
      <c r="A127" s="2390"/>
      <c r="B127" s="2390"/>
      <c r="C127" s="2390"/>
      <c r="D127" s="2390"/>
      <c r="E127" s="2390"/>
      <c r="F127" s="2390"/>
      <c r="G127" s="2390"/>
      <c r="H127" s="2390"/>
    </row>
    <row r="128" spans="1:8" ht="15.75">
      <c r="A128" s="2392" t="s">
        <v>621</v>
      </c>
      <c r="B128" s="2390"/>
      <c r="C128" s="2390"/>
      <c r="D128" s="2390"/>
      <c r="E128" s="2390"/>
      <c r="F128" s="2390"/>
      <c r="G128" s="2390"/>
      <c r="H128" s="2390"/>
    </row>
    <row r="129" spans="1:8">
      <c r="A129" s="2390"/>
      <c r="B129" s="2390"/>
      <c r="C129" s="2390"/>
      <c r="D129" s="2390"/>
      <c r="E129" s="2390"/>
      <c r="F129" s="2390"/>
      <c r="G129" s="2390"/>
      <c r="H129" s="2390"/>
    </row>
    <row r="130" spans="1:8">
      <c r="A130" s="2391" t="s">
        <v>809</v>
      </c>
      <c r="B130" s="2390"/>
      <c r="C130" s="2390"/>
      <c r="D130" s="2390"/>
      <c r="E130" s="2390"/>
      <c r="F130" s="2390"/>
      <c r="G130" s="2390"/>
      <c r="H130" s="2390"/>
    </row>
    <row r="131" spans="1:8">
      <c r="A131" s="2391" t="s">
        <v>810</v>
      </c>
      <c r="B131" s="2390"/>
      <c r="C131" s="2390"/>
      <c r="D131" s="2390"/>
      <c r="E131" s="2390"/>
      <c r="F131" s="2390"/>
      <c r="G131" s="2390"/>
      <c r="H131" s="2390"/>
    </row>
    <row r="132" spans="1:8">
      <c r="A132" s="2390"/>
      <c r="B132" s="2390"/>
      <c r="C132" s="2390"/>
      <c r="D132" s="2390"/>
      <c r="E132" s="2390"/>
      <c r="F132" s="2390"/>
      <c r="G132" s="2390"/>
      <c r="H132" s="2390"/>
    </row>
    <row r="133" spans="1:8">
      <c r="A133" s="2391" t="s">
        <v>806</v>
      </c>
      <c r="B133" s="2390"/>
      <c r="C133" s="2390"/>
      <c r="D133" s="2390"/>
      <c r="E133" s="2390"/>
      <c r="F133" s="2390"/>
      <c r="G133" s="2390"/>
      <c r="H133" s="2390"/>
    </row>
    <row r="134" spans="1:8">
      <c r="A134" s="2391" t="s">
        <v>807</v>
      </c>
      <c r="B134" s="2390"/>
      <c r="C134" s="2390"/>
      <c r="D134" s="2390"/>
      <c r="E134" s="2390"/>
      <c r="F134" s="2390"/>
      <c r="G134" s="2390"/>
      <c r="H134" s="2390"/>
    </row>
    <row r="135" spans="1:8">
      <c r="A135" s="2391" t="s">
        <v>808</v>
      </c>
      <c r="B135" s="2390"/>
      <c r="C135" s="2390"/>
      <c r="D135" s="2390"/>
      <c r="E135" s="2390"/>
      <c r="F135" s="2390"/>
      <c r="G135" s="2390"/>
      <c r="H135" s="2390"/>
    </row>
    <row r="136" spans="1:8">
      <c r="A136" s="2390"/>
      <c r="B136" s="2390"/>
      <c r="C136" s="2390"/>
      <c r="D136" s="2390"/>
      <c r="E136" s="2390"/>
      <c r="F136" s="2390"/>
      <c r="G136" s="2390"/>
      <c r="H136" s="2390"/>
    </row>
    <row r="137" spans="1:8">
      <c r="A137" s="2391" t="s">
        <v>803</v>
      </c>
      <c r="B137" s="2390"/>
      <c r="C137" s="2390"/>
      <c r="D137" s="2390"/>
      <c r="E137" s="2390"/>
      <c r="F137" s="2390"/>
      <c r="G137" s="2390"/>
      <c r="H137" s="2390"/>
    </row>
    <row r="138" spans="1:8">
      <c r="A138" s="2391" t="s">
        <v>804</v>
      </c>
      <c r="B138" s="2390"/>
      <c r="C138" s="2390"/>
      <c r="D138" s="2390"/>
      <c r="E138" s="2390"/>
      <c r="F138" s="2390"/>
      <c r="G138" s="2390"/>
      <c r="H138" s="2390"/>
    </row>
    <row r="139" spans="1:8">
      <c r="A139" s="2391" t="s">
        <v>805</v>
      </c>
      <c r="B139" s="2390"/>
      <c r="C139" s="2390"/>
      <c r="D139" s="2390"/>
      <c r="E139" s="2390"/>
      <c r="F139" s="2390"/>
      <c r="G139" s="2390"/>
      <c r="H139" s="2390"/>
    </row>
    <row r="140" spans="1:8">
      <c r="A140" s="2390"/>
      <c r="B140" s="2390"/>
      <c r="C140" s="2390"/>
      <c r="D140" s="2390"/>
      <c r="E140" s="2390"/>
      <c r="F140" s="2390"/>
      <c r="G140" s="2390"/>
      <c r="H140" s="2390"/>
    </row>
    <row r="141" spans="1:8">
      <c r="A141" s="2391" t="s">
        <v>800</v>
      </c>
      <c r="B141" s="2390"/>
      <c r="C141" s="2390"/>
      <c r="D141" s="2390"/>
      <c r="E141" s="2390"/>
      <c r="F141" s="2390"/>
      <c r="G141" s="2390"/>
      <c r="H141" s="2390"/>
    </row>
    <row r="142" spans="1:8">
      <c r="A142" s="2391" t="s">
        <v>801</v>
      </c>
      <c r="B142" s="2390"/>
      <c r="C142" s="2390"/>
      <c r="D142" s="2390"/>
      <c r="E142" s="2390"/>
      <c r="F142" s="2390"/>
      <c r="G142" s="2390"/>
      <c r="H142" s="2390"/>
    </row>
    <row r="143" spans="1:8">
      <c r="A143" s="2391" t="s">
        <v>802</v>
      </c>
      <c r="B143" s="2390"/>
      <c r="C143" s="2390"/>
      <c r="D143" s="2390"/>
      <c r="E143" s="2390"/>
      <c r="F143" s="2390"/>
      <c r="G143" s="2390"/>
      <c r="H143" s="2390"/>
    </row>
    <row r="144" spans="1:8">
      <c r="A144" s="2390"/>
      <c r="B144" s="2390"/>
      <c r="C144" s="2390"/>
      <c r="D144" s="2390"/>
      <c r="E144" s="2390"/>
      <c r="F144" s="2390"/>
      <c r="G144" s="2390"/>
      <c r="H144" s="2390"/>
    </row>
    <row r="145" spans="1:8">
      <c r="A145" s="2391" t="s">
        <v>798</v>
      </c>
      <c r="B145" s="2390"/>
      <c r="C145" s="2390"/>
      <c r="D145" s="2390"/>
      <c r="E145" s="2390"/>
      <c r="F145" s="2390"/>
      <c r="G145" s="2390"/>
      <c r="H145" s="2390"/>
    </row>
    <row r="146" spans="1:8">
      <c r="A146" s="2391" t="s">
        <v>799</v>
      </c>
      <c r="B146" s="2390"/>
      <c r="C146" s="2390"/>
      <c r="D146" s="2390"/>
      <c r="E146" s="2390"/>
      <c r="F146" s="2390"/>
      <c r="G146" s="2390"/>
      <c r="H146" s="2390"/>
    </row>
    <row r="147" spans="1:8">
      <c r="A147" s="2390"/>
      <c r="B147" s="2390"/>
      <c r="C147" s="2390"/>
      <c r="D147" s="2390"/>
      <c r="E147" s="2390"/>
      <c r="F147" s="2390"/>
      <c r="G147" s="2390"/>
      <c r="H147" s="2390"/>
    </row>
    <row r="148" spans="1:8" ht="15.75">
      <c r="A148" s="2392" t="s">
        <v>622</v>
      </c>
      <c r="B148" s="2390"/>
      <c r="C148" s="2390"/>
      <c r="D148" s="2390"/>
      <c r="E148" s="2390"/>
      <c r="F148" s="2390"/>
      <c r="G148" s="2390"/>
      <c r="H148" s="2390"/>
    </row>
    <row r="149" spans="1:8">
      <c r="A149" s="2390"/>
      <c r="B149" s="2390"/>
      <c r="C149" s="2390"/>
      <c r="D149" s="2390"/>
      <c r="E149" s="2390"/>
      <c r="F149" s="2390"/>
      <c r="G149" s="2390"/>
      <c r="H149" s="2390"/>
    </row>
    <row r="150" spans="1:8">
      <c r="A150" s="2391" t="s">
        <v>796</v>
      </c>
      <c r="B150" s="2390"/>
      <c r="C150" s="2390"/>
      <c r="D150" s="2390"/>
      <c r="E150" s="2390"/>
      <c r="F150" s="2390"/>
      <c r="G150" s="2390"/>
      <c r="H150" s="2390"/>
    </row>
    <row r="151" spans="1:8">
      <c r="A151" s="2391" t="s">
        <v>797</v>
      </c>
      <c r="B151" s="2390"/>
      <c r="C151" s="2390"/>
      <c r="D151" s="2390"/>
      <c r="E151" s="2390"/>
      <c r="F151" s="2390"/>
      <c r="G151" s="2390"/>
      <c r="H151" s="2390"/>
    </row>
    <row r="152" spans="1:8">
      <c r="A152" s="2390"/>
      <c r="B152" s="2390"/>
      <c r="C152" s="2390"/>
      <c r="D152" s="2390"/>
      <c r="E152" s="2390"/>
      <c r="F152" s="2390"/>
      <c r="G152" s="2390"/>
      <c r="H152" s="2390"/>
    </row>
    <row r="153" spans="1:8">
      <c r="A153" s="2391" t="s">
        <v>794</v>
      </c>
      <c r="B153" s="2390"/>
      <c r="C153" s="2390"/>
      <c r="D153" s="2390"/>
      <c r="E153" s="2390"/>
      <c r="F153" s="2390"/>
      <c r="G153" s="2390"/>
      <c r="H153" s="2390"/>
    </row>
    <row r="154" spans="1:8">
      <c r="A154" s="2391" t="s">
        <v>795</v>
      </c>
      <c r="B154" s="2390"/>
      <c r="C154" s="2390"/>
      <c r="D154" s="2390"/>
      <c r="E154" s="2390"/>
      <c r="F154" s="2390"/>
      <c r="G154" s="2390"/>
      <c r="H154" s="2390"/>
    </row>
    <row r="155" spans="1:8">
      <c r="A155" s="2390"/>
      <c r="B155" s="2390"/>
      <c r="C155" s="2390"/>
      <c r="D155" s="2390"/>
      <c r="E155" s="2390"/>
      <c r="F155" s="2390"/>
      <c r="G155" s="2390"/>
      <c r="H155" s="2390"/>
    </row>
    <row r="156" spans="1:8">
      <c r="A156" s="2391" t="s">
        <v>792</v>
      </c>
      <c r="B156" s="2390"/>
      <c r="C156" s="2390"/>
      <c r="D156" s="2390"/>
      <c r="E156" s="2390"/>
      <c r="F156" s="2390"/>
      <c r="G156" s="2390"/>
      <c r="H156" s="2390"/>
    </row>
    <row r="157" spans="1:8">
      <c r="A157" s="2391" t="s">
        <v>793</v>
      </c>
      <c r="B157" s="2390"/>
      <c r="C157" s="2390"/>
      <c r="D157" s="2390"/>
      <c r="E157" s="2390"/>
      <c r="F157" s="2390"/>
      <c r="G157" s="2390"/>
      <c r="H157" s="2390"/>
    </row>
    <row r="158" spans="1:8">
      <c r="A158" s="2390"/>
      <c r="B158" s="2390"/>
      <c r="C158" s="2390"/>
      <c r="D158" s="2390"/>
      <c r="E158" s="2390"/>
      <c r="F158" s="2390"/>
      <c r="G158" s="2390"/>
      <c r="H158" s="2390"/>
    </row>
    <row r="159" spans="1:8">
      <c r="A159" s="2391" t="s">
        <v>789</v>
      </c>
      <c r="B159" s="2390"/>
      <c r="C159" s="2390"/>
      <c r="D159" s="2390"/>
      <c r="E159" s="2390"/>
      <c r="F159" s="2390"/>
      <c r="G159" s="2390"/>
      <c r="H159" s="2390"/>
    </row>
    <row r="160" spans="1:8">
      <c r="A160" s="2391" t="s">
        <v>790</v>
      </c>
      <c r="B160" s="2390"/>
      <c r="C160" s="2390"/>
      <c r="D160" s="2390"/>
      <c r="E160" s="2390"/>
      <c r="F160" s="2390"/>
      <c r="G160" s="2390"/>
      <c r="H160" s="2390"/>
    </row>
    <row r="161" spans="1:8">
      <c r="A161" s="2391" t="s">
        <v>791</v>
      </c>
      <c r="B161" s="2390"/>
      <c r="C161" s="2390"/>
      <c r="D161" s="2390"/>
      <c r="E161" s="2390"/>
      <c r="F161" s="2390"/>
      <c r="G161" s="2390"/>
      <c r="H161" s="2390"/>
    </row>
    <row r="162" spans="1:8">
      <c r="A162" s="2390"/>
      <c r="B162" s="2390"/>
      <c r="C162" s="2390"/>
      <c r="D162" s="2390"/>
      <c r="E162" s="2390"/>
      <c r="F162" s="2390"/>
      <c r="G162" s="2390"/>
      <c r="H162" s="2390"/>
    </row>
    <row r="163" spans="1:8">
      <c r="A163" s="2390"/>
      <c r="B163" s="2390"/>
      <c r="C163" s="2390"/>
      <c r="D163" s="2390"/>
      <c r="E163" s="2390"/>
      <c r="F163" s="2390"/>
      <c r="G163" s="2390"/>
      <c r="H163" s="2390"/>
    </row>
    <row r="164" spans="1:8">
      <c r="A164" s="2391" t="s">
        <v>623</v>
      </c>
      <c r="B164" s="2390"/>
      <c r="C164" s="2390"/>
      <c r="D164" s="2390"/>
      <c r="E164" s="2390"/>
      <c r="F164" s="2390"/>
      <c r="G164" s="2390"/>
      <c r="H164" s="2390"/>
    </row>
    <row r="165" spans="1:8">
      <c r="A165" s="2390"/>
      <c r="B165" s="2390"/>
      <c r="C165" s="2390"/>
      <c r="D165" s="2390"/>
      <c r="E165" s="2390"/>
      <c r="F165" s="2390"/>
      <c r="G165" s="2390"/>
      <c r="H165" s="2390"/>
    </row>
    <row r="166" spans="1:8" ht="15.75">
      <c r="A166" s="2392" t="s">
        <v>624</v>
      </c>
      <c r="B166" s="2390"/>
      <c r="C166" s="2390"/>
      <c r="D166" s="2390"/>
      <c r="E166" s="2390"/>
      <c r="F166" s="2390"/>
      <c r="G166" s="2390"/>
      <c r="H166" s="2390"/>
    </row>
    <row r="167" spans="1:8">
      <c r="A167" s="2390"/>
      <c r="B167" s="2390"/>
      <c r="C167" s="2390"/>
      <c r="D167" s="2390"/>
      <c r="E167" s="2390"/>
      <c r="F167" s="2390"/>
      <c r="G167" s="2390"/>
      <c r="H167" s="2390"/>
    </row>
    <row r="168" spans="1:8">
      <c r="A168" s="2390"/>
      <c r="B168" s="2390"/>
      <c r="C168" s="2390"/>
      <c r="D168" s="2390"/>
      <c r="E168" s="2390"/>
      <c r="F168" s="2390"/>
      <c r="G168" s="2390"/>
      <c r="H168" s="2390"/>
    </row>
    <row r="169" spans="1:8">
      <c r="A169" s="2390"/>
      <c r="B169" s="2390"/>
      <c r="C169" s="2390"/>
      <c r="D169" s="2390"/>
      <c r="E169" s="2390"/>
      <c r="F169" s="2390"/>
      <c r="G169" s="2390"/>
      <c r="H169" s="2390"/>
    </row>
    <row r="170" spans="1:8">
      <c r="A170" s="2390"/>
      <c r="B170" s="2390"/>
      <c r="C170" s="2390"/>
      <c r="D170" s="2390"/>
      <c r="E170" s="2390"/>
      <c r="F170" s="2390"/>
      <c r="G170" s="2390"/>
      <c r="H170" s="2390"/>
    </row>
    <row r="171" spans="1:8">
      <c r="A171" s="2390"/>
      <c r="B171" s="2390"/>
      <c r="C171" s="2390"/>
      <c r="D171" s="2390"/>
      <c r="E171" s="2390"/>
      <c r="F171" s="2390"/>
      <c r="G171" s="2390"/>
      <c r="H171" s="2390"/>
    </row>
    <row r="172" spans="1:8">
      <c r="A172" s="2390"/>
      <c r="B172" s="2390"/>
      <c r="C172" s="2390"/>
      <c r="D172" s="2390"/>
      <c r="E172" s="2390"/>
      <c r="F172" s="2390"/>
      <c r="G172" s="2390"/>
      <c r="H172" s="2390"/>
    </row>
    <row r="173" spans="1:8">
      <c r="A173" s="2390"/>
      <c r="B173" s="2390"/>
      <c r="C173" s="2390"/>
      <c r="D173" s="2390"/>
      <c r="E173" s="2390"/>
      <c r="F173" s="2390"/>
      <c r="G173" s="2390"/>
      <c r="H173" s="2390"/>
    </row>
    <row r="174" spans="1:8">
      <c r="A174" s="2390"/>
      <c r="B174" s="2390"/>
      <c r="C174" s="2390"/>
      <c r="D174" s="2390"/>
      <c r="E174" s="2390"/>
      <c r="F174" s="2390"/>
      <c r="G174" s="2390"/>
      <c r="H174" s="2390"/>
    </row>
    <row r="175" spans="1:8">
      <c r="A175" s="2390"/>
      <c r="B175" s="2390"/>
      <c r="C175" s="2390"/>
      <c r="D175" s="2390"/>
      <c r="E175" s="2390"/>
      <c r="F175" s="2390"/>
      <c r="G175" s="2390"/>
      <c r="H175" s="2390"/>
    </row>
    <row r="176" spans="1:8">
      <c r="A176" s="2390"/>
      <c r="B176" s="2390"/>
      <c r="C176" s="2390"/>
      <c r="D176" s="2390"/>
      <c r="E176" s="2390"/>
      <c r="F176" s="2390"/>
      <c r="G176" s="2390"/>
      <c r="H176" s="2390"/>
    </row>
    <row r="177" spans="1:8">
      <c r="A177" s="2390"/>
      <c r="B177" s="2390"/>
      <c r="C177" s="2390"/>
      <c r="D177" s="2390"/>
      <c r="E177" s="2390"/>
      <c r="F177" s="2390"/>
      <c r="G177" s="2390"/>
      <c r="H177" s="2390"/>
    </row>
    <row r="178" spans="1:8">
      <c r="A178" s="2390"/>
      <c r="B178" s="2390"/>
      <c r="C178" s="2390"/>
      <c r="D178" s="2390"/>
      <c r="E178" s="2390"/>
      <c r="F178" s="2390"/>
      <c r="G178" s="2390"/>
      <c r="H178" s="2390"/>
    </row>
    <row r="179" spans="1:8">
      <c r="A179" s="2390"/>
      <c r="B179" s="2390"/>
      <c r="C179" s="2390"/>
      <c r="D179" s="2390"/>
      <c r="E179" s="2390"/>
      <c r="F179" s="2390"/>
      <c r="G179" s="2390"/>
      <c r="H179" s="2390"/>
    </row>
    <row r="180" spans="1:8">
      <c r="A180" s="2390"/>
      <c r="B180" s="2390"/>
      <c r="C180" s="2390"/>
      <c r="D180" s="2390"/>
      <c r="E180" s="2390"/>
      <c r="F180" s="2390"/>
      <c r="G180" s="2390"/>
      <c r="H180" s="2390"/>
    </row>
    <row r="181" spans="1:8">
      <c r="A181" s="2390"/>
      <c r="B181" s="2390"/>
      <c r="C181" s="2390"/>
      <c r="D181" s="2390"/>
      <c r="E181" s="2390"/>
      <c r="F181" s="2390"/>
      <c r="G181" s="2390"/>
      <c r="H181" s="2390"/>
    </row>
    <row r="182" spans="1:8">
      <c r="A182" s="2390"/>
      <c r="B182" s="2390"/>
      <c r="C182" s="2390"/>
      <c r="D182" s="2390"/>
      <c r="E182" s="2390"/>
      <c r="F182" s="2390"/>
      <c r="G182" s="2390"/>
      <c r="H182" s="2390"/>
    </row>
    <row r="183" spans="1:8">
      <c r="A183" s="2390"/>
      <c r="B183" s="2390"/>
      <c r="C183" s="2390"/>
      <c r="D183" s="2390"/>
      <c r="E183" s="2390"/>
      <c r="F183" s="2390"/>
      <c r="G183" s="2390"/>
      <c r="H183" s="2390"/>
    </row>
    <row r="184" spans="1:8">
      <c r="A184" s="2390"/>
      <c r="B184" s="2390"/>
      <c r="C184" s="2390"/>
      <c r="D184" s="2390"/>
      <c r="E184" s="2390"/>
      <c r="F184" s="2390"/>
      <c r="G184" s="2390"/>
      <c r="H184" s="2390"/>
    </row>
    <row r="185" spans="1:8">
      <c r="A185" s="2390"/>
      <c r="B185" s="2390"/>
      <c r="C185" s="2390"/>
      <c r="D185" s="2390"/>
      <c r="E185" s="2390"/>
      <c r="F185" s="2390"/>
      <c r="G185" s="2390"/>
      <c r="H185" s="2390"/>
    </row>
    <row r="186" spans="1:8">
      <c r="A186" s="2390"/>
      <c r="B186" s="2390"/>
      <c r="C186" s="2390"/>
      <c r="D186" s="2390"/>
      <c r="E186" s="2390"/>
      <c r="F186" s="2390"/>
      <c r="G186" s="2390"/>
      <c r="H186" s="2390"/>
    </row>
    <row r="187" spans="1:8">
      <c r="A187" s="2390"/>
      <c r="B187" s="2390"/>
      <c r="C187" s="2390"/>
      <c r="D187" s="2390"/>
      <c r="E187" s="2390"/>
      <c r="F187" s="2390"/>
      <c r="G187" s="2390"/>
      <c r="H187" s="2390"/>
    </row>
    <row r="188" spans="1:8">
      <c r="A188" s="2390"/>
      <c r="B188" s="2390"/>
      <c r="C188" s="2390"/>
      <c r="D188" s="2390"/>
      <c r="E188" s="2390"/>
      <c r="F188" s="2390"/>
      <c r="G188" s="2390"/>
      <c r="H188" s="2390"/>
    </row>
    <row r="189" spans="1:8">
      <c r="A189" s="2390"/>
      <c r="B189" s="2390"/>
      <c r="C189" s="2390"/>
      <c r="D189" s="2390"/>
      <c r="E189" s="2390"/>
      <c r="F189" s="2390"/>
      <c r="G189" s="2390"/>
      <c r="H189" s="2390"/>
    </row>
    <row r="190" spans="1:8">
      <c r="A190" s="2390"/>
      <c r="B190" s="2390"/>
      <c r="C190" s="2390"/>
      <c r="D190" s="2390"/>
      <c r="E190" s="2390"/>
      <c r="F190" s="2390"/>
      <c r="G190" s="2390"/>
      <c r="H190" s="2390"/>
    </row>
    <row r="191" spans="1:8">
      <c r="A191" s="2390"/>
      <c r="B191" s="2390"/>
      <c r="C191" s="2390"/>
      <c r="D191" s="2390"/>
      <c r="E191" s="2390"/>
      <c r="F191" s="2390"/>
      <c r="G191" s="2390"/>
      <c r="H191" s="2390"/>
    </row>
    <row r="192" spans="1:8">
      <c r="A192" s="2390"/>
      <c r="B192" s="2390"/>
      <c r="C192" s="2390"/>
      <c r="D192" s="2390"/>
      <c r="E192" s="2390"/>
      <c r="F192" s="2390"/>
      <c r="G192" s="2390"/>
      <c r="H192" s="2390"/>
    </row>
    <row r="193" spans="1:8" ht="15.75">
      <c r="A193" s="2392" t="s">
        <v>625</v>
      </c>
      <c r="B193" s="2390"/>
      <c r="C193" s="2390"/>
      <c r="D193" s="2390"/>
      <c r="E193" s="2390"/>
      <c r="F193" s="2390"/>
      <c r="G193" s="2390"/>
      <c r="H193" s="2390"/>
    </row>
    <row r="194" spans="1:8">
      <c r="A194" s="2390"/>
      <c r="B194" s="2390"/>
      <c r="C194" s="2390"/>
      <c r="D194" s="2390"/>
      <c r="E194" s="2390"/>
      <c r="F194" s="2390"/>
      <c r="G194" s="2390"/>
      <c r="H194" s="2390"/>
    </row>
    <row r="195" spans="1:8">
      <c r="A195" s="2391" t="s">
        <v>784</v>
      </c>
      <c r="B195" s="2390"/>
      <c r="C195" s="2390"/>
      <c r="D195" s="2390"/>
      <c r="E195" s="2390"/>
      <c r="F195" s="2390"/>
      <c r="G195" s="2390"/>
      <c r="H195" s="2390"/>
    </row>
    <row r="196" spans="1:8">
      <c r="A196" s="2391" t="s">
        <v>785</v>
      </c>
      <c r="B196" s="2390"/>
      <c r="C196" s="2390"/>
      <c r="D196" s="2390"/>
      <c r="E196" s="2390"/>
      <c r="F196" s="2390"/>
      <c r="G196" s="2390"/>
      <c r="H196" s="2390"/>
    </row>
    <row r="197" spans="1:8">
      <c r="A197" s="2391" t="s">
        <v>786</v>
      </c>
      <c r="B197" s="2390"/>
      <c r="C197" s="2390"/>
      <c r="D197" s="2390"/>
      <c r="E197" s="2390"/>
      <c r="F197" s="2390"/>
      <c r="G197" s="2390"/>
      <c r="H197" s="2390"/>
    </row>
    <row r="198" spans="1:8">
      <c r="A198" s="2391" t="s">
        <v>787</v>
      </c>
      <c r="B198" s="2390"/>
      <c r="C198" s="2390"/>
      <c r="D198" s="2390"/>
      <c r="E198" s="2390"/>
      <c r="F198" s="2390"/>
      <c r="G198" s="2390"/>
      <c r="H198" s="2390"/>
    </row>
    <row r="199" spans="1:8">
      <c r="A199" s="2391" t="s">
        <v>788</v>
      </c>
      <c r="B199" s="2390"/>
      <c r="C199" s="2390"/>
      <c r="D199" s="2390"/>
      <c r="E199" s="2390"/>
      <c r="F199" s="2390"/>
      <c r="G199" s="2390"/>
      <c r="H199" s="2390"/>
    </row>
    <row r="200" spans="1:8">
      <c r="A200" s="2390"/>
      <c r="B200" s="2390"/>
      <c r="C200" s="2390"/>
      <c r="D200" s="2390"/>
      <c r="E200" s="2390"/>
      <c r="F200" s="2390"/>
      <c r="G200" s="2390"/>
      <c r="H200" s="2390"/>
    </row>
    <row r="201" spans="1:8">
      <c r="A201" s="2391" t="s">
        <v>781</v>
      </c>
      <c r="B201" s="2390"/>
      <c r="C201" s="2390"/>
      <c r="D201" s="2390"/>
      <c r="E201" s="2390"/>
      <c r="F201" s="2390"/>
      <c r="G201" s="2390"/>
      <c r="H201" s="2390"/>
    </row>
    <row r="202" spans="1:8">
      <c r="A202" s="2391" t="s">
        <v>782</v>
      </c>
      <c r="B202" s="2390"/>
      <c r="C202" s="2390"/>
      <c r="D202" s="2390"/>
      <c r="E202" s="2390"/>
      <c r="F202" s="2390"/>
      <c r="G202" s="2390"/>
      <c r="H202" s="2390"/>
    </row>
    <row r="203" spans="1:8">
      <c r="A203" s="2391" t="s">
        <v>783</v>
      </c>
      <c r="B203" s="2390"/>
      <c r="C203" s="2390"/>
      <c r="D203" s="2390"/>
      <c r="E203" s="2390"/>
      <c r="F203" s="2390"/>
      <c r="G203" s="2390"/>
      <c r="H203" s="2390"/>
    </row>
    <row r="204" spans="1:8" ht="15.75">
      <c r="A204" s="2392" t="s">
        <v>626</v>
      </c>
      <c r="B204" s="2390"/>
      <c r="C204" s="2390"/>
      <c r="D204" s="2390"/>
      <c r="E204" s="2390"/>
      <c r="F204" s="2390"/>
      <c r="G204" s="2390"/>
      <c r="H204" s="2390"/>
    </row>
    <row r="205" spans="1:8">
      <c r="A205" s="2390"/>
      <c r="B205" s="2390"/>
      <c r="C205" s="2390"/>
      <c r="D205" s="2390"/>
      <c r="E205" s="2390"/>
      <c r="F205" s="2390"/>
      <c r="G205" s="2390"/>
      <c r="H205" s="2390"/>
    </row>
    <row r="206" spans="1:8">
      <c r="A206" s="2391" t="s">
        <v>774</v>
      </c>
      <c r="B206" s="2390"/>
      <c r="C206" s="2390"/>
      <c r="D206" s="2390"/>
      <c r="E206" s="2390"/>
      <c r="F206" s="2390"/>
      <c r="G206" s="2390"/>
      <c r="H206" s="2390"/>
    </row>
    <row r="207" spans="1:8">
      <c r="A207" s="2391" t="s">
        <v>775</v>
      </c>
      <c r="B207" s="2390"/>
      <c r="C207" s="2390"/>
      <c r="D207" s="2390"/>
      <c r="E207" s="2390"/>
      <c r="F207" s="2390"/>
      <c r="G207" s="2390"/>
      <c r="H207" s="2390"/>
    </row>
    <row r="208" spans="1:8">
      <c r="A208" s="2391" t="s">
        <v>776</v>
      </c>
      <c r="B208" s="2390"/>
      <c r="C208" s="2390"/>
      <c r="D208" s="2390"/>
      <c r="E208" s="2390"/>
      <c r="F208" s="2390"/>
      <c r="G208" s="2390"/>
      <c r="H208" s="2390"/>
    </row>
    <row r="209" spans="1:8">
      <c r="A209" s="2391" t="s">
        <v>777</v>
      </c>
      <c r="B209" s="2390"/>
      <c r="C209" s="2390"/>
      <c r="D209" s="2390"/>
      <c r="E209" s="2390"/>
      <c r="F209" s="2390"/>
      <c r="G209" s="2390"/>
      <c r="H209" s="2390"/>
    </row>
    <row r="210" spans="1:8">
      <c r="A210" s="2391" t="s">
        <v>778</v>
      </c>
      <c r="B210" s="2390"/>
      <c r="C210" s="2390"/>
      <c r="D210" s="2390"/>
      <c r="E210" s="2390"/>
      <c r="F210" s="2390"/>
      <c r="G210" s="2390"/>
      <c r="H210" s="2390"/>
    </row>
    <row r="211" spans="1:8">
      <c r="A211" s="2391" t="s">
        <v>779</v>
      </c>
      <c r="B211" s="2390"/>
      <c r="C211" s="2390"/>
      <c r="D211" s="2390"/>
      <c r="E211" s="2390"/>
      <c r="F211" s="2390"/>
      <c r="G211" s="2390"/>
      <c r="H211" s="2390"/>
    </row>
    <row r="212" spans="1:8">
      <c r="A212" s="2391" t="s">
        <v>780</v>
      </c>
      <c r="B212" s="2390"/>
      <c r="C212" s="2390"/>
      <c r="D212" s="2390"/>
      <c r="E212" s="2390"/>
      <c r="F212" s="2390"/>
      <c r="G212" s="2390"/>
      <c r="H212" s="2390"/>
    </row>
    <row r="213" spans="1:8">
      <c r="A213" s="2390"/>
      <c r="B213" s="2390"/>
      <c r="C213" s="2390"/>
      <c r="D213" s="2390"/>
      <c r="E213" s="2390"/>
      <c r="F213" s="2390"/>
      <c r="G213" s="2390"/>
      <c r="H213" s="2390"/>
    </row>
    <row r="214" spans="1:8">
      <c r="A214" s="2391" t="s">
        <v>771</v>
      </c>
      <c r="B214" s="2390"/>
      <c r="C214" s="2390"/>
      <c r="D214" s="2390"/>
      <c r="E214" s="2390"/>
      <c r="F214" s="2390"/>
      <c r="G214" s="2390"/>
      <c r="H214" s="2390"/>
    </row>
    <row r="215" spans="1:8">
      <c r="A215" s="2391" t="s">
        <v>772</v>
      </c>
      <c r="B215" s="2390"/>
      <c r="C215" s="2390"/>
      <c r="D215" s="2390"/>
      <c r="E215" s="2390"/>
      <c r="F215" s="2390"/>
      <c r="G215" s="2390"/>
      <c r="H215" s="2390"/>
    </row>
    <row r="216" spans="1:8">
      <c r="A216" s="2391" t="s">
        <v>773</v>
      </c>
      <c r="B216" s="2390"/>
      <c r="C216" s="2390"/>
      <c r="D216" s="2390"/>
      <c r="E216" s="2390"/>
      <c r="F216" s="2390"/>
      <c r="G216" s="2390"/>
      <c r="H216" s="2390"/>
    </row>
    <row r="217" spans="1:8">
      <c r="A217" s="2390"/>
      <c r="B217" s="2390"/>
      <c r="C217" s="2390"/>
      <c r="D217" s="2390"/>
      <c r="E217" s="2390"/>
      <c r="F217" s="2390"/>
      <c r="G217" s="2390"/>
      <c r="H217" s="2390"/>
    </row>
    <row r="218" spans="1:8">
      <c r="A218" s="2391" t="s">
        <v>766</v>
      </c>
      <c r="B218" s="2390"/>
      <c r="C218" s="2390"/>
      <c r="D218" s="2390"/>
      <c r="E218" s="2390"/>
      <c r="F218" s="2390"/>
      <c r="G218" s="2390"/>
      <c r="H218" s="2390"/>
    </row>
    <row r="219" spans="1:8">
      <c r="A219" s="2391" t="s">
        <v>767</v>
      </c>
      <c r="B219" s="2390"/>
      <c r="C219" s="2390"/>
      <c r="D219" s="2390"/>
      <c r="E219" s="2390"/>
      <c r="F219" s="2390"/>
      <c r="G219" s="2390"/>
      <c r="H219" s="2390"/>
    </row>
    <row r="220" spans="1:8">
      <c r="A220" s="2391" t="s">
        <v>768</v>
      </c>
      <c r="B220" s="2390"/>
      <c r="C220" s="2390"/>
      <c r="D220" s="2390"/>
      <c r="E220" s="2390"/>
      <c r="F220" s="2390"/>
      <c r="G220" s="2390"/>
      <c r="H220" s="2390"/>
    </row>
    <row r="221" spans="1:8">
      <c r="A221" s="2391" t="s">
        <v>769</v>
      </c>
      <c r="B221" s="2390"/>
      <c r="C221" s="2390"/>
      <c r="D221" s="2390"/>
      <c r="E221" s="2390"/>
      <c r="F221" s="2390"/>
      <c r="G221" s="2390"/>
      <c r="H221" s="2390"/>
    </row>
    <row r="222" spans="1:8">
      <c r="A222" s="2391" t="s">
        <v>770</v>
      </c>
      <c r="B222" s="2390"/>
      <c r="C222" s="2390"/>
      <c r="D222" s="2390"/>
      <c r="E222" s="2390"/>
      <c r="F222" s="2390"/>
      <c r="G222" s="2390"/>
      <c r="H222" s="2390"/>
    </row>
    <row r="223" spans="1:8">
      <c r="A223" s="2390"/>
      <c r="B223" s="2390"/>
      <c r="C223" s="2390"/>
      <c r="D223" s="2390"/>
      <c r="E223" s="2390"/>
      <c r="F223" s="2390"/>
      <c r="G223" s="2390"/>
      <c r="H223" s="2390"/>
    </row>
    <row r="224" spans="1:8">
      <c r="A224" s="2391" t="s">
        <v>760</v>
      </c>
      <c r="B224" s="2390"/>
      <c r="C224" s="2390"/>
      <c r="D224" s="2390"/>
      <c r="E224" s="2390"/>
      <c r="F224" s="2390"/>
      <c r="G224" s="2390"/>
      <c r="H224" s="2390"/>
    </row>
    <row r="225" spans="1:8">
      <c r="A225" s="2391" t="s">
        <v>761</v>
      </c>
      <c r="B225" s="2390"/>
      <c r="C225" s="2390"/>
      <c r="D225" s="2390"/>
      <c r="E225" s="2390"/>
      <c r="F225" s="2390"/>
      <c r="G225" s="2390"/>
      <c r="H225" s="2390"/>
    </row>
    <row r="226" spans="1:8">
      <c r="A226" s="2391" t="s">
        <v>762</v>
      </c>
      <c r="B226" s="2390"/>
      <c r="C226" s="2390"/>
      <c r="D226" s="2390"/>
      <c r="E226" s="2390"/>
      <c r="F226" s="2390"/>
      <c r="G226" s="2390"/>
      <c r="H226" s="2390"/>
    </row>
    <row r="227" spans="1:8">
      <c r="A227" s="2391" t="s">
        <v>763</v>
      </c>
      <c r="B227" s="2390"/>
      <c r="C227" s="2390"/>
      <c r="D227" s="2390"/>
      <c r="E227" s="2390"/>
      <c r="F227" s="2390"/>
      <c r="G227" s="2390"/>
      <c r="H227" s="2390"/>
    </row>
    <row r="228" spans="1:8">
      <c r="A228" s="2391" t="s">
        <v>764</v>
      </c>
      <c r="B228" s="2390"/>
      <c r="C228" s="2390"/>
      <c r="D228" s="2390"/>
      <c r="E228" s="2390"/>
      <c r="F228" s="2390"/>
      <c r="G228" s="2390"/>
      <c r="H228" s="2390"/>
    </row>
    <row r="229" spans="1:8">
      <c r="A229" s="2391" t="s">
        <v>765</v>
      </c>
      <c r="B229" s="2390"/>
      <c r="C229" s="2390"/>
      <c r="D229" s="2390"/>
      <c r="E229" s="2390"/>
      <c r="F229" s="2390"/>
      <c r="G229" s="2390"/>
      <c r="H229" s="2390"/>
    </row>
    <row r="230" spans="1:8">
      <c r="A230" s="2390"/>
      <c r="B230" s="2390"/>
      <c r="C230" s="2390"/>
      <c r="D230" s="2390"/>
      <c r="E230" s="2390"/>
      <c r="F230" s="2390"/>
      <c r="G230" s="2390"/>
      <c r="H230" s="2390"/>
    </row>
    <row r="231" spans="1:8">
      <c r="A231" s="2391" t="s">
        <v>750</v>
      </c>
      <c r="B231" s="2390"/>
      <c r="C231" s="2390"/>
      <c r="D231" s="2390"/>
      <c r="E231" s="2390"/>
      <c r="F231" s="2390"/>
      <c r="G231" s="2390"/>
      <c r="H231" s="2390"/>
    </row>
    <row r="232" spans="1:8">
      <c r="A232" s="2391" t="s">
        <v>751</v>
      </c>
      <c r="B232" s="2390"/>
      <c r="C232" s="2390"/>
      <c r="D232" s="2390"/>
      <c r="E232" s="2390"/>
      <c r="F232" s="2390"/>
      <c r="G232" s="2390"/>
      <c r="H232" s="2390"/>
    </row>
    <row r="233" spans="1:8">
      <c r="A233" s="2391" t="s">
        <v>752</v>
      </c>
      <c r="B233" s="2390"/>
      <c r="C233" s="2390"/>
      <c r="D233" s="2390"/>
      <c r="E233" s="2390"/>
      <c r="F233" s="2390"/>
      <c r="G233" s="2390"/>
      <c r="H233" s="2390"/>
    </row>
    <row r="234" spans="1:8">
      <c r="A234" s="2391" t="s">
        <v>753</v>
      </c>
      <c r="B234" s="2390"/>
      <c r="C234" s="2390"/>
      <c r="D234" s="2390"/>
      <c r="E234" s="2390"/>
      <c r="F234" s="2390"/>
      <c r="G234" s="2390"/>
      <c r="H234" s="2390"/>
    </row>
    <row r="235" spans="1:8">
      <c r="A235" s="2391" t="s">
        <v>754</v>
      </c>
      <c r="B235" s="2390"/>
      <c r="C235" s="2390"/>
      <c r="D235" s="2390"/>
      <c r="E235" s="2390"/>
      <c r="F235" s="2390"/>
      <c r="G235" s="2390"/>
      <c r="H235" s="2390"/>
    </row>
    <row r="236" spans="1:8">
      <c r="A236" s="2391" t="s">
        <v>755</v>
      </c>
      <c r="B236" s="2390"/>
      <c r="C236" s="2390"/>
      <c r="D236" s="2390"/>
      <c r="E236" s="2390"/>
      <c r="F236" s="2390"/>
      <c r="G236" s="2390"/>
      <c r="H236" s="2390"/>
    </row>
    <row r="237" spans="1:8">
      <c r="A237" s="2391" t="s">
        <v>756</v>
      </c>
      <c r="B237" s="2390"/>
      <c r="C237" s="2390"/>
      <c r="D237" s="2390"/>
      <c r="E237" s="2390"/>
      <c r="F237" s="2390"/>
      <c r="G237" s="2390"/>
      <c r="H237" s="2390"/>
    </row>
    <row r="238" spans="1:8">
      <c r="A238" s="2391" t="s">
        <v>757</v>
      </c>
      <c r="B238" s="2390"/>
      <c r="C238" s="2390"/>
      <c r="D238" s="2390"/>
      <c r="E238" s="2390"/>
      <c r="F238" s="2390"/>
      <c r="G238" s="2390"/>
      <c r="H238" s="2390"/>
    </row>
    <row r="239" spans="1:8">
      <c r="A239" s="2391" t="s">
        <v>758</v>
      </c>
      <c r="B239" s="2390"/>
      <c r="C239" s="2390"/>
      <c r="D239" s="2390"/>
      <c r="E239" s="2390"/>
      <c r="F239" s="2390"/>
      <c r="G239" s="2390"/>
      <c r="H239" s="2390"/>
    </row>
    <row r="240" spans="1:8">
      <c r="A240" s="2391" t="s">
        <v>759</v>
      </c>
      <c r="B240" s="2390"/>
      <c r="C240" s="2390"/>
      <c r="D240" s="2390"/>
      <c r="E240" s="2390"/>
      <c r="F240" s="2390"/>
      <c r="G240" s="2390"/>
      <c r="H240" s="2390"/>
    </row>
    <row r="241" spans="1:8">
      <c r="A241" s="2390"/>
      <c r="B241" s="2390"/>
      <c r="C241" s="2390"/>
      <c r="D241" s="2390"/>
      <c r="E241" s="2390"/>
      <c r="F241" s="2390"/>
      <c r="G241" s="2390"/>
      <c r="H241" s="2390"/>
    </row>
    <row r="242" spans="1:8">
      <c r="A242" s="2391" t="s">
        <v>748</v>
      </c>
      <c r="B242" s="2390"/>
      <c r="C242" s="2390"/>
      <c r="D242" s="2390"/>
      <c r="E242" s="2390"/>
      <c r="F242" s="2390"/>
      <c r="G242" s="2390"/>
      <c r="H242" s="2390"/>
    </row>
    <row r="243" spans="1:8">
      <c r="A243" s="2391" t="s">
        <v>749</v>
      </c>
      <c r="B243" s="2390"/>
      <c r="C243" s="2390"/>
      <c r="D243" s="2390"/>
      <c r="E243" s="2390"/>
      <c r="F243" s="2390"/>
      <c r="G243" s="2390"/>
      <c r="H243" s="2390"/>
    </row>
    <row r="244" spans="1:8">
      <c r="A244" s="2390"/>
      <c r="B244" s="2390"/>
      <c r="C244" s="2390"/>
      <c r="D244" s="2390"/>
      <c r="E244" s="2390"/>
      <c r="F244" s="2390"/>
      <c r="G244" s="2390"/>
      <c r="H244" s="2390"/>
    </row>
    <row r="245" spans="1:8">
      <c r="A245" s="2391" t="s">
        <v>732</v>
      </c>
      <c r="B245" s="2390"/>
      <c r="C245" s="2390"/>
      <c r="D245" s="2390"/>
      <c r="E245" s="2390"/>
      <c r="F245" s="2390"/>
      <c r="G245" s="2390"/>
      <c r="H245" s="2390"/>
    </row>
    <row r="246" spans="1:8">
      <c r="A246" s="2391" t="s">
        <v>733</v>
      </c>
      <c r="B246" s="2390"/>
      <c r="C246" s="2390"/>
      <c r="D246" s="2390"/>
      <c r="E246" s="2390"/>
      <c r="F246" s="2390"/>
      <c r="G246" s="2390"/>
      <c r="H246" s="2390"/>
    </row>
    <row r="247" spans="1:8">
      <c r="A247" s="2391" t="s">
        <v>734</v>
      </c>
      <c r="B247" s="2390"/>
      <c r="C247" s="2390"/>
      <c r="D247" s="2390"/>
      <c r="E247" s="2390"/>
      <c r="F247" s="2390"/>
      <c r="G247" s="2390"/>
      <c r="H247" s="2390"/>
    </row>
    <row r="248" spans="1:8">
      <c r="A248" s="2391" t="s">
        <v>735</v>
      </c>
      <c r="B248" s="2390"/>
      <c r="C248" s="2390"/>
      <c r="D248" s="2390"/>
      <c r="E248" s="2390"/>
      <c r="F248" s="2390"/>
      <c r="G248" s="2390"/>
      <c r="H248" s="2390"/>
    </row>
    <row r="249" spans="1:8">
      <c r="A249" s="2391" t="s">
        <v>736</v>
      </c>
      <c r="B249" s="2390"/>
      <c r="C249" s="2390"/>
      <c r="D249" s="2390"/>
      <c r="E249" s="2390"/>
      <c r="F249" s="2390"/>
      <c r="G249" s="2390"/>
      <c r="H249" s="2390"/>
    </row>
    <row r="250" spans="1:8">
      <c r="A250" s="2391" t="s">
        <v>737</v>
      </c>
      <c r="B250" s="2390"/>
      <c r="C250" s="2390"/>
      <c r="D250" s="2390"/>
      <c r="E250" s="2390"/>
      <c r="F250" s="2390"/>
      <c r="G250" s="2390"/>
      <c r="H250" s="2390"/>
    </row>
    <row r="251" spans="1:8">
      <c r="A251" s="2391" t="s">
        <v>738</v>
      </c>
      <c r="B251" s="2390"/>
      <c r="C251" s="2390"/>
      <c r="D251" s="2390"/>
      <c r="E251" s="2390"/>
      <c r="F251" s="2390"/>
      <c r="G251" s="2390"/>
      <c r="H251" s="2390"/>
    </row>
    <row r="252" spans="1:8">
      <c r="A252" s="2391" t="s">
        <v>739</v>
      </c>
      <c r="B252" s="2390"/>
      <c r="C252" s="2390"/>
      <c r="D252" s="2390"/>
      <c r="E252" s="2390"/>
      <c r="F252" s="2390"/>
      <c r="G252" s="2390"/>
      <c r="H252" s="2390"/>
    </row>
    <row r="253" spans="1:8">
      <c r="A253" s="2391" t="s">
        <v>740</v>
      </c>
      <c r="B253" s="2390"/>
      <c r="C253" s="2390"/>
      <c r="D253" s="2390"/>
      <c r="E253" s="2390"/>
      <c r="F253" s="2390"/>
      <c r="G253" s="2390"/>
      <c r="H253" s="2390"/>
    </row>
    <row r="254" spans="1:8">
      <c r="A254" s="2391" t="s">
        <v>741</v>
      </c>
      <c r="B254" s="2390"/>
      <c r="C254" s="2390"/>
      <c r="D254" s="2390"/>
      <c r="E254" s="2390"/>
      <c r="F254" s="2390"/>
      <c r="G254" s="2390"/>
      <c r="H254" s="2390"/>
    </row>
    <row r="255" spans="1:8">
      <c r="A255" s="2391" t="s">
        <v>742</v>
      </c>
      <c r="B255" s="2390"/>
      <c r="C255" s="2390"/>
      <c r="D255" s="2390"/>
      <c r="E255" s="2390"/>
      <c r="F255" s="2390"/>
      <c r="G255" s="2390"/>
      <c r="H255" s="2390"/>
    </row>
    <row r="256" spans="1:8">
      <c r="A256" s="2391" t="s">
        <v>743</v>
      </c>
      <c r="B256" s="2390"/>
      <c r="C256" s="2390"/>
      <c r="D256" s="2390"/>
      <c r="E256" s="2390"/>
      <c r="F256" s="2390"/>
      <c r="G256" s="2390"/>
      <c r="H256" s="2390"/>
    </row>
    <row r="257" spans="1:8">
      <c r="A257" s="2391" t="s">
        <v>744</v>
      </c>
      <c r="B257" s="2390"/>
      <c r="C257" s="2390"/>
      <c r="D257" s="2390"/>
      <c r="E257" s="2390"/>
      <c r="F257" s="2390"/>
      <c r="G257" s="2390"/>
      <c r="H257" s="2390"/>
    </row>
    <row r="258" spans="1:8">
      <c r="A258" s="2391" t="s">
        <v>745</v>
      </c>
      <c r="B258" s="2390"/>
      <c r="C258" s="2390"/>
      <c r="D258" s="2390"/>
      <c r="E258" s="2390"/>
      <c r="F258" s="2390"/>
      <c r="G258" s="2390"/>
      <c r="H258" s="2390"/>
    </row>
    <row r="259" spans="1:8">
      <c r="A259" s="2391" t="s">
        <v>746</v>
      </c>
      <c r="B259" s="2390"/>
      <c r="C259" s="2390"/>
      <c r="D259" s="2390"/>
      <c r="E259" s="2390"/>
      <c r="F259" s="2390"/>
      <c r="G259" s="2390"/>
      <c r="H259" s="2390"/>
    </row>
    <row r="260" spans="1:8">
      <c r="A260" s="2391" t="s">
        <v>747</v>
      </c>
      <c r="B260" s="2390"/>
      <c r="C260" s="2390"/>
      <c r="D260" s="2390"/>
      <c r="E260" s="2390"/>
      <c r="F260" s="2390"/>
      <c r="G260" s="2390"/>
      <c r="H260" s="2390"/>
    </row>
    <row r="261" spans="1:8">
      <c r="A261" s="2390"/>
      <c r="B261" s="2390"/>
      <c r="C261" s="2390"/>
      <c r="D261" s="2390"/>
      <c r="E261" s="2390"/>
      <c r="F261" s="2390"/>
      <c r="G261" s="2390"/>
      <c r="H261" s="2390"/>
    </row>
    <row r="262" spans="1:8">
      <c r="A262" s="2391" t="s">
        <v>725</v>
      </c>
      <c r="B262" s="2390"/>
      <c r="C262" s="2390"/>
      <c r="D262" s="2390"/>
      <c r="E262" s="2390"/>
      <c r="F262" s="2390"/>
      <c r="G262" s="2390"/>
      <c r="H262" s="2390"/>
    </row>
    <row r="263" spans="1:8">
      <c r="A263" s="2391" t="s">
        <v>726</v>
      </c>
      <c r="B263" s="2390"/>
      <c r="C263" s="2390"/>
      <c r="D263" s="2390"/>
      <c r="E263" s="2390"/>
      <c r="F263" s="2390"/>
      <c r="G263" s="2390"/>
      <c r="H263" s="2390"/>
    </row>
    <row r="264" spans="1:8">
      <c r="A264" s="2391" t="s">
        <v>727</v>
      </c>
      <c r="B264" s="2390"/>
      <c r="C264" s="2390"/>
      <c r="D264" s="2390"/>
      <c r="E264" s="2390"/>
      <c r="F264" s="2390"/>
      <c r="G264" s="2390"/>
      <c r="H264" s="2390"/>
    </row>
    <row r="265" spans="1:8">
      <c r="A265" s="2391" t="s">
        <v>728</v>
      </c>
      <c r="B265" s="2390"/>
      <c r="C265" s="2390"/>
      <c r="D265" s="2390"/>
      <c r="E265" s="2390"/>
      <c r="F265" s="2390"/>
      <c r="G265" s="2390"/>
      <c r="H265" s="2390"/>
    </row>
    <row r="266" spans="1:8">
      <c r="A266" s="2391" t="s">
        <v>729</v>
      </c>
      <c r="B266" s="2390"/>
      <c r="C266" s="2390"/>
      <c r="D266" s="2390"/>
      <c r="E266" s="2390"/>
      <c r="F266" s="2390"/>
      <c r="G266" s="2390"/>
      <c r="H266" s="2390"/>
    </row>
    <row r="267" spans="1:8">
      <c r="A267" s="2391" t="s">
        <v>730</v>
      </c>
      <c r="B267" s="2390"/>
      <c r="C267" s="2390"/>
      <c r="D267" s="2390"/>
      <c r="E267" s="2390"/>
      <c r="F267" s="2390"/>
      <c r="G267" s="2390"/>
      <c r="H267" s="2390"/>
    </row>
    <row r="268" spans="1:8">
      <c r="A268" s="2391" t="s">
        <v>731</v>
      </c>
      <c r="B268" s="2390"/>
      <c r="C268" s="2390"/>
      <c r="D268" s="2390"/>
      <c r="E268" s="2390"/>
      <c r="F268" s="2390"/>
      <c r="G268" s="2390"/>
      <c r="H268" s="2390"/>
    </row>
    <row r="269" spans="1:8">
      <c r="A269" s="2390"/>
      <c r="B269" s="2390"/>
      <c r="C269" s="2390"/>
      <c r="D269" s="2390"/>
      <c r="E269" s="2390"/>
      <c r="F269" s="2390"/>
      <c r="G269" s="2390"/>
      <c r="H269" s="2390"/>
    </row>
    <row r="270" spans="1:8">
      <c r="A270" s="2391" t="s">
        <v>716</v>
      </c>
      <c r="B270" s="2390"/>
      <c r="C270" s="2390"/>
      <c r="D270" s="2390"/>
      <c r="E270" s="2390"/>
      <c r="F270" s="2390"/>
      <c r="G270" s="2390"/>
      <c r="H270" s="2390"/>
    </row>
    <row r="271" spans="1:8">
      <c r="A271" s="2391" t="s">
        <v>717</v>
      </c>
      <c r="B271" s="2390"/>
      <c r="C271" s="2390"/>
      <c r="D271" s="2390"/>
      <c r="E271" s="2390"/>
      <c r="F271" s="2390"/>
      <c r="G271" s="2390"/>
      <c r="H271" s="2390"/>
    </row>
    <row r="272" spans="1:8">
      <c r="A272" s="2391" t="s">
        <v>718</v>
      </c>
      <c r="B272" s="2390"/>
      <c r="C272" s="2390"/>
      <c r="D272" s="2390"/>
      <c r="E272" s="2390"/>
      <c r="F272" s="2390"/>
      <c r="G272" s="2390"/>
      <c r="H272" s="2390"/>
    </row>
    <row r="273" spans="1:8">
      <c r="A273" s="2391" t="s">
        <v>719</v>
      </c>
      <c r="B273" s="2390"/>
      <c r="C273" s="2390"/>
      <c r="D273" s="2390"/>
      <c r="E273" s="2390"/>
      <c r="F273" s="2390"/>
      <c r="G273" s="2390"/>
      <c r="H273" s="2390"/>
    </row>
    <row r="274" spans="1:8">
      <c r="A274" s="2391" t="s">
        <v>720</v>
      </c>
      <c r="B274" s="2390"/>
      <c r="C274" s="2390"/>
      <c r="D274" s="2390"/>
      <c r="E274" s="2390"/>
      <c r="F274" s="2390"/>
      <c r="G274" s="2390"/>
      <c r="H274" s="2390"/>
    </row>
    <row r="275" spans="1:8">
      <c r="A275" s="2391" t="s">
        <v>721</v>
      </c>
      <c r="B275" s="2390"/>
      <c r="C275" s="2390"/>
      <c r="D275" s="2390"/>
      <c r="E275" s="2390"/>
      <c r="F275" s="2390"/>
      <c r="G275" s="2390"/>
      <c r="H275" s="2390"/>
    </row>
    <row r="276" spans="1:8">
      <c r="A276" s="2391" t="s">
        <v>722</v>
      </c>
      <c r="B276" s="2390"/>
      <c r="C276" s="2390"/>
      <c r="D276" s="2390"/>
      <c r="E276" s="2390"/>
      <c r="F276" s="2390"/>
      <c r="G276" s="2390"/>
      <c r="H276" s="2390"/>
    </row>
    <row r="277" spans="1:8">
      <c r="A277" s="2391" t="s">
        <v>723</v>
      </c>
      <c r="B277" s="2390"/>
      <c r="C277" s="2390"/>
      <c r="D277" s="2390"/>
      <c r="E277" s="2390"/>
      <c r="F277" s="2390"/>
      <c r="G277" s="2390"/>
      <c r="H277" s="2390"/>
    </row>
    <row r="278" spans="1:8">
      <c r="A278" s="2391" t="s">
        <v>724</v>
      </c>
      <c r="B278" s="2390"/>
      <c r="C278" s="2390"/>
      <c r="D278" s="2390"/>
      <c r="E278" s="2390"/>
      <c r="F278" s="2390"/>
      <c r="G278" s="2390"/>
      <c r="H278" s="2390"/>
    </row>
    <row r="279" spans="1:8">
      <c r="A279" s="2390"/>
      <c r="B279" s="2390"/>
      <c r="C279" s="2390"/>
      <c r="D279" s="2390"/>
      <c r="E279" s="2390"/>
      <c r="F279" s="2390"/>
      <c r="G279" s="2390"/>
      <c r="H279" s="2390"/>
    </row>
    <row r="280" spans="1:8">
      <c r="A280" s="2391" t="s">
        <v>709</v>
      </c>
      <c r="B280" s="2390"/>
      <c r="C280" s="2390"/>
      <c r="D280" s="2390"/>
      <c r="E280" s="2390"/>
      <c r="F280" s="2390"/>
      <c r="G280" s="2390"/>
      <c r="H280" s="2390"/>
    </row>
    <row r="281" spans="1:8">
      <c r="A281" s="2391" t="s">
        <v>710</v>
      </c>
      <c r="B281" s="2390"/>
      <c r="C281" s="2390"/>
      <c r="D281" s="2390"/>
      <c r="E281" s="2390"/>
      <c r="F281" s="2390"/>
      <c r="G281" s="2390"/>
      <c r="H281" s="2390"/>
    </row>
    <row r="282" spans="1:8">
      <c r="A282" s="2391" t="s">
        <v>711</v>
      </c>
      <c r="B282" s="2390"/>
      <c r="C282" s="2390"/>
      <c r="D282" s="2390"/>
      <c r="E282" s="2390"/>
      <c r="F282" s="2390"/>
      <c r="G282" s="2390"/>
      <c r="H282" s="2390"/>
    </row>
    <row r="283" spans="1:8">
      <c r="A283" s="2391" t="s">
        <v>712</v>
      </c>
      <c r="B283" s="2390"/>
      <c r="C283" s="2390"/>
      <c r="D283" s="2390"/>
      <c r="E283" s="2390"/>
      <c r="F283" s="2390"/>
      <c r="G283" s="2390"/>
      <c r="H283" s="2390"/>
    </row>
    <row r="284" spans="1:8">
      <c r="A284" s="2391" t="s">
        <v>713</v>
      </c>
      <c r="B284" s="2390"/>
      <c r="C284" s="2390"/>
      <c r="D284" s="2390"/>
      <c r="E284" s="2390"/>
      <c r="F284" s="2390"/>
      <c r="G284" s="2390"/>
      <c r="H284" s="2390"/>
    </row>
    <row r="285" spans="1:8">
      <c r="A285" s="2391" t="s">
        <v>714</v>
      </c>
      <c r="B285" s="2390"/>
      <c r="C285" s="2390"/>
      <c r="D285" s="2390"/>
      <c r="E285" s="2390"/>
      <c r="F285" s="2390"/>
      <c r="G285" s="2390"/>
      <c r="H285" s="2390"/>
    </row>
    <row r="286" spans="1:8">
      <c r="A286" s="2391" t="s">
        <v>715</v>
      </c>
      <c r="B286" s="2390"/>
      <c r="C286" s="2390"/>
      <c r="D286" s="2390"/>
      <c r="E286" s="2390"/>
      <c r="F286" s="2390"/>
      <c r="G286" s="2390"/>
      <c r="H286" s="2390"/>
    </row>
    <row r="287" spans="1:8">
      <c r="A287" s="2390"/>
      <c r="B287" s="2390"/>
      <c r="C287" s="2390"/>
      <c r="D287" s="2390"/>
      <c r="E287" s="2390"/>
      <c r="F287" s="2390"/>
      <c r="G287" s="2390"/>
      <c r="H287" s="2390"/>
    </row>
    <row r="288" spans="1:8">
      <c r="A288" s="2391" t="s">
        <v>706</v>
      </c>
      <c r="B288" s="2390"/>
      <c r="C288" s="2390"/>
      <c r="D288" s="2390"/>
      <c r="E288" s="2390"/>
      <c r="F288" s="2390"/>
      <c r="G288" s="2390"/>
      <c r="H288" s="2390"/>
    </row>
    <row r="289" spans="1:8">
      <c r="A289" s="2391" t="s">
        <v>707</v>
      </c>
      <c r="B289" s="2390"/>
      <c r="C289" s="2390"/>
      <c r="D289" s="2390"/>
      <c r="E289" s="2390"/>
      <c r="F289" s="2390"/>
      <c r="G289" s="2390"/>
      <c r="H289" s="2390"/>
    </row>
    <row r="290" spans="1:8">
      <c r="A290" s="2391" t="s">
        <v>708</v>
      </c>
      <c r="B290" s="2390"/>
      <c r="C290" s="2390"/>
      <c r="D290" s="2390"/>
      <c r="E290" s="2390"/>
      <c r="F290" s="2390"/>
      <c r="G290" s="2390"/>
      <c r="H290" s="2390"/>
    </row>
    <row r="291" spans="1:8">
      <c r="A291" s="2390"/>
      <c r="B291" s="2390"/>
      <c r="C291" s="2390"/>
      <c r="D291" s="2390"/>
      <c r="E291" s="2390"/>
      <c r="F291" s="2390"/>
      <c r="G291" s="2390"/>
      <c r="H291" s="2390"/>
    </row>
    <row r="292" spans="1:8">
      <c r="A292" s="2391" t="s">
        <v>704</v>
      </c>
      <c r="B292" s="2390"/>
      <c r="C292" s="2390"/>
      <c r="D292" s="2390"/>
      <c r="E292" s="2390"/>
      <c r="F292" s="2390"/>
      <c r="G292" s="2390"/>
      <c r="H292" s="2390"/>
    </row>
    <row r="293" spans="1:8">
      <c r="A293" s="2391" t="s">
        <v>705</v>
      </c>
      <c r="B293" s="2390"/>
      <c r="C293" s="2390"/>
      <c r="D293" s="2390"/>
      <c r="E293" s="2390"/>
      <c r="F293" s="2390"/>
      <c r="G293" s="2390"/>
      <c r="H293" s="2390"/>
    </row>
    <row r="294" spans="1:8">
      <c r="A294" s="2390"/>
      <c r="B294" s="2390"/>
      <c r="C294" s="2390"/>
      <c r="D294" s="2390"/>
      <c r="E294" s="2390"/>
      <c r="F294" s="2390"/>
      <c r="G294" s="2390"/>
      <c r="H294" s="2390"/>
    </row>
    <row r="295" spans="1:8">
      <c r="A295" s="2391" t="s">
        <v>691</v>
      </c>
      <c r="B295" s="2390"/>
      <c r="C295" s="2390"/>
      <c r="D295" s="2390"/>
      <c r="E295" s="2390"/>
      <c r="F295" s="2390"/>
      <c r="G295" s="2390"/>
      <c r="H295" s="2390"/>
    </row>
    <row r="296" spans="1:8">
      <c r="A296" s="2391" t="s">
        <v>692</v>
      </c>
      <c r="B296" s="2390"/>
      <c r="C296" s="2390"/>
      <c r="D296" s="2390"/>
      <c r="E296" s="2390"/>
      <c r="F296" s="2390"/>
      <c r="G296" s="2390"/>
      <c r="H296" s="2390"/>
    </row>
    <row r="297" spans="1:8">
      <c r="A297" s="2391" t="s">
        <v>693</v>
      </c>
      <c r="B297" s="2390"/>
      <c r="C297" s="2390"/>
      <c r="D297" s="2390"/>
      <c r="E297" s="2390"/>
      <c r="F297" s="2390"/>
      <c r="G297" s="2390"/>
      <c r="H297" s="2390"/>
    </row>
    <row r="298" spans="1:8">
      <c r="A298" s="2391" t="s">
        <v>694</v>
      </c>
      <c r="B298" s="2390"/>
      <c r="C298" s="2390"/>
      <c r="D298" s="2390"/>
      <c r="E298" s="2390"/>
      <c r="F298" s="2390"/>
      <c r="G298" s="2390"/>
      <c r="H298" s="2390"/>
    </row>
    <row r="299" spans="1:8">
      <c r="A299" s="2391" t="s">
        <v>695</v>
      </c>
      <c r="B299" s="2390"/>
      <c r="C299" s="2390"/>
      <c r="D299" s="2390"/>
      <c r="E299" s="2390"/>
      <c r="F299" s="2390"/>
      <c r="G299" s="2390"/>
      <c r="H299" s="2390"/>
    </row>
    <row r="300" spans="1:8">
      <c r="A300" s="2391" t="s">
        <v>696</v>
      </c>
      <c r="B300" s="2390"/>
      <c r="C300" s="2390"/>
      <c r="D300" s="2390"/>
      <c r="E300" s="2390"/>
      <c r="F300" s="2390"/>
      <c r="G300" s="2390"/>
      <c r="H300" s="2390"/>
    </row>
    <row r="301" spans="1:8">
      <c r="A301" s="2391" t="s">
        <v>697</v>
      </c>
      <c r="B301" s="2390"/>
      <c r="C301" s="2390"/>
      <c r="D301" s="2390"/>
      <c r="E301" s="2390"/>
      <c r="F301" s="2390"/>
      <c r="G301" s="2390"/>
      <c r="H301" s="2390"/>
    </row>
    <row r="302" spans="1:8">
      <c r="A302" s="2391" t="s">
        <v>698</v>
      </c>
      <c r="B302" s="2390"/>
      <c r="C302" s="2390"/>
      <c r="D302" s="2390"/>
      <c r="E302" s="2390"/>
      <c r="F302" s="2390"/>
      <c r="G302" s="2390"/>
      <c r="H302" s="2390"/>
    </row>
    <row r="303" spans="1:8">
      <c r="A303" s="2391" t="s">
        <v>699</v>
      </c>
      <c r="B303" s="2390"/>
      <c r="C303" s="2390"/>
      <c r="D303" s="2390"/>
      <c r="E303" s="2390"/>
      <c r="F303" s="2390"/>
      <c r="G303" s="2390"/>
      <c r="H303" s="2390"/>
    </row>
    <row r="304" spans="1:8">
      <c r="A304" s="2391" t="s">
        <v>700</v>
      </c>
      <c r="B304" s="2390"/>
      <c r="C304" s="2390"/>
      <c r="D304" s="2390"/>
      <c r="E304" s="2390"/>
      <c r="F304" s="2390"/>
      <c r="G304" s="2390"/>
      <c r="H304" s="2390"/>
    </row>
    <row r="305" spans="1:8">
      <c r="A305" s="2391" t="s">
        <v>701</v>
      </c>
      <c r="B305" s="2390"/>
      <c r="C305" s="2390"/>
      <c r="D305" s="2390"/>
      <c r="E305" s="2390"/>
      <c r="F305" s="2390"/>
      <c r="G305" s="2390"/>
      <c r="H305" s="2390"/>
    </row>
    <row r="306" spans="1:8">
      <c r="A306" s="2391" t="s">
        <v>702</v>
      </c>
      <c r="B306" s="2390"/>
      <c r="C306" s="2390"/>
      <c r="D306" s="2390"/>
      <c r="E306" s="2390"/>
      <c r="F306" s="2390"/>
      <c r="G306" s="2390"/>
      <c r="H306" s="2390"/>
    </row>
    <row r="307" spans="1:8">
      <c r="A307" s="2391" t="s">
        <v>703</v>
      </c>
      <c r="B307" s="2390"/>
      <c r="C307" s="2390"/>
      <c r="D307" s="2390"/>
      <c r="E307" s="2390"/>
      <c r="F307" s="2390"/>
      <c r="G307" s="2390"/>
      <c r="H307" s="2390"/>
    </row>
    <row r="308" spans="1:8">
      <c r="A308" s="2390"/>
      <c r="B308" s="2390"/>
      <c r="C308" s="2390"/>
      <c r="D308" s="2390"/>
      <c r="E308" s="2390"/>
      <c r="F308" s="2390"/>
      <c r="G308" s="2390"/>
      <c r="H308" s="2390"/>
    </row>
    <row r="309" spans="1:8">
      <c r="A309" s="2391" t="s">
        <v>683</v>
      </c>
      <c r="B309" s="2390"/>
      <c r="C309" s="2390"/>
      <c r="D309" s="2390"/>
      <c r="E309" s="2390"/>
      <c r="F309" s="2390"/>
      <c r="G309" s="2390"/>
      <c r="H309" s="2390"/>
    </row>
    <row r="310" spans="1:8">
      <c r="A310" s="2391" t="s">
        <v>684</v>
      </c>
      <c r="B310" s="2390"/>
      <c r="C310" s="2390"/>
      <c r="D310" s="2390"/>
      <c r="E310" s="2390"/>
      <c r="F310" s="2390"/>
      <c r="G310" s="2390"/>
      <c r="H310" s="2390"/>
    </row>
    <row r="311" spans="1:8">
      <c r="A311" s="2391" t="s">
        <v>685</v>
      </c>
      <c r="B311" s="2390"/>
      <c r="C311" s="2390"/>
      <c r="D311" s="2390"/>
      <c r="E311" s="2390"/>
      <c r="F311" s="2390"/>
      <c r="G311" s="2390"/>
      <c r="H311" s="2390"/>
    </row>
    <row r="312" spans="1:8">
      <c r="A312" s="2391" t="s">
        <v>686</v>
      </c>
      <c r="B312" s="2390"/>
      <c r="C312" s="2390"/>
      <c r="D312" s="2390"/>
      <c r="E312" s="2390"/>
      <c r="F312" s="2390"/>
      <c r="G312" s="2390"/>
      <c r="H312" s="2390"/>
    </row>
    <row r="313" spans="1:8">
      <c r="A313" s="2391" t="s">
        <v>687</v>
      </c>
      <c r="B313" s="2390"/>
      <c r="C313" s="2390"/>
      <c r="D313" s="2390"/>
      <c r="E313" s="2390"/>
      <c r="F313" s="2390"/>
      <c r="G313" s="2390"/>
      <c r="H313" s="2390"/>
    </row>
    <row r="314" spans="1:8">
      <c r="A314" s="2391" t="s">
        <v>688</v>
      </c>
      <c r="B314" s="2390"/>
      <c r="C314" s="2390"/>
      <c r="D314" s="2390"/>
      <c r="E314" s="2390"/>
      <c r="F314" s="2390"/>
      <c r="G314" s="2390"/>
      <c r="H314" s="2390"/>
    </row>
    <row r="315" spans="1:8">
      <c r="A315" s="2391" t="s">
        <v>689</v>
      </c>
      <c r="B315" s="2390"/>
      <c r="C315" s="2390"/>
      <c r="D315" s="2390"/>
      <c r="E315" s="2390"/>
      <c r="F315" s="2390"/>
      <c r="G315" s="2390"/>
      <c r="H315" s="2390"/>
    </row>
    <row r="316" spans="1:8">
      <c r="A316" s="2391" t="s">
        <v>690</v>
      </c>
      <c r="B316" s="2390"/>
      <c r="C316" s="2390"/>
      <c r="D316" s="2390"/>
      <c r="E316" s="2390"/>
      <c r="F316" s="2390"/>
      <c r="G316" s="2390"/>
      <c r="H316" s="2390"/>
    </row>
    <row r="317" spans="1:8">
      <c r="A317" s="2390"/>
      <c r="B317" s="2390"/>
      <c r="C317" s="2390"/>
      <c r="D317" s="2390"/>
      <c r="E317" s="2390"/>
      <c r="F317" s="2390"/>
      <c r="G317" s="2390"/>
      <c r="H317" s="2390"/>
    </row>
    <row r="318" spans="1:8">
      <c r="A318" s="2391" t="s">
        <v>648</v>
      </c>
      <c r="B318" s="2390"/>
      <c r="C318" s="2390"/>
      <c r="D318" s="2390"/>
      <c r="E318" s="2390"/>
      <c r="F318" s="2390"/>
      <c r="G318" s="2390"/>
      <c r="H318" s="2390"/>
    </row>
    <row r="319" spans="1:8">
      <c r="A319" s="2391" t="s">
        <v>649</v>
      </c>
      <c r="B319" s="2390"/>
      <c r="C319" s="2390"/>
      <c r="D319" s="2390"/>
      <c r="E319" s="2390"/>
      <c r="F319" s="2390"/>
      <c r="G319" s="2390"/>
      <c r="H319" s="2390"/>
    </row>
    <row r="320" spans="1:8">
      <c r="A320" s="2391" t="s">
        <v>650</v>
      </c>
      <c r="B320" s="2390"/>
      <c r="C320" s="2390"/>
      <c r="D320" s="2390"/>
      <c r="E320" s="2390"/>
      <c r="F320" s="2390"/>
      <c r="G320" s="2390"/>
      <c r="H320" s="2390"/>
    </row>
    <row r="321" spans="1:8">
      <c r="A321" s="2391" t="s">
        <v>651</v>
      </c>
      <c r="B321" s="2390"/>
      <c r="C321" s="2390"/>
      <c r="D321" s="2390"/>
      <c r="E321" s="2390"/>
      <c r="F321" s="2390"/>
      <c r="G321" s="2390"/>
      <c r="H321" s="2390"/>
    </row>
    <row r="322" spans="1:8">
      <c r="A322" s="2391" t="s">
        <v>652</v>
      </c>
      <c r="B322" s="2390"/>
      <c r="C322" s="2390"/>
      <c r="D322" s="2390"/>
      <c r="E322" s="2390"/>
      <c r="F322" s="2390"/>
      <c r="G322" s="2390"/>
      <c r="H322" s="2390"/>
    </row>
    <row r="323" spans="1:8">
      <c r="A323" s="2391" t="s">
        <v>653</v>
      </c>
      <c r="B323" s="2390"/>
      <c r="C323" s="2390"/>
      <c r="D323" s="2390"/>
      <c r="E323" s="2390"/>
      <c r="F323" s="2390"/>
      <c r="G323" s="2390"/>
      <c r="H323" s="2390"/>
    </row>
    <row r="324" spans="1:8">
      <c r="A324" s="2391" t="s">
        <v>654</v>
      </c>
      <c r="B324" s="2390"/>
      <c r="C324" s="2390"/>
      <c r="D324" s="2390"/>
      <c r="E324" s="2390"/>
      <c r="F324" s="2390"/>
      <c r="G324" s="2390"/>
      <c r="H324" s="2390"/>
    </row>
    <row r="325" spans="1:8">
      <c r="A325" s="2391" t="s">
        <v>655</v>
      </c>
      <c r="B325" s="2390"/>
      <c r="C325" s="2390"/>
      <c r="D325" s="2390"/>
      <c r="E325" s="2390"/>
      <c r="F325" s="2390"/>
      <c r="G325" s="2390"/>
      <c r="H325" s="2390"/>
    </row>
    <row r="326" spans="1:8">
      <c r="A326" s="2391" t="s">
        <v>656</v>
      </c>
      <c r="B326" s="2390"/>
      <c r="C326" s="2390"/>
      <c r="D326" s="2390"/>
      <c r="E326" s="2390"/>
      <c r="F326" s="2390"/>
      <c r="G326" s="2390"/>
      <c r="H326" s="2390"/>
    </row>
    <row r="327" spans="1:8">
      <c r="A327" s="2391" t="s">
        <v>657</v>
      </c>
      <c r="B327" s="2390"/>
      <c r="C327" s="2390"/>
      <c r="D327" s="2390"/>
      <c r="E327" s="2390"/>
      <c r="F327" s="2390"/>
      <c r="G327" s="2390"/>
      <c r="H327" s="2390"/>
    </row>
    <row r="328" spans="1:8">
      <c r="A328" s="2391" t="s">
        <v>658</v>
      </c>
      <c r="B328" s="2390"/>
      <c r="C328" s="2390"/>
      <c r="D328" s="2390"/>
      <c r="E328" s="2390"/>
      <c r="F328" s="2390"/>
      <c r="G328" s="2390"/>
      <c r="H328" s="2390"/>
    </row>
    <row r="329" spans="1:8">
      <c r="A329" s="2391" t="s">
        <v>659</v>
      </c>
      <c r="B329" s="2390"/>
      <c r="C329" s="2390"/>
      <c r="D329" s="2390"/>
      <c r="E329" s="2390"/>
      <c r="F329" s="2390"/>
      <c r="G329" s="2390"/>
      <c r="H329" s="2390"/>
    </row>
    <row r="330" spans="1:8">
      <c r="A330" s="2391" t="s">
        <v>660</v>
      </c>
      <c r="B330" s="2390"/>
      <c r="C330" s="2390"/>
      <c r="D330" s="2390"/>
      <c r="E330" s="2390"/>
      <c r="F330" s="2390"/>
      <c r="G330" s="2390"/>
      <c r="H330" s="2390"/>
    </row>
    <row r="331" spans="1:8">
      <c r="A331" s="2391" t="s">
        <v>661</v>
      </c>
      <c r="B331" s="2390"/>
      <c r="C331" s="2390"/>
      <c r="D331" s="2390"/>
      <c r="E331" s="2390"/>
      <c r="F331" s="2390"/>
      <c r="G331" s="2390"/>
      <c r="H331" s="2390"/>
    </row>
    <row r="332" spans="1:8">
      <c r="A332" s="2391" t="s">
        <v>662</v>
      </c>
      <c r="B332" s="2390"/>
      <c r="C332" s="2390"/>
      <c r="D332" s="2390"/>
      <c r="E332" s="2390"/>
      <c r="F332" s="2390"/>
      <c r="G332" s="2390"/>
      <c r="H332" s="2390"/>
    </row>
    <row r="333" spans="1:8">
      <c r="A333" s="2391" t="s">
        <v>663</v>
      </c>
      <c r="B333" s="2390"/>
      <c r="C333" s="2390"/>
      <c r="D333" s="2390"/>
      <c r="E333" s="2390"/>
      <c r="F333" s="2390"/>
      <c r="G333" s="2390"/>
      <c r="H333" s="2390"/>
    </row>
    <row r="334" spans="1:8">
      <c r="A334" s="2391" t="s">
        <v>664</v>
      </c>
      <c r="B334" s="2390"/>
      <c r="C334" s="2390"/>
      <c r="D334" s="2390"/>
      <c r="E334" s="2390"/>
      <c r="F334" s="2390"/>
      <c r="G334" s="2390"/>
      <c r="H334" s="2390"/>
    </row>
    <row r="335" spans="1:8">
      <c r="A335" s="2391" t="s">
        <v>665</v>
      </c>
      <c r="B335" s="2390"/>
      <c r="C335" s="2390"/>
      <c r="D335" s="2390"/>
      <c r="E335" s="2390"/>
      <c r="F335" s="2390"/>
      <c r="G335" s="2390"/>
      <c r="H335" s="2390"/>
    </row>
    <row r="336" spans="1:8">
      <c r="A336" s="2391" t="s">
        <v>666</v>
      </c>
      <c r="B336" s="2390"/>
      <c r="C336" s="2390"/>
      <c r="D336" s="2390"/>
      <c r="E336" s="2390"/>
      <c r="F336" s="2390"/>
      <c r="G336" s="2390"/>
      <c r="H336" s="2390"/>
    </row>
    <row r="337" spans="1:8">
      <c r="A337" s="2391" t="s">
        <v>667</v>
      </c>
      <c r="B337" s="2390"/>
      <c r="C337" s="2390"/>
      <c r="D337" s="2390"/>
      <c r="E337" s="2390"/>
      <c r="F337" s="2390"/>
      <c r="G337" s="2390"/>
      <c r="H337" s="2390"/>
    </row>
    <row r="338" spans="1:8">
      <c r="A338" s="2391" t="s">
        <v>668</v>
      </c>
      <c r="B338" s="2390"/>
      <c r="C338" s="2390"/>
      <c r="D338" s="2390"/>
      <c r="E338" s="2390"/>
      <c r="F338" s="2390"/>
      <c r="G338" s="2390"/>
      <c r="H338" s="2390"/>
    </row>
    <row r="339" spans="1:8">
      <c r="A339" s="2391" t="s">
        <v>669</v>
      </c>
      <c r="B339" s="2390"/>
      <c r="C339" s="2390"/>
      <c r="D339" s="2390"/>
      <c r="E339" s="2390"/>
      <c r="F339" s="2390"/>
      <c r="G339" s="2390"/>
      <c r="H339" s="2390"/>
    </row>
    <row r="340" spans="1:8">
      <c r="A340" s="2391" t="s">
        <v>670</v>
      </c>
      <c r="B340" s="2390"/>
      <c r="C340" s="2390"/>
      <c r="D340" s="2390"/>
      <c r="E340" s="2390"/>
      <c r="F340" s="2390"/>
      <c r="G340" s="2390"/>
      <c r="H340" s="2390"/>
    </row>
    <row r="341" spans="1:8">
      <c r="A341" s="2391" t="s">
        <v>671</v>
      </c>
      <c r="B341" s="2390"/>
      <c r="C341" s="2390"/>
      <c r="D341" s="2390"/>
      <c r="E341" s="2390"/>
      <c r="F341" s="2390"/>
      <c r="G341" s="2390"/>
      <c r="H341" s="2390"/>
    </row>
    <row r="342" spans="1:8">
      <c r="A342" s="2391" t="s">
        <v>672</v>
      </c>
      <c r="B342" s="2390"/>
      <c r="C342" s="2390"/>
      <c r="D342" s="2390"/>
      <c r="E342" s="2390"/>
      <c r="F342" s="2390"/>
      <c r="G342" s="2390"/>
      <c r="H342" s="2390"/>
    </row>
    <row r="343" spans="1:8">
      <c r="A343" s="2391" t="s">
        <v>673</v>
      </c>
      <c r="B343" s="2390"/>
      <c r="C343" s="2390"/>
      <c r="D343" s="2390"/>
      <c r="E343" s="2390"/>
      <c r="F343" s="2390"/>
      <c r="G343" s="2390"/>
      <c r="H343" s="2390"/>
    </row>
    <row r="344" spans="1:8">
      <c r="A344" s="2391" t="s">
        <v>674</v>
      </c>
      <c r="B344" s="2390"/>
      <c r="C344" s="2390"/>
      <c r="D344" s="2390"/>
      <c r="E344" s="2390"/>
      <c r="F344" s="2390"/>
      <c r="G344" s="2390"/>
      <c r="H344" s="2390"/>
    </row>
    <row r="345" spans="1:8">
      <c r="A345" s="2391" t="s">
        <v>675</v>
      </c>
      <c r="B345" s="2390"/>
      <c r="C345" s="2390"/>
      <c r="D345" s="2390"/>
      <c r="E345" s="2390"/>
      <c r="F345" s="2390"/>
      <c r="G345" s="2390"/>
      <c r="H345" s="2390"/>
    </row>
    <row r="346" spans="1:8">
      <c r="A346" s="2391" t="s">
        <v>676</v>
      </c>
      <c r="B346" s="2390"/>
      <c r="C346" s="2390"/>
      <c r="D346" s="2390"/>
      <c r="E346" s="2390"/>
      <c r="F346" s="2390"/>
      <c r="G346" s="2390"/>
      <c r="H346" s="2390"/>
    </row>
    <row r="347" spans="1:8">
      <c r="A347" s="2391" t="s">
        <v>677</v>
      </c>
      <c r="B347" s="2390"/>
      <c r="C347" s="2390"/>
      <c r="D347" s="2390"/>
      <c r="E347" s="2390"/>
      <c r="F347" s="2390"/>
      <c r="G347" s="2390"/>
      <c r="H347" s="2390"/>
    </row>
    <row r="348" spans="1:8">
      <c r="A348" s="2391" t="s">
        <v>678</v>
      </c>
      <c r="B348" s="2390"/>
      <c r="C348" s="2390"/>
      <c r="D348" s="2390"/>
      <c r="E348" s="2390"/>
      <c r="F348" s="2390"/>
      <c r="G348" s="2390"/>
      <c r="H348" s="2390"/>
    </row>
    <row r="349" spans="1:8">
      <c r="A349" s="2391" t="s">
        <v>679</v>
      </c>
      <c r="B349" s="2390"/>
      <c r="C349" s="2390"/>
      <c r="D349" s="2390"/>
      <c r="E349" s="2390"/>
      <c r="F349" s="2390"/>
      <c r="G349" s="2390"/>
      <c r="H349" s="2390"/>
    </row>
    <row r="350" spans="1:8">
      <c r="A350" s="2391" t="s">
        <v>680</v>
      </c>
      <c r="B350" s="2390"/>
      <c r="C350" s="2390"/>
      <c r="D350" s="2390"/>
      <c r="E350" s="2390"/>
      <c r="F350" s="2390"/>
      <c r="G350" s="2390"/>
      <c r="H350" s="2390"/>
    </row>
    <row r="351" spans="1:8">
      <c r="A351" s="2391" t="s">
        <v>681</v>
      </c>
      <c r="B351" s="2390"/>
      <c r="C351" s="2390"/>
      <c r="D351" s="2390"/>
      <c r="E351" s="2390"/>
      <c r="F351" s="2390"/>
      <c r="G351" s="2390"/>
      <c r="H351" s="2390"/>
    </row>
    <row r="352" spans="1:8">
      <c r="A352" s="2391" t="s">
        <v>682</v>
      </c>
      <c r="B352" s="2390"/>
      <c r="C352" s="2390"/>
      <c r="D352" s="2390"/>
      <c r="E352" s="2390"/>
      <c r="F352" s="2390"/>
      <c r="G352" s="2390"/>
      <c r="H352" s="2390"/>
    </row>
    <row r="353" spans="1:8">
      <c r="A353" s="2390"/>
      <c r="B353" s="2390"/>
      <c r="C353" s="2390"/>
      <c r="D353" s="2390"/>
      <c r="E353" s="2390"/>
      <c r="F353" s="2390"/>
      <c r="G353" s="2390"/>
      <c r="H353" s="2390"/>
    </row>
    <row r="354" spans="1:8">
      <c r="A354" s="2391" t="s">
        <v>640</v>
      </c>
      <c r="B354" s="2390"/>
      <c r="C354" s="2390"/>
      <c r="D354" s="2390"/>
      <c r="E354" s="2390"/>
      <c r="F354" s="2390"/>
      <c r="G354" s="2390"/>
      <c r="H354" s="2390"/>
    </row>
    <row r="355" spans="1:8">
      <c r="A355" s="2391" t="s">
        <v>644</v>
      </c>
      <c r="B355" s="2390"/>
      <c r="C355" s="2390"/>
      <c r="D355" s="2390"/>
      <c r="E355" s="2390"/>
      <c r="F355" s="2390"/>
      <c r="G355" s="2390"/>
      <c r="H355" s="2390"/>
    </row>
    <row r="356" spans="1:8">
      <c r="A356" s="2391" t="s">
        <v>645</v>
      </c>
      <c r="B356" s="2390"/>
      <c r="C356" s="2390"/>
      <c r="D356" s="2390"/>
      <c r="E356" s="2390"/>
      <c r="F356" s="2390"/>
      <c r="G356" s="2390"/>
      <c r="H356" s="2390"/>
    </row>
    <row r="357" spans="1:8">
      <c r="A357" s="2391" t="s">
        <v>646</v>
      </c>
      <c r="B357" s="2390"/>
      <c r="C357" s="2390"/>
      <c r="D357" s="2390"/>
      <c r="E357" s="2390"/>
      <c r="F357" s="2390"/>
      <c r="G357" s="2390"/>
      <c r="H357" s="2390"/>
    </row>
    <row r="358" spans="1:8">
      <c r="A358" s="2391" t="s">
        <v>647</v>
      </c>
      <c r="B358" s="2390"/>
      <c r="C358" s="2390"/>
      <c r="D358" s="2390"/>
      <c r="E358" s="2390"/>
      <c r="F358" s="2390"/>
      <c r="G358" s="2390"/>
      <c r="H358" s="2390"/>
    </row>
    <row r="359" spans="1:8">
      <c r="A359" s="2390"/>
      <c r="B359" s="2390"/>
      <c r="C359" s="2390"/>
      <c r="D359" s="2390"/>
      <c r="E359" s="2390"/>
      <c r="F359" s="2390"/>
      <c r="G359" s="2390"/>
      <c r="H359" s="2390"/>
    </row>
    <row r="360" spans="1:8">
      <c r="A360" s="2391" t="s">
        <v>640</v>
      </c>
      <c r="B360" s="2390"/>
      <c r="C360" s="2390"/>
      <c r="D360" s="2390"/>
      <c r="E360" s="2390"/>
      <c r="F360" s="2390"/>
      <c r="G360" s="2390"/>
      <c r="H360" s="2390"/>
    </row>
    <row r="361" spans="1:8">
      <c r="A361" s="2391" t="s">
        <v>641</v>
      </c>
      <c r="B361" s="2390"/>
      <c r="C361" s="2390"/>
      <c r="D361" s="2390"/>
      <c r="E361" s="2390"/>
      <c r="F361" s="2390"/>
      <c r="G361" s="2390"/>
      <c r="H361" s="2390"/>
    </row>
    <row r="362" spans="1:8">
      <c r="A362" s="2391" t="s">
        <v>642</v>
      </c>
      <c r="B362" s="2390"/>
      <c r="C362" s="2390"/>
      <c r="D362" s="2390"/>
      <c r="E362" s="2390"/>
      <c r="F362" s="2390"/>
      <c r="G362" s="2390"/>
      <c r="H362" s="2390"/>
    </row>
    <row r="363" spans="1:8">
      <c r="A363" s="2391" t="s">
        <v>643</v>
      </c>
      <c r="B363" s="2390"/>
      <c r="C363" s="2390"/>
      <c r="D363" s="2390"/>
      <c r="E363" s="2390"/>
      <c r="F363" s="2390"/>
      <c r="G363" s="2390"/>
      <c r="H363" s="2390"/>
    </row>
    <row r="364" spans="1:8">
      <c r="A364" s="2390"/>
      <c r="B364" s="2390"/>
      <c r="C364" s="2390"/>
      <c r="D364" s="2390"/>
      <c r="E364" s="2390"/>
      <c r="F364" s="2390"/>
      <c r="G364" s="2390"/>
      <c r="H364" s="2390"/>
    </row>
    <row r="365" spans="1:8">
      <c r="A365" s="2391" t="s">
        <v>634</v>
      </c>
      <c r="B365" s="2390"/>
      <c r="C365" s="2390"/>
      <c r="D365" s="2390"/>
      <c r="E365" s="2390"/>
      <c r="F365" s="2390"/>
      <c r="G365" s="2390"/>
      <c r="H365" s="2390"/>
    </row>
    <row r="366" spans="1:8">
      <c r="A366" s="2391" t="s">
        <v>635</v>
      </c>
      <c r="B366" s="2390"/>
      <c r="C366" s="2390"/>
      <c r="D366" s="2390"/>
      <c r="E366" s="2390"/>
      <c r="F366" s="2390"/>
      <c r="G366" s="2390"/>
      <c r="H366" s="2390"/>
    </row>
    <row r="367" spans="1:8">
      <c r="A367" s="2391" t="s">
        <v>636</v>
      </c>
      <c r="B367" s="2390"/>
      <c r="C367" s="2390"/>
      <c r="D367" s="2390"/>
      <c r="E367" s="2390"/>
      <c r="F367" s="2390"/>
      <c r="G367" s="2390"/>
      <c r="H367" s="2390"/>
    </row>
    <row r="368" spans="1:8">
      <c r="A368" s="2391" t="s">
        <v>637</v>
      </c>
      <c r="B368" s="2390"/>
      <c r="C368" s="2390"/>
      <c r="D368" s="2390"/>
      <c r="E368" s="2390"/>
      <c r="F368" s="2390"/>
      <c r="G368" s="2390"/>
      <c r="H368" s="2390"/>
    </row>
    <row r="369" spans="1:8">
      <c r="A369" s="2391" t="s">
        <v>638</v>
      </c>
      <c r="B369" s="2390"/>
      <c r="C369" s="2390"/>
      <c r="D369" s="2390"/>
      <c r="E369" s="2390"/>
      <c r="F369" s="2390"/>
      <c r="G369" s="2390"/>
      <c r="H369" s="2390"/>
    </row>
    <row r="370" spans="1:8">
      <c r="A370" s="2391" t="s">
        <v>639</v>
      </c>
      <c r="B370" s="2390"/>
      <c r="C370" s="2390"/>
      <c r="D370" s="2390"/>
      <c r="E370" s="2390"/>
      <c r="F370" s="2390"/>
      <c r="G370" s="2390"/>
      <c r="H370" s="2390"/>
    </row>
    <row r="371" spans="1:8">
      <c r="A371" s="2390"/>
      <c r="B371" s="2390"/>
      <c r="C371" s="2390"/>
      <c r="D371" s="2390"/>
      <c r="E371" s="2390"/>
      <c r="F371" s="2390"/>
      <c r="G371" s="2390"/>
      <c r="H371" s="2390"/>
    </row>
    <row r="372" spans="1:8">
      <c r="A372" s="2391" t="s">
        <v>629</v>
      </c>
      <c r="B372" s="2390"/>
      <c r="C372" s="2390"/>
      <c r="D372" s="2390"/>
      <c r="E372" s="2390"/>
      <c r="F372" s="2390"/>
      <c r="G372" s="2390"/>
      <c r="H372" s="2390"/>
    </row>
    <row r="373" spans="1:8">
      <c r="A373" s="2391" t="s">
        <v>630</v>
      </c>
      <c r="B373" s="2390"/>
      <c r="C373" s="2390"/>
      <c r="D373" s="2390"/>
      <c r="E373" s="2390"/>
      <c r="F373" s="2390"/>
      <c r="G373" s="2390"/>
      <c r="H373" s="2390"/>
    </row>
    <row r="374" spans="1:8">
      <c r="A374" s="2391" t="s">
        <v>631</v>
      </c>
      <c r="B374" s="2390"/>
      <c r="C374" s="2390"/>
      <c r="D374" s="2390"/>
      <c r="E374" s="2390"/>
      <c r="F374" s="2390"/>
      <c r="G374" s="2390"/>
      <c r="H374" s="2390"/>
    </row>
    <row r="375" spans="1:8">
      <c r="A375" s="2391" t="s">
        <v>632</v>
      </c>
      <c r="B375" s="2390"/>
      <c r="C375" s="2390"/>
      <c r="D375" s="2390"/>
      <c r="E375" s="2390"/>
      <c r="F375" s="2390"/>
      <c r="G375" s="2390"/>
      <c r="H375" s="2390"/>
    </row>
    <row r="376" spans="1:8">
      <c r="A376" s="2391" t="s">
        <v>633</v>
      </c>
      <c r="B376" s="2390"/>
      <c r="C376" s="2390"/>
      <c r="D376" s="2390"/>
      <c r="E376" s="2390"/>
      <c r="F376" s="2390"/>
      <c r="G376" s="2390"/>
      <c r="H376" s="2390"/>
    </row>
    <row r="377" spans="1:8">
      <c r="A377" s="2390"/>
      <c r="B377" s="2390"/>
      <c r="C377" s="2390"/>
      <c r="D377" s="2390"/>
      <c r="E377" s="2390"/>
      <c r="F377" s="2390"/>
      <c r="G377" s="2390"/>
      <c r="H377" s="2390"/>
    </row>
    <row r="378" spans="1:8">
      <c r="A378" s="2391" t="s">
        <v>627</v>
      </c>
      <c r="B378" s="2390"/>
      <c r="C378" s="2390"/>
      <c r="D378" s="2390"/>
      <c r="E378" s="2390"/>
      <c r="F378" s="2390"/>
      <c r="G378" s="2390"/>
      <c r="H378" s="2390"/>
    </row>
    <row r="379" spans="1:8">
      <c r="A379" s="2391" t="s">
        <v>628</v>
      </c>
      <c r="B379" s="2390"/>
      <c r="C379" s="2390"/>
      <c r="D379" s="2390"/>
      <c r="E379" s="2390"/>
      <c r="F379" s="2390"/>
      <c r="G379" s="2390"/>
      <c r="H379" s="2390"/>
    </row>
    <row r="381" spans="1:8">
      <c r="A381" s="2386" t="s">
        <v>876</v>
      </c>
    </row>
  </sheetData>
  <mergeCells count="12">
    <mergeCell ref="A122:H122"/>
    <mergeCell ref="A123:H123"/>
    <mergeCell ref="B115:C115"/>
    <mergeCell ref="D115:F115"/>
    <mergeCell ref="G115:H115"/>
    <mergeCell ref="A101:H101"/>
    <mergeCell ref="A102:H102"/>
    <mergeCell ref="A103:H103"/>
    <mergeCell ref="A104:H104"/>
    <mergeCell ref="A106:H106"/>
    <mergeCell ref="A107:H107"/>
    <mergeCell ref="A114:H114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W4810"/>
  <sheetViews>
    <sheetView showGridLines="0" zoomScaleNormal="100" zoomScaleSheetLayoutView="85" workbookViewId="0">
      <pane xSplit="1" ySplit="8" topLeftCell="B9" activePane="bottomRight" state="frozen"/>
      <selection activeCell="B7" sqref="B7"/>
      <selection pane="topRight" activeCell="B7" sqref="B7"/>
      <selection pane="bottomLeft" activeCell="B7" sqref="B7"/>
      <selection pane="bottomRight"/>
    </sheetView>
  </sheetViews>
  <sheetFormatPr defaultRowHeight="12.75" outlineLevelRow="1" outlineLevelCol="1"/>
  <cols>
    <col min="1" max="1" width="25.5703125" customWidth="1"/>
    <col min="2" max="2" width="0.85546875" customWidth="1"/>
    <col min="3" max="3" width="7.28515625" hidden="1" customWidth="1" outlineLevel="1"/>
    <col min="4" max="4" width="0.85546875" hidden="1" customWidth="1" outlineLevel="1"/>
    <col min="5" max="5" width="7.28515625" hidden="1" customWidth="1" outlineLevel="1"/>
    <col min="6" max="6" width="0.85546875" hidden="1" customWidth="1" outlineLevel="1"/>
    <col min="7" max="7" width="7.28515625" hidden="1" customWidth="1" outlineLevel="1"/>
    <col min="8" max="8" width="0.85546875" hidden="1" customWidth="1" outlineLevel="1"/>
    <col min="9" max="9" width="7.28515625" hidden="1" customWidth="1" outlineLevel="1"/>
    <col min="10" max="10" width="0.85546875" hidden="1" customWidth="1" outlineLevel="1"/>
    <col min="11" max="11" width="7.28515625" hidden="1" customWidth="1" outlineLevel="1"/>
    <col min="12" max="12" width="0.85546875" hidden="1" customWidth="1" outlineLevel="1"/>
    <col min="13" max="13" width="7.28515625" hidden="1" customWidth="1" outlineLevel="1"/>
    <col min="14" max="14" width="0.85546875" hidden="1" customWidth="1" outlineLevel="1"/>
    <col min="15" max="15" width="7.28515625" hidden="1" customWidth="1" outlineLevel="1"/>
    <col min="16" max="16" width="0.85546875" hidden="1" customWidth="1" outlineLevel="1"/>
    <col min="17" max="17" width="7.28515625" hidden="1" customWidth="1" outlineLevel="1"/>
    <col min="18" max="18" width="0.85546875" hidden="1" customWidth="1" outlineLevel="1"/>
    <col min="19" max="23" width="7.28515625" hidden="1" customWidth="1" outlineLevel="1"/>
    <col min="24" max="24" width="0.85546875" hidden="1" customWidth="1" outlineLevel="1"/>
    <col min="25" max="29" width="7.28515625" hidden="1" customWidth="1" outlineLevel="1"/>
    <col min="30" max="30" width="0.85546875" hidden="1" customWidth="1" outlineLevel="1"/>
    <col min="31" max="35" width="7.28515625" hidden="1" customWidth="1" outlineLevel="1"/>
    <col min="36" max="36" width="0.85546875" hidden="1" customWidth="1" outlineLevel="1"/>
    <col min="37" max="41" width="7.28515625" hidden="1" customWidth="1" outlineLevel="1"/>
    <col min="42" max="42" width="0.85546875" hidden="1" customWidth="1" outlineLevel="1"/>
    <col min="43" max="46" width="7.28515625" hidden="1" customWidth="1" outlineLevel="1"/>
    <col min="47" max="47" width="7.28515625" hidden="1" customWidth="1" outlineLevel="1" collapsed="1"/>
    <col min="48" max="48" width="0.85546875" hidden="1" customWidth="1" outlineLevel="1"/>
    <col min="49" max="52" width="7.28515625" hidden="1" customWidth="1" outlineLevel="1"/>
    <col min="53" max="53" width="7.28515625" hidden="1" customWidth="1" outlineLevel="1" collapsed="1"/>
    <col min="54" max="54" width="0.85546875" hidden="1" customWidth="1" outlineLevel="1"/>
    <col min="55" max="58" width="7.28515625" hidden="1" customWidth="1" outlineLevel="1"/>
    <col min="59" max="59" width="7.28515625" customWidth="1" collapsed="1"/>
    <col min="60" max="60" width="0.85546875" customWidth="1"/>
    <col min="61" max="64" width="7.28515625" hidden="1" customWidth="1" outlineLevel="1"/>
    <col min="65" max="65" width="7.28515625" customWidth="1" collapsed="1"/>
    <col min="66" max="66" width="0.85546875" customWidth="1"/>
    <col min="67" max="70" width="7.28515625" hidden="1" customWidth="1" outlineLevel="1"/>
    <col min="71" max="71" width="7.28515625" customWidth="1" collapsed="1"/>
    <col min="72" max="72" width="0.85546875" customWidth="1"/>
    <col min="73" max="76" width="7.28515625" hidden="1" customWidth="1" outlineLevel="1"/>
    <col min="77" max="77" width="7.28515625" customWidth="1" collapsed="1"/>
    <col min="78" max="78" width="0.85546875" customWidth="1"/>
    <col min="79" max="82" width="7.28515625" hidden="1" customWidth="1" outlineLevel="1"/>
    <col min="83" max="83" width="7.28515625" customWidth="1" collapsed="1"/>
    <col min="84" max="84" width="0.85546875" customWidth="1"/>
    <col min="85" max="88" width="7.28515625" hidden="1" customWidth="1" outlineLevel="1"/>
    <col min="89" max="89" width="7.28515625" customWidth="1" collapsed="1"/>
    <col min="90" max="90" width="0.85546875" customWidth="1"/>
    <col min="91" max="94" width="7.28515625" customWidth="1" outlineLevel="1"/>
    <col min="95" max="95" width="7.28515625" customWidth="1"/>
    <col min="96" max="96" width="0.85546875" style="278" customWidth="1"/>
    <col min="97" max="100" width="7.28515625" customWidth="1" outlineLevel="1"/>
    <col min="101" max="101" width="7.28515625" customWidth="1"/>
    <col min="102" max="102" width="0.85546875" style="278" customWidth="1"/>
    <col min="103" max="106" width="7.28515625" hidden="1" customWidth="1" outlineLevel="1"/>
    <col min="107" max="107" width="7.28515625" customWidth="1" collapsed="1"/>
    <col min="108" max="108" width="0.85546875" style="278" customWidth="1"/>
    <col min="109" max="112" width="7.28515625" hidden="1" customWidth="1" outlineLevel="1"/>
    <col min="113" max="113" width="7.28515625" customWidth="1" collapsed="1"/>
    <col min="114" max="114" width="27.28515625" hidden="1" customWidth="1" outlineLevel="1"/>
    <col min="115" max="115" width="9.140625" hidden="1" customWidth="1" outlineLevel="1"/>
    <col min="116" max="116" width="12.5703125" hidden="1" customWidth="1" outlineLevel="1"/>
    <col min="117" max="119" width="9.140625" hidden="1" customWidth="1" outlineLevel="1"/>
    <col min="120" max="120" width="9.140625" collapsed="1"/>
    <col min="121" max="121" width="17.7109375" bestFit="1" customWidth="1" collapsed="1"/>
    <col min="125" max="127" width="0" hidden="1" customWidth="1"/>
  </cols>
  <sheetData>
    <row r="1" spans="1:127" ht="11.25" customHeight="1">
      <c r="A1" s="278"/>
      <c r="B1" s="278"/>
      <c r="C1" s="278"/>
      <c r="D1" s="278"/>
      <c r="E1" s="278"/>
      <c r="F1" s="278"/>
      <c r="G1" s="278"/>
      <c r="H1" s="278"/>
      <c r="I1" s="278"/>
      <c r="J1" s="278"/>
      <c r="K1" s="278"/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  <c r="W1" s="278"/>
      <c r="X1" s="278"/>
      <c r="Y1" s="278"/>
      <c r="Z1" s="278"/>
      <c r="AA1" s="278"/>
      <c r="AB1" s="278"/>
      <c r="AC1" s="278"/>
      <c r="AD1" s="278"/>
      <c r="AE1" s="278"/>
      <c r="AF1" s="278"/>
      <c r="AG1" s="278"/>
      <c r="AH1" s="278"/>
      <c r="AI1" s="278"/>
      <c r="AJ1" s="278"/>
      <c r="AK1" s="278"/>
      <c r="AL1" s="278"/>
      <c r="AM1" s="278"/>
      <c r="AN1" s="278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78"/>
      <c r="BC1" s="278"/>
      <c r="BD1" s="278"/>
      <c r="BE1" s="278"/>
      <c r="BF1" s="278"/>
      <c r="BG1" s="278"/>
      <c r="BH1" s="278"/>
      <c r="BI1" s="278"/>
      <c r="BJ1" s="278"/>
      <c r="BK1" s="278"/>
      <c r="BL1" s="278"/>
      <c r="BM1" s="278"/>
      <c r="BN1" s="278"/>
      <c r="BO1" s="278"/>
      <c r="BP1" s="278"/>
      <c r="BQ1" s="278"/>
      <c r="BR1" s="278"/>
      <c r="BS1" s="278"/>
      <c r="BT1" s="278"/>
      <c r="BU1" s="278"/>
      <c r="BV1" s="278"/>
      <c r="BW1" s="278"/>
      <c r="BX1" s="278"/>
      <c r="BY1" s="278"/>
      <c r="BZ1" s="278"/>
      <c r="CA1" s="278"/>
      <c r="CB1" s="278"/>
      <c r="CC1" s="278"/>
      <c r="CD1" s="278"/>
      <c r="CE1" s="278"/>
      <c r="CF1" s="278"/>
      <c r="CG1" s="278"/>
      <c r="CH1" s="278"/>
      <c r="CI1" s="278"/>
      <c r="CJ1" s="278"/>
      <c r="CK1" s="278"/>
      <c r="CL1" s="278"/>
      <c r="CM1" s="278"/>
      <c r="CN1" s="278"/>
      <c r="CO1" s="278"/>
      <c r="CP1" s="278"/>
      <c r="CQ1" s="278"/>
      <c r="CS1" s="278"/>
      <c r="CT1" s="278"/>
      <c r="CU1" s="278"/>
      <c r="CV1" s="278"/>
      <c r="CW1" s="278"/>
      <c r="CY1" s="278"/>
      <c r="CZ1" s="278"/>
      <c r="DA1" s="278"/>
      <c r="DB1" s="278"/>
      <c r="DC1" s="278"/>
      <c r="DE1" s="278"/>
      <c r="DF1" s="278"/>
      <c r="DG1" s="278"/>
      <c r="DH1" s="278"/>
      <c r="DI1" s="278"/>
    </row>
    <row r="2" spans="1:127" ht="11.25" customHeight="1" collapsed="1">
      <c r="A2" s="770" t="s">
        <v>265</v>
      </c>
      <c r="B2" s="726"/>
      <c r="C2" s="25"/>
      <c r="D2" s="726"/>
      <c r="E2" s="25"/>
      <c r="F2" s="726"/>
      <c r="G2" s="25"/>
      <c r="H2" s="726"/>
      <c r="I2" s="25"/>
      <c r="J2" s="726"/>
      <c r="K2" s="25"/>
      <c r="L2" s="726"/>
      <c r="M2" s="25"/>
      <c r="N2" s="726"/>
      <c r="O2" s="25"/>
      <c r="P2" s="726"/>
      <c r="Q2" s="25"/>
      <c r="R2" s="726"/>
      <c r="S2" s="737"/>
      <c r="T2" s="737"/>
      <c r="U2" s="737"/>
      <c r="V2" s="1552"/>
      <c r="W2" s="25"/>
      <c r="X2" s="726"/>
      <c r="Y2" s="737"/>
      <c r="Z2" s="737"/>
      <c r="AA2" s="737"/>
      <c r="AB2" s="1552"/>
      <c r="AC2" s="25"/>
      <c r="AD2" s="726"/>
      <c r="AE2" s="737"/>
      <c r="AF2" s="737"/>
      <c r="AG2" s="737"/>
      <c r="AH2" s="1552"/>
      <c r="AI2" s="25"/>
      <c r="AJ2" s="726"/>
      <c r="AK2" s="737"/>
      <c r="AL2" s="737"/>
      <c r="AM2" s="737"/>
      <c r="AN2" s="1552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1558"/>
      <c r="BC2" s="1558"/>
      <c r="BD2" s="1558"/>
      <c r="BE2" s="1558"/>
      <c r="BF2" s="1558"/>
      <c r="BG2" s="1557"/>
      <c r="BH2" s="1558"/>
      <c r="BI2" s="1558"/>
      <c r="BJ2" s="1558"/>
      <c r="BK2" s="1558"/>
      <c r="BL2" s="1770"/>
      <c r="BM2" s="1557"/>
      <c r="BN2" s="1558"/>
      <c r="BO2" s="2183"/>
      <c r="BP2" s="1558"/>
      <c r="BQ2" s="1558"/>
      <c r="BR2" s="1558"/>
      <c r="BS2" s="1557"/>
      <c r="BT2" s="1558"/>
      <c r="BU2" s="1558"/>
      <c r="BV2" s="1558"/>
      <c r="BW2" s="1558"/>
      <c r="BX2" s="1865"/>
      <c r="BY2" s="1557"/>
      <c r="BZ2" s="1558"/>
      <c r="CA2" s="1558"/>
      <c r="CB2" s="1558"/>
      <c r="CC2" s="1558"/>
      <c r="CD2" s="1558"/>
      <c r="CE2" s="1557"/>
      <c r="CF2" s="1558"/>
      <c r="CG2" s="1558"/>
      <c r="CH2" s="1558"/>
      <c r="CI2" s="1558"/>
      <c r="CJ2" s="1558"/>
      <c r="CK2" s="1557"/>
      <c r="CL2" s="1558"/>
      <c r="CM2" s="1558"/>
      <c r="CN2" s="1558"/>
      <c r="CO2" s="1558"/>
      <c r="CP2" s="1558"/>
      <c r="CQ2" s="1557"/>
      <c r="CR2" s="1557"/>
      <c r="CS2" s="1558"/>
      <c r="CT2" s="1558"/>
      <c r="CU2" s="1558"/>
      <c r="CV2" s="1558"/>
      <c r="CW2" s="1557"/>
      <c r="CX2" s="1557"/>
      <c r="CY2" s="1558"/>
      <c r="CZ2" s="1558"/>
      <c r="DA2" s="1558"/>
      <c r="DB2" s="1558"/>
      <c r="DC2" s="1557"/>
      <c r="DD2" s="1557"/>
      <c r="DE2" s="1558"/>
      <c r="DF2" s="1558"/>
      <c r="DG2" s="1558"/>
      <c r="DH2" s="1558"/>
      <c r="DI2" s="1557"/>
    </row>
    <row r="3" spans="1:127" ht="11.25" customHeight="1">
      <c r="A3" s="786" t="s">
        <v>0</v>
      </c>
      <c r="B3" s="726"/>
      <c r="C3" s="1552"/>
      <c r="D3" s="726"/>
      <c r="E3" s="1552"/>
      <c r="F3" s="726"/>
      <c r="G3" s="1552"/>
      <c r="H3" s="726"/>
      <c r="I3" s="1552"/>
      <c r="J3" s="726"/>
      <c r="K3" s="1552"/>
      <c r="L3" s="726"/>
      <c r="M3" s="1552"/>
      <c r="N3" s="726"/>
      <c r="O3" s="1552"/>
      <c r="P3" s="726"/>
      <c r="Q3" s="1552"/>
      <c r="R3" s="726"/>
      <c r="S3" s="737"/>
      <c r="T3" s="737"/>
      <c r="U3" s="1368"/>
      <c r="V3" s="1368"/>
      <c r="W3" s="1552"/>
      <c r="X3" s="726"/>
      <c r="Y3" s="737"/>
      <c r="Z3" s="737"/>
      <c r="AA3" s="1368"/>
      <c r="AB3" s="1368"/>
      <c r="AC3" s="1552"/>
      <c r="AD3" s="726"/>
      <c r="AE3" s="737"/>
      <c r="AF3" s="737"/>
      <c r="AG3" s="1368"/>
      <c r="AH3" s="1368"/>
      <c r="AI3" s="1552"/>
      <c r="AJ3" s="726"/>
      <c r="AK3" s="737"/>
      <c r="AL3" s="737"/>
      <c r="AM3" s="1368"/>
      <c r="AN3" s="1368"/>
      <c r="AO3" s="25"/>
      <c r="AP3" s="25"/>
      <c r="AQ3" s="25"/>
      <c r="AR3" s="25"/>
      <c r="AS3" s="25"/>
      <c r="AT3" s="25"/>
      <c r="AU3" s="25"/>
      <c r="AV3" s="25"/>
      <c r="AW3" s="25"/>
      <c r="AX3" s="25"/>
      <c r="AY3" s="25"/>
      <c r="AZ3" s="25"/>
      <c r="BA3" s="25"/>
      <c r="BB3" s="726"/>
      <c r="BC3" s="1552"/>
      <c r="BD3" s="1552"/>
      <c r="BE3" s="1552"/>
      <c r="BF3" s="1552"/>
      <c r="BG3" s="1552"/>
      <c r="BH3" s="726"/>
      <c r="BI3" s="1552"/>
      <c r="BJ3" s="1552"/>
      <c r="BK3" s="1552"/>
      <c r="BL3" s="1552"/>
      <c r="BM3" s="1552"/>
      <c r="BN3" s="726"/>
      <c r="BO3" s="1552"/>
      <c r="BP3" s="1552"/>
      <c r="BQ3" s="1552"/>
      <c r="BR3" s="1552"/>
      <c r="BS3" s="1552"/>
      <c r="BT3" s="726"/>
      <c r="BU3" s="1552"/>
      <c r="BV3" s="1552"/>
      <c r="BW3" s="1552"/>
      <c r="BX3" s="1552"/>
      <c r="BY3" s="1552"/>
      <c r="BZ3" s="726"/>
      <c r="CA3" s="1552"/>
      <c r="CB3" s="1552"/>
      <c r="CC3" s="1552"/>
      <c r="CD3" s="1552"/>
      <c r="CE3" s="1552"/>
      <c r="CF3" s="726"/>
      <c r="CG3" s="1552"/>
      <c r="CH3" s="1552"/>
      <c r="CI3" s="1552"/>
      <c r="CJ3" s="1552"/>
      <c r="CK3" s="1552"/>
      <c r="CL3" s="726"/>
      <c r="CM3" s="1552"/>
      <c r="CN3" s="1552"/>
      <c r="CO3" s="1552"/>
      <c r="CP3" s="1552"/>
      <c r="CQ3" s="1552"/>
      <c r="CR3" s="726"/>
      <c r="CS3" s="1552"/>
      <c r="CT3" s="1552"/>
      <c r="CU3" s="1552"/>
      <c r="CV3" s="1552"/>
      <c r="CW3" s="1552"/>
      <c r="CX3" s="1552"/>
      <c r="CY3" s="1552"/>
      <c r="CZ3" s="1552"/>
      <c r="DA3" s="1552"/>
      <c r="DB3" s="1552"/>
      <c r="DC3" s="1552"/>
      <c r="DD3" s="1552"/>
      <c r="DE3" s="1552"/>
      <c r="DF3" s="1552"/>
      <c r="DG3" s="1552"/>
      <c r="DH3" s="1552"/>
      <c r="DI3" s="1552"/>
    </row>
    <row r="4" spans="1:127" ht="11.25" customHeight="1">
      <c r="A4" s="787" t="s">
        <v>1</v>
      </c>
      <c r="B4" s="1553"/>
      <c r="C4" s="1553"/>
      <c r="D4" s="1553"/>
      <c r="E4" s="1553"/>
      <c r="F4" s="1553"/>
      <c r="G4" s="1553"/>
      <c r="H4" s="1553"/>
      <c r="I4" s="1553"/>
      <c r="J4" s="1553"/>
      <c r="K4" s="1553"/>
      <c r="L4" s="1553"/>
      <c r="M4" s="1553"/>
      <c r="N4" s="1553"/>
      <c r="O4" s="1553"/>
      <c r="P4" s="1553"/>
      <c r="Q4" s="1553"/>
      <c r="R4" s="1553"/>
      <c r="S4" s="1562"/>
      <c r="T4" s="1563"/>
      <c r="U4" s="1563"/>
      <c r="V4" s="1564"/>
      <c r="W4" s="1565"/>
      <c r="X4" s="1553"/>
      <c r="Y4" s="1562"/>
      <c r="Z4" s="1563"/>
      <c r="AA4" s="1563"/>
      <c r="AB4" s="1564"/>
      <c r="AC4" s="1565"/>
      <c r="AD4" s="1553"/>
      <c r="AE4" s="1562"/>
      <c r="AF4" s="1563"/>
      <c r="AG4" s="1563"/>
      <c r="AH4" s="1564"/>
      <c r="AI4" s="1565"/>
      <c r="AJ4" s="1553"/>
      <c r="AK4" s="1562"/>
      <c r="AL4" s="1563"/>
      <c r="AM4" s="1563"/>
      <c r="AN4" s="1564"/>
      <c r="AO4" s="1565"/>
      <c r="AP4" s="1553"/>
      <c r="AQ4" s="1553"/>
      <c r="AR4" s="1566"/>
      <c r="AS4" s="1567"/>
      <c r="AT4" s="1553"/>
      <c r="AU4" s="1568"/>
      <c r="AV4" s="1553"/>
      <c r="AW4" s="1563"/>
      <c r="AX4" s="1553"/>
      <c r="AY4" s="1553"/>
      <c r="AZ4" s="1553"/>
      <c r="BA4" s="1553"/>
      <c r="BB4" s="1553"/>
      <c r="BC4" s="1553"/>
      <c r="BD4" s="1553"/>
      <c r="BE4" s="1553"/>
      <c r="BF4" s="1553"/>
      <c r="BG4" s="1553"/>
      <c r="BH4" s="1553"/>
      <c r="BI4" s="1553"/>
      <c r="BJ4" s="1553"/>
      <c r="BK4" s="1553"/>
      <c r="BL4" s="1553"/>
      <c r="BM4" s="1553"/>
      <c r="BN4" s="1553"/>
      <c r="BO4" s="1553"/>
      <c r="BP4" s="1553"/>
      <c r="BQ4" s="1553"/>
      <c r="BR4" s="1553"/>
      <c r="BS4" s="1553"/>
      <c r="BT4" s="1553"/>
      <c r="BU4" s="1553"/>
      <c r="BV4" s="1553"/>
      <c r="BW4" s="1553"/>
      <c r="BX4" s="1553"/>
      <c r="BY4" s="1553"/>
      <c r="BZ4" s="1553"/>
      <c r="CA4" s="1553"/>
      <c r="CB4" s="1553"/>
      <c r="CC4" s="1553"/>
      <c r="CD4" s="1553"/>
      <c r="CE4" s="1553"/>
      <c r="CF4" s="1553"/>
      <c r="CG4" s="1553"/>
      <c r="CH4" s="1553"/>
      <c r="CI4" s="1553"/>
      <c r="CJ4" s="1553"/>
      <c r="CK4" s="1553"/>
      <c r="CL4" s="1553"/>
      <c r="CM4" s="1553"/>
      <c r="CN4" s="1553"/>
      <c r="CO4" s="1553"/>
      <c r="CP4" s="1553"/>
      <c r="CQ4" s="1553"/>
      <c r="CR4" s="1553"/>
      <c r="CS4" s="1553"/>
      <c r="CT4" s="1553"/>
      <c r="CU4" s="1553"/>
      <c r="CV4" s="1553"/>
      <c r="CW4" s="1553"/>
      <c r="CX4" s="726"/>
      <c r="CY4" s="1553"/>
      <c r="CZ4" s="1553"/>
      <c r="DA4" s="1553"/>
      <c r="DB4" s="1553"/>
      <c r="DC4" s="1553"/>
      <c r="DD4" s="726"/>
      <c r="DE4" s="1553"/>
      <c r="DF4" s="1553"/>
      <c r="DG4" s="1553"/>
      <c r="DH4" s="1553"/>
      <c r="DI4" s="1553"/>
    </row>
    <row r="5" spans="1:127" ht="11.25" customHeight="1" collapsed="1">
      <c r="A5" s="788" t="s">
        <v>2</v>
      </c>
      <c r="B5" s="726"/>
      <c r="C5" s="1554"/>
      <c r="D5" s="726"/>
      <c r="E5" s="1554"/>
      <c r="F5" s="726"/>
      <c r="G5" s="1554"/>
      <c r="H5" s="726"/>
      <c r="I5" s="1554"/>
      <c r="J5" s="726"/>
      <c r="K5" s="1554"/>
      <c r="L5" s="726"/>
      <c r="M5" s="1554"/>
      <c r="N5" s="726"/>
      <c r="O5" s="1554"/>
      <c r="P5" s="726"/>
      <c r="Q5" s="1554"/>
      <c r="R5" s="726"/>
      <c r="S5" s="25"/>
      <c r="T5" s="1569"/>
      <c r="U5" s="1570"/>
      <c r="V5" s="1570"/>
      <c r="W5" s="1570"/>
      <c r="X5" s="726"/>
      <c r="Y5" s="25"/>
      <c r="Z5" s="1569"/>
      <c r="AA5" s="1570"/>
      <c r="AB5" s="1570"/>
      <c r="AC5" s="1570"/>
      <c r="AD5" s="726"/>
      <c r="AE5" s="25"/>
      <c r="AF5" s="1569"/>
      <c r="AG5" s="1570"/>
      <c r="AH5" s="1570"/>
      <c r="AI5" s="1570"/>
      <c r="AJ5" s="726"/>
      <c r="AK5" s="25"/>
      <c r="AL5" s="1569"/>
      <c r="AM5" s="1570"/>
      <c r="AN5" s="1570"/>
      <c r="AO5" s="1570"/>
      <c r="AP5" s="1570"/>
      <c r="AQ5" s="1570"/>
      <c r="AR5" s="1570"/>
      <c r="AS5" s="1570"/>
      <c r="AT5" s="1570"/>
      <c r="AU5" s="737"/>
      <c r="AV5" s="1570"/>
      <c r="AW5" s="1570"/>
      <c r="AX5" s="1571"/>
      <c r="AY5" s="1771"/>
      <c r="AZ5" s="1570"/>
      <c r="BA5" s="1570"/>
      <c r="BB5" s="1570"/>
      <c r="BC5" s="1552"/>
      <c r="BD5" s="1570"/>
      <c r="BE5" s="1771"/>
      <c r="BF5" s="1570"/>
      <c r="BG5" s="1570"/>
      <c r="BH5" s="1570"/>
      <c r="BI5" s="1552"/>
      <c r="BJ5" s="1570"/>
      <c r="BK5" s="1771"/>
      <c r="BL5" s="1570"/>
      <c r="BM5" s="1570"/>
      <c r="BN5" s="1570"/>
      <c r="BO5" s="1552"/>
      <c r="BP5" s="1570"/>
      <c r="BQ5" s="1570"/>
      <c r="BR5" s="1570"/>
      <c r="BS5" s="1570"/>
      <c r="BT5" s="1570"/>
      <c r="BU5" s="1552"/>
      <c r="BV5" s="1863"/>
      <c r="BW5" s="1570"/>
      <c r="BX5" s="1570"/>
      <c r="BY5" s="1570"/>
      <c r="BZ5" s="1570"/>
      <c r="CA5" s="1552"/>
      <c r="CB5" s="1570"/>
      <c r="CC5" s="1570"/>
      <c r="CD5" s="1570"/>
      <c r="CE5" s="1570"/>
      <c r="CF5" s="1570"/>
      <c r="CG5" s="1552"/>
      <c r="CH5" s="1570"/>
      <c r="CI5" s="1570"/>
      <c r="CJ5" s="1570"/>
      <c r="CK5" s="1570"/>
      <c r="CL5" s="1570"/>
      <c r="CM5" s="1552"/>
      <c r="CN5" s="1570"/>
      <c r="CO5" s="1570"/>
      <c r="CP5" s="1570"/>
      <c r="CQ5" s="1570"/>
      <c r="CR5" s="1570"/>
      <c r="CS5" s="1552"/>
      <c r="CT5" s="1570"/>
      <c r="CU5" s="1570"/>
      <c r="CV5" s="1570"/>
      <c r="CW5" s="1570"/>
      <c r="CX5" s="1570"/>
      <c r="CY5" s="1552"/>
      <c r="CZ5" s="1570"/>
      <c r="DA5" s="1570"/>
      <c r="DB5" s="1570"/>
      <c r="DC5" s="1570"/>
      <c r="DD5" s="1570"/>
      <c r="DE5" s="1552"/>
      <c r="DF5" s="1570"/>
      <c r="DG5" s="1570"/>
      <c r="DH5" s="1570"/>
      <c r="DI5" s="1570"/>
    </row>
    <row r="6" spans="1:127" ht="11.25" hidden="1" customHeight="1" outlineLevel="1">
      <c r="CR6"/>
      <c r="CX6"/>
      <c r="DD6"/>
    </row>
    <row r="7" spans="1:127" s="583" customFormat="1" ht="11.25" customHeight="1" collapsed="1">
      <c r="A7" s="1555"/>
      <c r="B7" s="7"/>
      <c r="C7" s="1128">
        <v>1998</v>
      </c>
      <c r="D7" s="1129"/>
      <c r="E7" s="1128">
        <f>C7+1</f>
        <v>1999</v>
      </c>
      <c r="F7" s="1129"/>
      <c r="G7" s="1128">
        <f>E7+1</f>
        <v>2000</v>
      </c>
      <c r="H7" s="1129"/>
      <c r="I7" s="1128">
        <f>G7+1</f>
        <v>2001</v>
      </c>
      <c r="J7" s="1129"/>
      <c r="K7" s="1128">
        <f>I7+1</f>
        <v>2002</v>
      </c>
      <c r="L7" s="1129"/>
      <c r="M7" s="1128">
        <f>K7+1</f>
        <v>2003</v>
      </c>
      <c r="N7" s="1129"/>
      <c r="O7" s="1128">
        <f>M7+1</f>
        <v>2004</v>
      </c>
      <c r="P7" s="1129"/>
      <c r="Q7" s="1128">
        <f>O7+1</f>
        <v>2005</v>
      </c>
      <c r="R7" s="795"/>
      <c r="S7" s="1130" t="s">
        <v>21</v>
      </c>
      <c r="T7" s="1131"/>
      <c r="U7" s="1131"/>
      <c r="V7" s="1131"/>
      <c r="W7" s="1128">
        <f>Q7+1</f>
        <v>2006</v>
      </c>
      <c r="X7" s="768"/>
      <c r="Y7" s="1130">
        <v>2007</v>
      </c>
      <c r="Z7" s="1131"/>
      <c r="AA7" s="1131"/>
      <c r="AB7" s="1131"/>
      <c r="AC7" s="1128">
        <f>W7+1</f>
        <v>2007</v>
      </c>
      <c r="AD7" s="790"/>
      <c r="AE7" s="1130">
        <f>Y7+1</f>
        <v>2008</v>
      </c>
      <c r="AF7" s="1131"/>
      <c r="AG7" s="1131"/>
      <c r="AH7" s="1131"/>
      <c r="AI7" s="1128">
        <f>AC7+1</f>
        <v>2008</v>
      </c>
      <c r="AJ7" s="1132"/>
      <c r="AK7" s="1130">
        <f>AE7+1</f>
        <v>2009</v>
      </c>
      <c r="AL7" s="1131"/>
      <c r="AM7" s="1131"/>
      <c r="AN7" s="1131"/>
      <c r="AO7" s="1128">
        <f>AI7+1</f>
        <v>2009</v>
      </c>
      <c r="AP7" s="1132"/>
      <c r="AQ7" s="1130">
        <f>AK7+1</f>
        <v>2010</v>
      </c>
      <c r="AR7" s="1131"/>
      <c r="AS7" s="1131"/>
      <c r="AT7" s="1131"/>
      <c r="AU7" s="1128">
        <f>AO7+1</f>
        <v>2010</v>
      </c>
      <c r="AV7" s="1132"/>
      <c r="AW7" s="1130">
        <f>AQ7+1</f>
        <v>2011</v>
      </c>
      <c r="AX7" s="1131"/>
      <c r="AY7" s="1131"/>
      <c r="AZ7" s="1131"/>
      <c r="BA7" s="1128">
        <f>AU7+1</f>
        <v>2011</v>
      </c>
      <c r="BB7" s="1132"/>
      <c r="BC7" s="1130">
        <f>AW7+1</f>
        <v>2012</v>
      </c>
      <c r="BD7" s="1131"/>
      <c r="BE7" s="1131"/>
      <c r="BF7" s="1131"/>
      <c r="BG7" s="1128">
        <f>BA7+1</f>
        <v>2012</v>
      </c>
      <c r="BH7" s="1132"/>
      <c r="BI7" s="1130">
        <f>BC7+1</f>
        <v>2013</v>
      </c>
      <c r="BJ7" s="1131"/>
      <c r="BK7" s="1131"/>
      <c r="BL7" s="1131"/>
      <c r="BM7" s="1128">
        <f>BG7+1</f>
        <v>2013</v>
      </c>
      <c r="BN7" s="1132"/>
      <c r="BO7" s="1130">
        <f>BI7+1</f>
        <v>2014</v>
      </c>
      <c r="BP7" s="1131"/>
      <c r="BQ7" s="1131"/>
      <c r="BR7" s="1131"/>
      <c r="BS7" s="1128">
        <f>BM7+1</f>
        <v>2014</v>
      </c>
      <c r="BT7" s="1132"/>
      <c r="BU7" s="1130">
        <f>BO7+1</f>
        <v>2015</v>
      </c>
      <c r="BV7" s="1131"/>
      <c r="BW7" s="1131"/>
      <c r="BX7" s="1131"/>
      <c r="BY7" s="1128">
        <f>BS7+1</f>
        <v>2015</v>
      </c>
      <c r="BZ7" s="1132"/>
      <c r="CA7" s="1130">
        <f>BU7+1</f>
        <v>2016</v>
      </c>
      <c r="CB7" s="1131"/>
      <c r="CC7" s="1131"/>
      <c r="CD7" s="1131"/>
      <c r="CE7" s="1128">
        <f>BY7+1</f>
        <v>2016</v>
      </c>
      <c r="CF7" s="1132"/>
      <c r="CG7" s="1130" t="s">
        <v>575</v>
      </c>
      <c r="CH7" s="1131"/>
      <c r="CI7" s="1131"/>
      <c r="CJ7" s="1131"/>
      <c r="CK7" s="1128">
        <f>CE7+1</f>
        <v>2017</v>
      </c>
      <c r="CL7" s="1132"/>
      <c r="CM7" s="1133" t="s">
        <v>315</v>
      </c>
      <c r="CN7" s="1131"/>
      <c r="CO7" s="1131"/>
      <c r="CP7" s="1131"/>
      <c r="CQ7" s="1134">
        <f>CK7+1</f>
        <v>2018</v>
      </c>
      <c r="CR7" s="1132"/>
      <c r="CS7" s="1133" t="s">
        <v>316</v>
      </c>
      <c r="CT7" s="1131"/>
      <c r="CU7" s="1131"/>
      <c r="CV7" s="1131"/>
      <c r="CW7" s="1134">
        <f>CQ7+1</f>
        <v>2019</v>
      </c>
      <c r="CX7" s="730"/>
      <c r="CY7" s="1133" t="s">
        <v>317</v>
      </c>
      <c r="CZ7" s="1131"/>
      <c r="DA7" s="1131"/>
      <c r="DB7" s="1131"/>
      <c r="DC7" s="1134">
        <f>CW7+1</f>
        <v>2020</v>
      </c>
      <c r="DD7" s="730"/>
      <c r="DE7" s="1133" t="s">
        <v>367</v>
      </c>
      <c r="DF7" s="1131"/>
      <c r="DG7" s="1131"/>
      <c r="DH7" s="1131"/>
      <c r="DI7" s="1134">
        <f>DC7+1</f>
        <v>2021</v>
      </c>
      <c r="DJ7"/>
      <c r="DK7"/>
      <c r="DL7"/>
      <c r="DM7"/>
      <c r="DN7"/>
      <c r="DO7"/>
    </row>
    <row r="8" spans="1:127" s="804" customFormat="1" ht="11.25" customHeight="1" collapsed="1">
      <c r="A8" s="1772"/>
      <c r="B8" s="582"/>
      <c r="C8" s="581"/>
      <c r="D8" s="582"/>
      <c r="E8" s="581"/>
      <c r="F8" s="582"/>
      <c r="G8" s="581"/>
      <c r="H8" s="582"/>
      <c r="I8" s="581"/>
      <c r="J8" s="582"/>
      <c r="K8" s="581"/>
      <c r="L8" s="582"/>
      <c r="M8" s="581"/>
      <c r="N8" s="582"/>
      <c r="O8" s="581"/>
      <c r="P8" s="582"/>
      <c r="Q8" s="581"/>
      <c r="R8" s="800"/>
      <c r="S8" s="1115">
        <v>38807</v>
      </c>
      <c r="T8" s="1115">
        <v>38898</v>
      </c>
      <c r="U8" s="1115">
        <v>38990</v>
      </c>
      <c r="V8" s="1115">
        <v>39082</v>
      </c>
      <c r="W8" s="1116"/>
      <c r="X8" s="1117"/>
      <c r="Y8" s="1115">
        <v>39172</v>
      </c>
      <c r="Z8" s="1115">
        <v>39263</v>
      </c>
      <c r="AA8" s="1115">
        <v>39355</v>
      </c>
      <c r="AB8" s="1115">
        <v>39447</v>
      </c>
      <c r="AC8" s="1116"/>
      <c r="AD8" s="1117"/>
      <c r="AE8" s="1115">
        <v>39538</v>
      </c>
      <c r="AF8" s="1115">
        <v>39629</v>
      </c>
      <c r="AG8" s="1115">
        <v>39721</v>
      </c>
      <c r="AH8" s="1115">
        <v>39813</v>
      </c>
      <c r="AI8" s="1116"/>
      <c r="AJ8" s="1117"/>
      <c r="AK8" s="1115">
        <v>39903</v>
      </c>
      <c r="AL8" s="1115">
        <v>39994</v>
      </c>
      <c r="AM8" s="1115">
        <v>40086</v>
      </c>
      <c r="AN8" s="1115">
        <v>40178</v>
      </c>
      <c r="AO8" s="1116"/>
      <c r="AP8" s="1118"/>
      <c r="AQ8" s="1115">
        <v>40268</v>
      </c>
      <c r="AR8" s="1115">
        <v>40359</v>
      </c>
      <c r="AS8" s="1115">
        <v>40451</v>
      </c>
      <c r="AT8" s="1115">
        <v>40543</v>
      </c>
      <c r="AU8" s="1116"/>
      <c r="AV8" s="1118"/>
      <c r="AW8" s="1115">
        <v>40633</v>
      </c>
      <c r="AX8" s="1115">
        <v>40724</v>
      </c>
      <c r="AY8" s="1115">
        <v>40816</v>
      </c>
      <c r="AZ8" s="1115">
        <v>40908</v>
      </c>
      <c r="BA8" s="1116"/>
      <c r="BB8" s="1118"/>
      <c r="BC8" s="731">
        <v>40999</v>
      </c>
      <c r="BD8" s="731">
        <v>41090</v>
      </c>
      <c r="BE8" s="731">
        <f>AY8+365</f>
        <v>41181</v>
      </c>
      <c r="BF8" s="1119">
        <f>AZ8+365</f>
        <v>41273</v>
      </c>
      <c r="BG8" s="1116"/>
      <c r="BH8" s="1118"/>
      <c r="BI8" s="731">
        <f>BC8+365</f>
        <v>41364</v>
      </c>
      <c r="BJ8" s="731">
        <f>BD8+365</f>
        <v>41455</v>
      </c>
      <c r="BK8" s="731">
        <f>BE8+365</f>
        <v>41546</v>
      </c>
      <c r="BL8" s="731">
        <f>BF8+365</f>
        <v>41638</v>
      </c>
      <c r="BM8" s="581"/>
      <c r="BN8" s="803"/>
      <c r="BO8" s="808">
        <f>BI8+365</f>
        <v>41729</v>
      </c>
      <c r="BP8" s="731">
        <f>BJ8+365</f>
        <v>41820</v>
      </c>
      <c r="BQ8" s="731">
        <f>BK8+365</f>
        <v>41911</v>
      </c>
      <c r="BR8" s="731">
        <f>BL8+365</f>
        <v>42003</v>
      </c>
      <c r="BS8" s="581"/>
      <c r="BT8" s="803"/>
      <c r="BU8" s="808">
        <f>BO8+365</f>
        <v>42094</v>
      </c>
      <c r="BV8" s="731">
        <f>BP8+365</f>
        <v>42185</v>
      </c>
      <c r="BW8" s="731">
        <f>BQ8+365</f>
        <v>42276</v>
      </c>
      <c r="BX8" s="731">
        <f>BR8+365</f>
        <v>42368</v>
      </c>
      <c r="BY8" s="581"/>
      <c r="BZ8" s="803"/>
      <c r="CA8" s="808">
        <f>BU8+365</f>
        <v>42459</v>
      </c>
      <c r="CB8" s="731">
        <f>BV8+365</f>
        <v>42550</v>
      </c>
      <c r="CC8" s="731">
        <f>BW8+365</f>
        <v>42641</v>
      </c>
      <c r="CD8" s="731">
        <f>BX8+365</f>
        <v>42733</v>
      </c>
      <c r="CE8" s="581"/>
      <c r="CF8" s="803"/>
      <c r="CG8" s="808">
        <f>CA8+365</f>
        <v>42824</v>
      </c>
      <c r="CH8" s="731">
        <f>CB8+365</f>
        <v>42915</v>
      </c>
      <c r="CI8" s="731">
        <f>CC8+365</f>
        <v>43006</v>
      </c>
      <c r="CJ8" s="731">
        <f>CD8+365</f>
        <v>43098</v>
      </c>
      <c r="CK8" s="581"/>
      <c r="CL8" s="803"/>
      <c r="CM8" s="805">
        <f>CG8+365</f>
        <v>43189</v>
      </c>
      <c r="CN8" s="806">
        <f>CH8+365</f>
        <v>43280</v>
      </c>
      <c r="CO8" s="806">
        <f>CI8+365</f>
        <v>43371</v>
      </c>
      <c r="CP8" s="807">
        <f>CJ8+365</f>
        <v>43463</v>
      </c>
      <c r="CQ8" s="581"/>
      <c r="CR8" s="803"/>
      <c r="CS8" s="805">
        <f>CM8+365</f>
        <v>43554</v>
      </c>
      <c r="CT8" s="806">
        <f>CN8+365</f>
        <v>43645</v>
      </c>
      <c r="CU8" s="806">
        <f>CO8+365</f>
        <v>43736</v>
      </c>
      <c r="CV8" s="807">
        <f>CP8+365</f>
        <v>43828</v>
      </c>
      <c r="CW8" s="581"/>
      <c r="CX8" s="516"/>
      <c r="CY8" s="805">
        <f>CS8+365</f>
        <v>43919</v>
      </c>
      <c r="CZ8" s="806">
        <f>CT8+365</f>
        <v>44010</v>
      </c>
      <c r="DA8" s="806">
        <f>CU8+365</f>
        <v>44101</v>
      </c>
      <c r="DB8" s="807">
        <f>CV8+365</f>
        <v>44193</v>
      </c>
      <c r="DC8" s="581"/>
      <c r="DD8" s="516"/>
      <c r="DE8" s="805">
        <f>CY8+365</f>
        <v>44284</v>
      </c>
      <c r="DF8" s="806">
        <f>CZ8+365</f>
        <v>44375</v>
      </c>
      <c r="DG8" s="806">
        <f>DA8+365</f>
        <v>44466</v>
      </c>
      <c r="DH8" s="807">
        <f>DB8+365</f>
        <v>44558</v>
      </c>
      <c r="DI8" s="581"/>
      <c r="DJ8"/>
      <c r="DK8"/>
      <c r="DL8"/>
      <c r="DM8"/>
      <c r="DN8"/>
      <c r="DO8"/>
    </row>
    <row r="9" spans="1:127" s="16" customFormat="1" ht="11.25" customHeight="1">
      <c r="A9" s="1708" t="s">
        <v>3</v>
      </c>
      <c r="B9" s="734"/>
      <c r="C9" s="817">
        <f t="shared" ref="C9:I9" si="0">SUM(C10:C11)</f>
        <v>42.206999999999994</v>
      </c>
      <c r="D9" s="1709"/>
      <c r="E9" s="817">
        <f t="shared" si="0"/>
        <v>64.69</v>
      </c>
      <c r="F9" s="1709"/>
      <c r="G9" s="817">
        <f t="shared" si="0"/>
        <v>76.602000000000004</v>
      </c>
      <c r="H9" s="1709"/>
      <c r="I9" s="817">
        <f t="shared" si="0"/>
        <v>92.691000000000003</v>
      </c>
      <c r="J9" s="1709"/>
      <c r="K9" s="817">
        <f>SUM(K10:K11)</f>
        <v>220.65799999999999</v>
      </c>
      <c r="L9" s="1709"/>
      <c r="M9" s="817">
        <f>SUM(M10:M11)</f>
        <v>260.67900000000003</v>
      </c>
      <c r="N9" s="1709"/>
      <c r="O9" s="817">
        <f>SUM(O10:O11)</f>
        <v>284.416</v>
      </c>
      <c r="P9" s="1709"/>
      <c r="Q9" s="817">
        <f>SUM(Q10:Q11)</f>
        <v>372.25299999999999</v>
      </c>
      <c r="R9" s="1709"/>
      <c r="S9" s="1710">
        <f>SUM(S10:S11)</f>
        <v>94.855999999999995</v>
      </c>
      <c r="T9" s="478">
        <f>SUM(T10:T11)</f>
        <v>100.48299999999999</v>
      </c>
      <c r="U9" s="478">
        <f>SUM(U10:U11)</f>
        <v>104.87</v>
      </c>
      <c r="V9" s="478">
        <f>SUM(V10:V11)</f>
        <v>135.62500000000003</v>
      </c>
      <c r="W9" s="817">
        <f>SUM(W10:W11)</f>
        <v>435.834</v>
      </c>
      <c r="X9" s="1709"/>
      <c r="Y9" s="1710">
        <f>SUM(Y10:Y11)</f>
        <v>207.536</v>
      </c>
      <c r="Z9" s="478">
        <f>SUM(Z10:Z11)</f>
        <v>238.34199999999998</v>
      </c>
      <c r="AA9" s="478">
        <f>SUM(AA10:AA11)</f>
        <v>241.76</v>
      </c>
      <c r="AB9" s="478">
        <f>SUM(AB10:AB11)</f>
        <v>344.76200000000006</v>
      </c>
      <c r="AC9" s="817">
        <f>SUM(AC10:AC11)</f>
        <v>1032.4000000000001</v>
      </c>
      <c r="AD9" s="1709"/>
      <c r="AE9" s="1710">
        <f>SUM(AE10:AE11)</f>
        <v>238.3</v>
      </c>
      <c r="AF9" s="478">
        <f>SUM(AF10:AF11)</f>
        <v>311.5</v>
      </c>
      <c r="AG9" s="478">
        <f>SUM(AG10:AG11)</f>
        <v>242.10000000000002</v>
      </c>
      <c r="AH9" s="478">
        <f>SUM(AH10:AH11)</f>
        <v>315.19999999999993</v>
      </c>
      <c r="AI9" s="817">
        <f>SUM(AI10:AI11)</f>
        <v>1107.0999999999999</v>
      </c>
      <c r="AJ9" s="1711"/>
      <c r="AK9" s="1710">
        <f>SUM(AK10:AK11)</f>
        <v>230.5</v>
      </c>
      <c r="AL9" s="478">
        <f>SUM(AL10:AL11)</f>
        <v>252.5</v>
      </c>
      <c r="AM9" s="478">
        <f>SUM(AM10:AM11)</f>
        <v>265.09999999999997</v>
      </c>
      <c r="AN9" s="478">
        <f>SUM(AN10:AN11)</f>
        <v>366.40000000000003</v>
      </c>
      <c r="AO9" s="817">
        <f>SUM(AO10:AO11)</f>
        <v>1114.5</v>
      </c>
      <c r="AP9" s="733"/>
      <c r="AQ9" s="1710">
        <f>SUM(AQ10:AQ11)</f>
        <v>277.7</v>
      </c>
      <c r="AR9" s="478">
        <f>SUM(AR10:AR11)</f>
        <v>300.89999999999998</v>
      </c>
      <c r="AS9" s="478">
        <f>SUM(AS10:AS11)</f>
        <v>310.2</v>
      </c>
      <c r="AT9" s="478">
        <f>SUM(AT10:AT11)</f>
        <v>416.1</v>
      </c>
      <c r="AU9" s="817">
        <f>SUM(AU10:AU11)</f>
        <v>1304.9000000000001</v>
      </c>
      <c r="AV9" s="733"/>
      <c r="AW9" s="1710">
        <f>SUM(AW10:AW11)</f>
        <v>357</v>
      </c>
      <c r="AX9" s="478">
        <f>SUM(AX10:AX11)</f>
        <v>401.20000000000005</v>
      </c>
      <c r="AY9" s="478">
        <f>SUM(AY10:AY11)</f>
        <v>418.4</v>
      </c>
      <c r="AZ9" s="478">
        <f>SUM(AZ10:AZ11)</f>
        <v>475.09999999999991</v>
      </c>
      <c r="BA9" s="817">
        <f>SUM(BA10:BA11)</f>
        <v>1651.6999999999998</v>
      </c>
      <c r="BB9" s="733"/>
      <c r="BC9" s="1710">
        <f>SUM(BC10:BC11)</f>
        <v>405.6</v>
      </c>
      <c r="BD9" s="478">
        <f>SUM(BD10:BD11)</f>
        <v>420.70000000000005</v>
      </c>
      <c r="BE9" s="478">
        <f>SUM(BE10:BE11)</f>
        <v>447.8</v>
      </c>
      <c r="BF9" s="478">
        <f>SUM(BF10:BF11)</f>
        <v>517.30000000000007</v>
      </c>
      <c r="BG9" s="817">
        <f>SUM(BG10:BG11)</f>
        <v>1791.4</v>
      </c>
      <c r="BH9" s="733"/>
      <c r="BI9" s="1710">
        <f>SUM(BI10:BI11)</f>
        <v>393.40000000000003</v>
      </c>
      <c r="BJ9" s="478">
        <f>SUM(BJ10:BJ11)</f>
        <v>454.90000000000003</v>
      </c>
      <c r="BK9" s="478">
        <f>SUM(BK10:BK11)</f>
        <v>439</v>
      </c>
      <c r="BL9" s="478">
        <f>SUM(BL10:BL11)</f>
        <v>552.1</v>
      </c>
      <c r="BM9" s="817">
        <f>SUM(BM10:BM11)</f>
        <v>1839.4</v>
      </c>
      <c r="BN9" s="733"/>
      <c r="BO9" s="1710">
        <f>SUM(BO10:BO11)</f>
        <v>423.70000000000005</v>
      </c>
      <c r="BP9" s="478">
        <f>SUM(BP10:BP11)</f>
        <v>457.4</v>
      </c>
      <c r="BQ9" s="478">
        <f>SUM(BQ10:BQ11)</f>
        <v>419.8</v>
      </c>
      <c r="BR9" s="478">
        <f>SUM(BR10:BR11)</f>
        <v>508.00000000000006</v>
      </c>
      <c r="BS9" s="817">
        <f>SUM(BS10:BS11)</f>
        <v>1808.9</v>
      </c>
      <c r="BT9" s="733"/>
      <c r="BU9" s="1710">
        <f>SUM(BU10:BU11)</f>
        <v>353.5</v>
      </c>
      <c r="BV9" s="478">
        <f>SUM(BV10:BV11)</f>
        <v>396</v>
      </c>
      <c r="BW9" s="478">
        <f>SUM(BW10:BW11)</f>
        <v>396.1</v>
      </c>
      <c r="BX9" s="478">
        <f>SUM(BX10:BX11)</f>
        <v>478.19999999999982</v>
      </c>
      <c r="BY9" s="817">
        <f>SUM(BY10:BY11)</f>
        <v>1623.8</v>
      </c>
      <c r="BZ9" s="733"/>
      <c r="CA9" s="1710">
        <f>SUM(CA10:CA11)</f>
        <v>375.40000000000003</v>
      </c>
      <c r="CB9" s="478">
        <f>SUM(CB10:CB11)</f>
        <v>371.70000000000005</v>
      </c>
      <c r="CC9" s="478">
        <f>SUM(CC10:CC11)</f>
        <v>393.9</v>
      </c>
      <c r="CD9" s="478">
        <f>SUM(CD10:CD11)</f>
        <v>470.29999999999995</v>
      </c>
      <c r="CE9" s="817">
        <f>SUM(CE10:CE11)</f>
        <v>1611.3000000000002</v>
      </c>
      <c r="CF9" s="733"/>
      <c r="CG9" s="1710">
        <f>SUM(CG10:CG11)</f>
        <v>384.9</v>
      </c>
      <c r="CH9" s="478">
        <f>SUM(CH10:CH11)</f>
        <v>414.9</v>
      </c>
      <c r="CI9" s="478">
        <f>SUM(CI10:CI11)</f>
        <v>435.59999999999997</v>
      </c>
      <c r="CJ9" s="2382">
        <f>SUM(CJ10:CJ11)</f>
        <v>530.50000000000023</v>
      </c>
      <c r="CK9" s="817">
        <f>SUM(CK10:CK11)</f>
        <v>1765.9</v>
      </c>
      <c r="CL9" s="733"/>
      <c r="CM9" s="1714">
        <f>RevBuild!CM75</f>
        <v>423.67719212356712</v>
      </c>
      <c r="CN9" s="1712">
        <f>RevBuild!CN75</f>
        <v>434.28431579916509</v>
      </c>
      <c r="CO9" s="1712">
        <f>RevBuild!CO75</f>
        <v>450.99979220185833</v>
      </c>
      <c r="CP9" s="1713">
        <f>RevBuild!CP75</f>
        <v>557.78771178427723</v>
      </c>
      <c r="CQ9" s="817">
        <f>SUM(CM9:CP9)</f>
        <v>1866.7490119088677</v>
      </c>
      <c r="CR9" s="733"/>
      <c r="CS9" s="1714">
        <f>RevBuild!CS75</f>
        <v>431.04260438906022</v>
      </c>
      <c r="CT9" s="1712">
        <f>RevBuild!CT75</f>
        <v>449.4041565537683</v>
      </c>
      <c r="CU9" s="1712">
        <f>RevBuild!CU75</f>
        <v>457.78929117749834</v>
      </c>
      <c r="CV9" s="1713">
        <f>RevBuild!CV75</f>
        <v>584.88759699941534</v>
      </c>
      <c r="CW9" s="817">
        <f>SUM(CS9:CV9)</f>
        <v>1923.1236491197421</v>
      </c>
      <c r="CX9" s="1826"/>
      <c r="CY9" s="1714">
        <f>RevBuild!CY75</f>
        <v>442.66440709619286</v>
      </c>
      <c r="CZ9" s="1712">
        <f>RevBuild!CZ75</f>
        <v>453.8948027185067</v>
      </c>
      <c r="DA9" s="1712">
        <f>RevBuild!DA75</f>
        <v>473.67666555024914</v>
      </c>
      <c r="DB9" s="1713">
        <f>RevBuild!DB75</f>
        <v>596.03831619289554</v>
      </c>
      <c r="DC9" s="817">
        <f>SUM(CY9:DB9)</f>
        <v>1966.2741915578442</v>
      </c>
      <c r="DD9" s="1826"/>
      <c r="DE9" s="1714">
        <f>RevBuild!DE75</f>
        <v>449.85713597755313</v>
      </c>
      <c r="DF9" s="1712">
        <f>RevBuild!DF75</f>
        <v>468.52225147081901</v>
      </c>
      <c r="DG9" s="1712">
        <f>RevBuild!DG75</f>
        <v>480.76509934093394</v>
      </c>
      <c r="DH9" s="1713">
        <f>RevBuild!DH75</f>
        <v>612.82352954560815</v>
      </c>
      <c r="DI9" s="817">
        <f>SUM(DE9:DH9)</f>
        <v>2011.9680163349142</v>
      </c>
      <c r="DJ9"/>
      <c r="DK9"/>
      <c r="DL9"/>
      <c r="DM9"/>
      <c r="DN9"/>
      <c r="DO9"/>
      <c r="DP9" s="1822"/>
      <c r="DU9" s="1718" t="s">
        <v>454</v>
      </c>
      <c r="DV9" s="477" t="s">
        <v>455</v>
      </c>
      <c r="DW9" s="477" t="s">
        <v>456</v>
      </c>
    </row>
    <row r="10" spans="1:127" s="16" customFormat="1" ht="11.25" hidden="1" customHeight="1" outlineLevel="1">
      <c r="A10" s="1693" t="s">
        <v>4</v>
      </c>
      <c r="B10" s="477"/>
      <c r="C10" s="1101">
        <v>40.156999999999996</v>
      </c>
      <c r="D10" s="1716"/>
      <c r="E10" s="1101">
        <v>60.62</v>
      </c>
      <c r="F10" s="1716"/>
      <c r="G10" s="1101">
        <v>74.772000000000006</v>
      </c>
      <c r="H10" s="1716"/>
      <c r="I10" s="1101">
        <v>91.765000000000001</v>
      </c>
      <c r="J10" s="1716"/>
      <c r="K10" s="1101">
        <v>220.44</v>
      </c>
      <c r="L10" s="1716"/>
      <c r="M10" s="1101">
        <v>239.05600000000001</v>
      </c>
      <c r="N10" s="1716"/>
      <c r="O10" s="1101">
        <v>249.929</v>
      </c>
      <c r="P10" s="1716"/>
      <c r="Q10" s="24">
        <f>329.452</f>
        <v>329.452</v>
      </c>
      <c r="R10" s="1716"/>
      <c r="S10" s="1107">
        <v>83.840999999999994</v>
      </c>
      <c r="T10" s="1717">
        <v>88.334999999999994</v>
      </c>
      <c r="U10" s="1717">
        <v>91.927999999999997</v>
      </c>
      <c r="V10" s="23">
        <f>384.548-S10-T10-U10</f>
        <v>120.44400000000002</v>
      </c>
      <c r="W10" s="13">
        <f>SUM(S10:V10)</f>
        <v>384.548</v>
      </c>
      <c r="X10" s="1716"/>
      <c r="Y10" s="1107">
        <v>181.60900000000001</v>
      </c>
      <c r="Z10" s="1717">
        <v>210.17699999999999</v>
      </c>
      <c r="AA10" s="1717">
        <v>215.83799999999999</v>
      </c>
      <c r="AB10" s="23">
        <f>913.2-Y10-Z10-AA10</f>
        <v>305.57600000000002</v>
      </c>
      <c r="AC10" s="13">
        <f>SUM(Y10:AB10)</f>
        <v>913.2</v>
      </c>
      <c r="AD10" s="1716"/>
      <c r="AE10" s="1107">
        <v>208.3</v>
      </c>
      <c r="AF10" s="1717">
        <v>280.3</v>
      </c>
      <c r="AG10" s="1717">
        <v>211.8</v>
      </c>
      <c r="AH10" s="23">
        <f>974.9-AE10-AF10-AG10</f>
        <v>274.49999999999989</v>
      </c>
      <c r="AI10" s="13">
        <f>SUM(AE10:AH10)</f>
        <v>974.9</v>
      </c>
      <c r="AJ10" s="477"/>
      <c r="AK10" s="1107">
        <v>202.2</v>
      </c>
      <c r="AL10" s="1717">
        <v>222.9</v>
      </c>
      <c r="AM10" s="1717">
        <v>230.7</v>
      </c>
      <c r="AN10" s="23">
        <f>985.3-SUM(AK10:AM10)</f>
        <v>329.5</v>
      </c>
      <c r="AO10" s="13">
        <f>SUM(AK10:AN10)</f>
        <v>985.3</v>
      </c>
      <c r="AP10" s="15"/>
      <c r="AQ10" s="1107">
        <v>244</v>
      </c>
      <c r="AR10" s="1717">
        <v>267</v>
      </c>
      <c r="AS10" s="1717">
        <v>269.7</v>
      </c>
      <c r="AT10" s="23">
        <f>1145.4-SUM(AQ10:AS10)</f>
        <v>364.70000000000005</v>
      </c>
      <c r="AU10" s="13">
        <f>SUM(AQ10:AT10)</f>
        <v>1145.4000000000001</v>
      </c>
      <c r="AV10" s="15"/>
      <c r="AW10" s="1107">
        <v>312.10000000000002</v>
      </c>
      <c r="AX10" s="1717">
        <v>352.1</v>
      </c>
      <c r="AY10" s="1717">
        <v>366.5</v>
      </c>
      <c r="AZ10" s="23">
        <f>1445.6-SUM(AW10:AY10)</f>
        <v>414.89999999999986</v>
      </c>
      <c r="BA10" s="13">
        <f>SUM(AW10:AZ10)</f>
        <v>1445.6</v>
      </c>
      <c r="BB10" s="15"/>
      <c r="BC10" s="1107">
        <v>351.8</v>
      </c>
      <c r="BD10" s="1717">
        <v>370.6</v>
      </c>
      <c r="BE10" s="1717">
        <v>378.6</v>
      </c>
      <c r="BF10" s="23">
        <f>1791.4-SUM(BC10:BE10)-SUM(BC11:BF11)</f>
        <v>455.50000000000011</v>
      </c>
      <c r="BG10" s="13">
        <f>SUM(BC10:BF10)</f>
        <v>1556.5</v>
      </c>
      <c r="BH10" s="15"/>
      <c r="BI10" s="1107">
        <v>339.3</v>
      </c>
      <c r="BJ10" s="1717">
        <v>395.6</v>
      </c>
      <c r="BK10" s="1717">
        <v>385</v>
      </c>
      <c r="BL10" s="23">
        <f>1611.4-BK10-BJ10-BI10</f>
        <v>491.50000000000006</v>
      </c>
      <c r="BM10" s="13">
        <f>SUM(BI10:BL10)</f>
        <v>1611.4</v>
      </c>
      <c r="BN10" s="15"/>
      <c r="BO10" s="1107">
        <v>366.1</v>
      </c>
      <c r="BP10" s="1717">
        <v>398.9</v>
      </c>
      <c r="BQ10" s="1717">
        <v>362.2</v>
      </c>
      <c r="BR10" s="23">
        <f>1571.9-BQ10-BP10-BO10</f>
        <v>444.70000000000005</v>
      </c>
      <c r="BS10" s="13">
        <f>SUM(BO10:BR10)</f>
        <v>1571.9</v>
      </c>
      <c r="BT10" s="15"/>
      <c r="BU10" s="1828">
        <v>298</v>
      </c>
      <c r="BV10" s="1829">
        <v>336.2</v>
      </c>
      <c r="BW10" s="1829">
        <v>334.6</v>
      </c>
      <c r="BX10" s="23">
        <f>1381.1-SUM(BU10:BW10)</f>
        <v>412.29999999999984</v>
      </c>
      <c r="BY10" s="13">
        <f>SUM(BU10:BX10)</f>
        <v>1381.1</v>
      </c>
      <c r="BZ10" s="15"/>
      <c r="CA10" s="1828">
        <v>312.3</v>
      </c>
      <c r="CB10" s="1831">
        <v>305.60000000000002</v>
      </c>
      <c r="CC10" s="1831">
        <v>328.2</v>
      </c>
      <c r="CD10" s="23">
        <f>1345.4-SUM(CA10:CC10)</f>
        <v>399.29999999999995</v>
      </c>
      <c r="CE10" s="13">
        <f>SUM(CA10:CD10)</f>
        <v>1345.4</v>
      </c>
      <c r="CF10" s="15"/>
      <c r="CG10" s="1828">
        <v>318.89999999999998</v>
      </c>
      <c r="CH10" s="1831">
        <v>345.9</v>
      </c>
      <c r="CI10" s="1831">
        <v>364.4</v>
      </c>
      <c r="CJ10" s="1877">
        <f>1479.5-SUM(CG10:CI10)</f>
        <v>450.30000000000018</v>
      </c>
      <c r="CK10" s="13">
        <f>SUM(CG10:CJ10)</f>
        <v>1479.5</v>
      </c>
      <c r="CL10" s="15"/>
      <c r="CM10" s="822"/>
      <c r="CN10" s="15"/>
      <c r="CO10" s="15"/>
      <c r="CP10" s="1692"/>
      <c r="CQ10" s="13"/>
      <c r="CR10" s="15"/>
      <c r="CS10" s="822"/>
      <c r="CT10" s="15"/>
      <c r="CU10" s="15"/>
      <c r="CV10" s="1692"/>
      <c r="CW10" s="13"/>
      <c r="CX10" s="477"/>
      <c r="CY10" s="822"/>
      <c r="CZ10" s="15"/>
      <c r="DA10" s="15"/>
      <c r="DB10" s="1692"/>
      <c r="DC10" s="13"/>
      <c r="DD10" s="477"/>
      <c r="DE10" s="822"/>
      <c r="DF10" s="15"/>
      <c r="DG10" s="15"/>
      <c r="DH10" s="1692"/>
      <c r="DI10" s="13"/>
      <c r="DJ10"/>
      <c r="DK10"/>
      <c r="DL10"/>
      <c r="DM10"/>
      <c r="DN10"/>
      <c r="DO10"/>
      <c r="DU10" s="477">
        <v>3900</v>
      </c>
      <c r="DV10" s="477">
        <v>3700</v>
      </c>
      <c r="DW10" s="477">
        <v>3500</v>
      </c>
    </row>
    <row r="11" spans="1:127" s="16" customFormat="1" ht="11.25" hidden="1" customHeight="1" outlineLevel="1">
      <c r="A11" s="1693" t="s">
        <v>15</v>
      </c>
      <c r="B11" s="477"/>
      <c r="C11" s="1101">
        <v>2.0499999999999998</v>
      </c>
      <c r="D11" s="1716"/>
      <c r="E11" s="1101">
        <v>4.07</v>
      </c>
      <c r="F11" s="1716"/>
      <c r="G11" s="1101">
        <v>1.83</v>
      </c>
      <c r="H11" s="1716"/>
      <c r="I11" s="1101">
        <v>0.92600000000000005</v>
      </c>
      <c r="J11" s="1716"/>
      <c r="K11" s="1101">
        <v>0.218</v>
      </c>
      <c r="L11" s="1716"/>
      <c r="M11" s="24">
        <f>20.325+1.298</f>
        <v>21.622999999999998</v>
      </c>
      <c r="N11" s="1716"/>
      <c r="O11" s="24">
        <f>32.298+2.189</f>
        <v>34.487000000000002</v>
      </c>
      <c r="P11" s="1716"/>
      <c r="Q11" s="24">
        <f>40.471+2.33</f>
        <v>42.800999999999995</v>
      </c>
      <c r="R11" s="1716"/>
      <c r="S11" s="1455">
        <f>10.371+0.644</f>
        <v>11.015000000000001</v>
      </c>
      <c r="T11" s="1439">
        <f>11.899+0.249</f>
        <v>12.148</v>
      </c>
      <c r="U11" s="1439">
        <f>12.684+0.258</f>
        <v>12.942</v>
      </c>
      <c r="V11" s="23">
        <f>49.93+1.356-S11-T11-U11</f>
        <v>15.181000000000001</v>
      </c>
      <c r="W11" s="13">
        <f>SUM(S11:V11)</f>
        <v>51.286000000000001</v>
      </c>
      <c r="X11" s="1716"/>
      <c r="Y11" s="1455">
        <f>25.187+0.74</f>
        <v>25.927</v>
      </c>
      <c r="Z11" s="1439">
        <f>27.57+0.595</f>
        <v>28.164999999999999</v>
      </c>
      <c r="AA11" s="1439">
        <f>24.848+1.074</f>
        <v>25.922000000000001</v>
      </c>
      <c r="AB11" s="23">
        <f>115.4+3.8-Y11-Z11-AA11</f>
        <v>39.186000000000007</v>
      </c>
      <c r="AC11" s="13">
        <f>SUM(Y11:AB11)</f>
        <v>119.2</v>
      </c>
      <c r="AD11" s="1716"/>
      <c r="AE11" s="1455">
        <f>28.7+1.3</f>
        <v>30</v>
      </c>
      <c r="AF11" s="1439">
        <f>30.2+1</f>
        <v>31.2</v>
      </c>
      <c r="AG11" s="1439">
        <f>28.8+1.5</f>
        <v>30.3</v>
      </c>
      <c r="AH11" s="23">
        <f>126.9+5.3-AE11-AF11-AG11</f>
        <v>40.700000000000017</v>
      </c>
      <c r="AI11" s="13">
        <f>SUM(AE11:AH11)</f>
        <v>132.20000000000002</v>
      </c>
      <c r="AJ11" s="477"/>
      <c r="AK11" s="1455">
        <f>26.9+1.4</f>
        <v>28.299999999999997</v>
      </c>
      <c r="AL11" s="1439">
        <f>28.3+1.3</f>
        <v>29.6</v>
      </c>
      <c r="AM11" s="1439">
        <f>32.4+2</f>
        <v>34.4</v>
      </c>
      <c r="AN11" s="23">
        <f>122.4+6.8-SUM(AK11:AM11)</f>
        <v>36.90000000000002</v>
      </c>
      <c r="AO11" s="13">
        <f>SUM(AK11:AN11)</f>
        <v>129.20000000000002</v>
      </c>
      <c r="AP11" s="15"/>
      <c r="AQ11" s="1455">
        <f>31.5+2.2</f>
        <v>33.700000000000003</v>
      </c>
      <c r="AR11" s="1439">
        <f>32.5+1.4</f>
        <v>33.9</v>
      </c>
      <c r="AS11" s="1439">
        <f>39.1+1.4</f>
        <v>40.5</v>
      </c>
      <c r="AT11" s="23">
        <f>151.1+8.4-SUM(AQ11:AS11)</f>
        <v>51.400000000000006</v>
      </c>
      <c r="AU11" s="13">
        <f>SUM(AQ11:AT11)</f>
        <v>159.5</v>
      </c>
      <c r="AV11" s="15"/>
      <c r="AW11" s="1455">
        <f>43.6+1.3</f>
        <v>44.9</v>
      </c>
      <c r="AX11" s="1439">
        <f>46.8+2.3</f>
        <v>49.099999999999994</v>
      </c>
      <c r="AY11" s="1439">
        <f>49.8+2.1</f>
        <v>51.9</v>
      </c>
      <c r="AZ11" s="23">
        <f>194.8+11.3-SUM(AW11:AY11)</f>
        <v>60.200000000000017</v>
      </c>
      <c r="BA11" s="13">
        <f>SUM(AW11:AZ11)</f>
        <v>206.10000000000002</v>
      </c>
      <c r="BB11" s="15"/>
      <c r="BC11" s="1455">
        <f>52.1+1.7</f>
        <v>53.800000000000004</v>
      </c>
      <c r="BD11" s="1439">
        <f>47.2+2.9</f>
        <v>50.1</v>
      </c>
      <c r="BE11" s="1439">
        <f>50.9+18.3</f>
        <v>69.2</v>
      </c>
      <c r="BF11" s="23">
        <f>210+24.9-BE11-BD11-BC11</f>
        <v>61.79999999999999</v>
      </c>
      <c r="BG11" s="13">
        <f>SUM(BC11:BF11)</f>
        <v>234.9</v>
      </c>
      <c r="BH11" s="15"/>
      <c r="BI11" s="1455">
        <f>53.5+0.6</f>
        <v>54.1</v>
      </c>
      <c r="BJ11" s="1439">
        <f>52.7+6.6</f>
        <v>59.300000000000004</v>
      </c>
      <c r="BK11" s="1439">
        <f>53.1+0.9</f>
        <v>54</v>
      </c>
      <c r="BL11" s="23">
        <f>219.3+8.7-BK11-BJ11-BI11</f>
        <v>60.599999999999987</v>
      </c>
      <c r="BM11" s="13">
        <f>SUM(BI11:BL11)</f>
        <v>228</v>
      </c>
      <c r="BN11" s="15"/>
      <c r="BO11" s="1455">
        <f>57+0.6</f>
        <v>57.6</v>
      </c>
      <c r="BP11" s="1439">
        <f>57.7+0.8</f>
        <v>58.5</v>
      </c>
      <c r="BQ11" s="1439">
        <f>56+1.6</f>
        <v>57.6</v>
      </c>
      <c r="BR11" s="23">
        <f>231.8+5.2-BQ11-BP11-BO11</f>
        <v>63.300000000000004</v>
      </c>
      <c r="BS11" s="13">
        <f>SUM(BO11:BR11)</f>
        <v>237</v>
      </c>
      <c r="BT11" s="15"/>
      <c r="BU11" s="1828">
        <f>54.1+1.4</f>
        <v>55.5</v>
      </c>
      <c r="BV11" s="1829">
        <f>58.2+1.6</f>
        <v>59.800000000000004</v>
      </c>
      <c r="BW11" s="1829">
        <f>58.8+2.7</f>
        <v>61.5</v>
      </c>
      <c r="BX11" s="23">
        <f>235.5+7.2-SUM(BU11:BW11)</f>
        <v>65.899999999999977</v>
      </c>
      <c r="BY11" s="13">
        <f>SUM(BU11:BX11)</f>
        <v>242.7</v>
      </c>
      <c r="BZ11" s="15"/>
      <c r="CA11" s="1828">
        <f>60.7+2.4</f>
        <v>63.1</v>
      </c>
      <c r="CB11" s="1831">
        <f>63.5+2.6</f>
        <v>66.099999999999994</v>
      </c>
      <c r="CC11" s="1831">
        <f>62.3+3.4</f>
        <v>65.7</v>
      </c>
      <c r="CD11" s="23">
        <f>254.7+11.2-SUM(CA11:CC11)</f>
        <v>71</v>
      </c>
      <c r="CE11" s="13">
        <f>SUM(CA11:CD11)</f>
        <v>265.89999999999998</v>
      </c>
      <c r="CF11" s="15"/>
      <c r="CG11" s="1828">
        <f>63.3+2.7</f>
        <v>66</v>
      </c>
      <c r="CH11" s="1831">
        <f>67.1+1.9</f>
        <v>69</v>
      </c>
      <c r="CI11" s="1831">
        <f>70+1.2</f>
        <v>71.2</v>
      </c>
      <c r="CJ11" s="1877">
        <f>278.2+8.2-SUM(CG11:CI11)</f>
        <v>80.199999999999989</v>
      </c>
      <c r="CK11" s="13">
        <f>SUM(CG11:CJ11)</f>
        <v>286.39999999999998</v>
      </c>
      <c r="CL11" s="15"/>
      <c r="CM11" s="822"/>
      <c r="CN11" s="15"/>
      <c r="CO11" s="15"/>
      <c r="CP11" s="1692"/>
      <c r="CQ11" s="13"/>
      <c r="CR11" s="15"/>
      <c r="CS11" s="822"/>
      <c r="CT11" s="15"/>
      <c r="CU11" s="15"/>
      <c r="CV11" s="1692"/>
      <c r="CW11" s="13"/>
      <c r="CX11" s="477"/>
      <c r="CY11" s="822"/>
      <c r="CZ11" s="15"/>
      <c r="DA11" s="15"/>
      <c r="DB11" s="1692"/>
      <c r="DC11" s="13"/>
      <c r="DD11" s="477"/>
      <c r="DE11" s="822"/>
      <c r="DF11" s="15"/>
      <c r="DG11" s="15"/>
      <c r="DH11" s="1692"/>
      <c r="DI11" s="13"/>
      <c r="DJ11"/>
      <c r="DK11"/>
      <c r="DL11"/>
      <c r="DM11"/>
      <c r="DN11"/>
      <c r="DO11"/>
      <c r="DU11" s="1715"/>
      <c r="DV11" s="1715"/>
      <c r="DW11" s="1715"/>
    </row>
    <row r="12" spans="1:127" s="1721" customFormat="1" ht="11.25" customHeight="1" collapsed="1">
      <c r="A12" s="13" t="s">
        <v>6</v>
      </c>
      <c r="B12" s="15"/>
      <c r="C12" s="13">
        <f>SUM(C13:C14)</f>
        <v>19.672000000000001</v>
      </c>
      <c r="D12" s="822"/>
      <c r="E12" s="13">
        <f>SUM(E13:E14)</f>
        <v>31.617999999999999</v>
      </c>
      <c r="F12" s="822"/>
      <c r="G12" s="13">
        <f>SUM(G13:G14)</f>
        <v>35.587000000000003</v>
      </c>
      <c r="H12" s="822"/>
      <c r="I12" s="13">
        <f>SUM(I13:I14)</f>
        <v>43.588000000000001</v>
      </c>
      <c r="J12" s="822"/>
      <c r="K12" s="13">
        <f>SUM(K13:K14)</f>
        <v>118.286</v>
      </c>
      <c r="L12" s="822"/>
      <c r="M12" s="13">
        <f>SUM(M13:M14)</f>
        <v>153.30000000000001</v>
      </c>
      <c r="N12" s="822"/>
      <c r="O12" s="13">
        <f>SUM(O13:O14)</f>
        <v>165.94</v>
      </c>
      <c r="P12" s="822"/>
      <c r="Q12" s="13">
        <f>SUM(Q13:Q14)</f>
        <v>206.274</v>
      </c>
      <c r="R12" s="822"/>
      <c r="S12" s="1719">
        <f>SUM(S13:S14)</f>
        <v>51.1</v>
      </c>
      <c r="T12" s="1720">
        <f>SUM(T13:T14)</f>
        <v>54.260000000000005</v>
      </c>
      <c r="U12" s="1720">
        <f>SUM(U13:U14)</f>
        <v>58.686999999999998</v>
      </c>
      <c r="V12" s="1720">
        <f>SUM(V13:V14)</f>
        <v>72.452999999999989</v>
      </c>
      <c r="W12" s="816">
        <f>SUM(W13:W14)</f>
        <v>236.5</v>
      </c>
      <c r="X12" s="822"/>
      <c r="Y12" s="1719">
        <f>SUM(Y13:Y14)</f>
        <v>112.988</v>
      </c>
      <c r="Z12" s="1720">
        <f>SUM(Z13:Z14)</f>
        <v>138.42699999999999</v>
      </c>
      <c r="AA12" s="1720">
        <f>SUM(AA13:AA14)</f>
        <v>130.65200000000002</v>
      </c>
      <c r="AB12" s="1720">
        <f>SUM(AB13:AB14)</f>
        <v>174.73299999999998</v>
      </c>
      <c r="AC12" s="816">
        <f>SUM(AC13:AC14)</f>
        <v>556.80000000000007</v>
      </c>
      <c r="AD12" s="822"/>
      <c r="AE12" s="1719">
        <f>SUM(AE13:AE14)</f>
        <v>124.30000000000001</v>
      </c>
      <c r="AF12" s="1720">
        <f>SUM(AF13:AF14)</f>
        <v>181.9</v>
      </c>
      <c r="AG12" s="1720">
        <f>SUM(AG13:AG14)</f>
        <v>131</v>
      </c>
      <c r="AH12" s="1720">
        <f>SUM(AH13:AH14)</f>
        <v>164.9</v>
      </c>
      <c r="AI12" s="816">
        <f>SUM(AI13:AI14)</f>
        <v>602.1</v>
      </c>
      <c r="AJ12" s="15"/>
      <c r="AK12" s="1716">
        <f>SUM(AK13:AK14)</f>
        <v>127.80000000000001</v>
      </c>
      <c r="AL12" s="477">
        <f>SUM(AL13:AL14)</f>
        <v>141.30000000000001</v>
      </c>
      <c r="AM12" s="477">
        <f>SUM(AM13:AM14)</f>
        <v>145.9</v>
      </c>
      <c r="AN12" s="477">
        <f>SUM(AN13:AN14)</f>
        <v>187.60000000000008</v>
      </c>
      <c r="AO12" s="13">
        <f>SUM(AO13:AO14)</f>
        <v>602.60000000000014</v>
      </c>
      <c r="AP12" s="15"/>
      <c r="AQ12" s="1716">
        <f>SUM(AQ13:AQ14)</f>
        <v>151.19999999999999</v>
      </c>
      <c r="AR12" s="477">
        <f>SUM(AR13:AR14)</f>
        <v>164.8</v>
      </c>
      <c r="AS12" s="477">
        <f>SUM(AS13:AS14)</f>
        <v>158.19999999999999</v>
      </c>
      <c r="AT12" s="477">
        <f>SUM(AT13:AT14)</f>
        <v>213.10000000000005</v>
      </c>
      <c r="AU12" s="13">
        <f>SUM(AU13:AU14)</f>
        <v>687.3</v>
      </c>
      <c r="AV12" s="15"/>
      <c r="AW12" s="1716">
        <f>SUM(AW13:AW14)</f>
        <v>187.5</v>
      </c>
      <c r="AX12" s="477">
        <f>SUM(AX13:AX14)</f>
        <v>208.79999999999995</v>
      </c>
      <c r="AY12" s="477">
        <f>SUM(AY13:AY14)</f>
        <v>223.3</v>
      </c>
      <c r="AZ12" s="477">
        <f>SUM(AZ13:AZ14)</f>
        <v>254.10000000000008</v>
      </c>
      <c r="BA12" s="13">
        <f>SUM(BA13:BA14)</f>
        <v>873.7</v>
      </c>
      <c r="BB12" s="15"/>
      <c r="BC12" s="1716">
        <f>SUM(BC13:BC14)</f>
        <v>210.20000000000005</v>
      </c>
      <c r="BD12" s="477">
        <f>SUM(BD13:BD14)</f>
        <v>226.10000000000002</v>
      </c>
      <c r="BE12" s="477">
        <f>SUM(BE13:BE14)</f>
        <v>231.4</v>
      </c>
      <c r="BF12" s="477">
        <f>SUM(BF13:BF14)</f>
        <v>270.39999999999998</v>
      </c>
      <c r="BG12" s="13">
        <f>SUM(BC12:BF12)</f>
        <v>938.1</v>
      </c>
      <c r="BH12" s="15"/>
      <c r="BI12" s="1716">
        <f>SUM(BI13:BI14)</f>
        <v>213.9</v>
      </c>
      <c r="BJ12" s="477">
        <f>SUM(BJ13:BJ14)</f>
        <v>248.40000000000003</v>
      </c>
      <c r="BK12" s="477">
        <f>SUM(BK13:BK14)</f>
        <v>240.8</v>
      </c>
      <c r="BL12" s="477">
        <f>SUM(BL13:BL14)</f>
        <v>303.8</v>
      </c>
      <c r="BM12" s="13">
        <f>SUM(BI12:BL12)</f>
        <v>1006.9000000000001</v>
      </c>
      <c r="BN12" s="15"/>
      <c r="BO12" s="1716">
        <f>SUM(BO13:BO14)</f>
        <v>236.5</v>
      </c>
      <c r="BP12" s="477">
        <f>SUM(BP13:BP14)</f>
        <v>245.60000000000002</v>
      </c>
      <c r="BQ12" s="477">
        <f>SUM(BQ13:BQ14)</f>
        <v>234.3</v>
      </c>
      <c r="BR12" s="477">
        <f>SUM(BR13:BR14)</f>
        <v>284.79999999999995</v>
      </c>
      <c r="BS12" s="13">
        <f>SUM(BO12:BR12)</f>
        <v>1001.2</v>
      </c>
      <c r="BT12" s="15"/>
      <c r="BU12" s="1716">
        <f>SUM(BU13:BU14)</f>
        <v>186.4</v>
      </c>
      <c r="BV12" s="477">
        <f>SUM(BV13:BV14)</f>
        <v>217.60000000000002</v>
      </c>
      <c r="BW12" s="477">
        <f>SUM(BW13:BW14)</f>
        <v>213.4</v>
      </c>
      <c r="BX12" s="477">
        <f>SUM(BX13:BX14)</f>
        <v>255.39999999999992</v>
      </c>
      <c r="BY12" s="13">
        <f>SUM(BU12:BX12)</f>
        <v>872.8</v>
      </c>
      <c r="BZ12" s="15"/>
      <c r="CA12" s="1716">
        <f>SUM(CA13:CA14)</f>
        <v>200</v>
      </c>
      <c r="CB12" s="477">
        <f>SUM(CB13:CB14)</f>
        <v>194.8</v>
      </c>
      <c r="CC12" s="477">
        <f>SUM(CC13:CC14)</f>
        <v>201.3</v>
      </c>
      <c r="CD12" s="477">
        <f>SUM(CD13:CD14)</f>
        <v>240.80000000000004</v>
      </c>
      <c r="CE12" s="13">
        <f>SUM(CA12:CD12)</f>
        <v>836.90000000000009</v>
      </c>
      <c r="CF12" s="15"/>
      <c r="CG12" s="1716">
        <f>SUM(CG13:CG14)</f>
        <v>201.5</v>
      </c>
      <c r="CH12" s="477">
        <f>SUM(CH13:CH14)</f>
        <v>221.6</v>
      </c>
      <c r="CI12" s="477">
        <f>SUM(CI13:CI14)</f>
        <v>228.2</v>
      </c>
      <c r="CJ12" s="15">
        <f>SUM(CJ13:CJ14)</f>
        <v>265.5</v>
      </c>
      <c r="CK12" s="13">
        <f>SUM(CG12:CJ12)</f>
        <v>916.8</v>
      </c>
      <c r="CL12" s="15"/>
      <c r="CM12" s="1716">
        <f>CM9*(1-CM49)</f>
        <v>231.32774689946766</v>
      </c>
      <c r="CN12" s="477">
        <f>CN9*(1-CN49)</f>
        <v>237.11923642634414</v>
      </c>
      <c r="CO12" s="477">
        <f>CO9*(1-CO49)</f>
        <v>226.40189568533287</v>
      </c>
      <c r="CP12" s="477">
        <f>CP9*(1-CP49)</f>
        <v>257.69792284433606</v>
      </c>
      <c r="CQ12" s="13">
        <f>SUM(CM12:CP12)</f>
        <v>952.54680185548068</v>
      </c>
      <c r="CR12" s="15"/>
      <c r="CS12" s="1716">
        <f>CS9*(1-CS49)</f>
        <v>217.24547261208636</v>
      </c>
      <c r="CT12" s="477">
        <f>CT9*(1-CT49)</f>
        <v>226.49969490309923</v>
      </c>
      <c r="CU12" s="477">
        <f>CU9*(1-CU49)</f>
        <v>230.72580275345916</v>
      </c>
      <c r="CV12" s="477">
        <f>CV9*(1-CV49)</f>
        <v>294.78334888770536</v>
      </c>
      <c r="CW12" s="13">
        <f>SUM(CS12:CV12)</f>
        <v>969.25431915635022</v>
      </c>
      <c r="CX12" s="15"/>
      <c r="CY12" s="1716">
        <f>CY9*(1-CY49)</f>
        <v>220.44687473390405</v>
      </c>
      <c r="CZ12" s="477">
        <f>CZ9*(1-CZ49)</f>
        <v>226.03961175381633</v>
      </c>
      <c r="DA12" s="477">
        <f>DA9*(1-DA49)</f>
        <v>235.89097944402408</v>
      </c>
      <c r="DB12" s="477">
        <f>DB9*(1-DB49)</f>
        <v>296.82708146406196</v>
      </c>
      <c r="DC12" s="13">
        <f>SUM(CY12:DB12)</f>
        <v>979.20454739580646</v>
      </c>
      <c r="DD12" s="15"/>
      <c r="DE12" s="1716">
        <f>DE9*(1-DE49)</f>
        <v>220.87985376497858</v>
      </c>
      <c r="DF12" s="477">
        <f>DF9*(1-DF49)</f>
        <v>230.04442547217212</v>
      </c>
      <c r="DG12" s="477">
        <f>DG9*(1-DG49)</f>
        <v>236.05566377639857</v>
      </c>
      <c r="DH12" s="477">
        <f>DH9*(1-DH49)</f>
        <v>300.89635300689361</v>
      </c>
      <c r="DI12" s="13">
        <f>SUM(DE12:DH12)</f>
        <v>987.87629602044285</v>
      </c>
      <c r="DJ12"/>
      <c r="DK12"/>
      <c r="DL12"/>
      <c r="DM12"/>
      <c r="DN12"/>
      <c r="DO12"/>
      <c r="DQ12" s="1827"/>
      <c r="DU12" s="477">
        <f>+DU10*0.18</f>
        <v>702</v>
      </c>
      <c r="DV12" s="477">
        <f>+DV10*0.09</f>
        <v>333</v>
      </c>
      <c r="DW12" s="477">
        <f>+DW10*0.08</f>
        <v>280</v>
      </c>
    </row>
    <row r="13" spans="1:127" s="16" customFormat="1" ht="11.25" hidden="1" customHeight="1" outlineLevel="1">
      <c r="A13" s="1693" t="s">
        <v>4</v>
      </c>
      <c r="B13" s="15"/>
      <c r="C13" s="1101">
        <v>19.672000000000001</v>
      </c>
      <c r="D13" s="822"/>
      <c r="E13" s="1101">
        <v>31.617999999999999</v>
      </c>
      <c r="F13" s="822"/>
      <c r="G13" s="1101">
        <v>35.587000000000003</v>
      </c>
      <c r="H13" s="822"/>
      <c r="I13" s="1101">
        <v>43.588000000000001</v>
      </c>
      <c r="J13" s="822"/>
      <c r="K13" s="24">
        <f>118.986-(118.986-118.286)</f>
        <v>118.286</v>
      </c>
      <c r="L13" s="822"/>
      <c r="M13" s="24">
        <f>140.597-1.029</f>
        <v>139.56800000000001</v>
      </c>
      <c r="N13" s="822"/>
      <c r="O13" s="1101">
        <v>145.18799999999999</v>
      </c>
      <c r="P13" s="822"/>
      <c r="Q13" s="1101">
        <v>178.83099999999999</v>
      </c>
      <c r="R13" s="822"/>
      <c r="S13" s="1107">
        <v>44.713000000000001</v>
      </c>
      <c r="T13" s="1717">
        <v>48.042000000000002</v>
      </c>
      <c r="U13" s="1717">
        <v>50.658999999999999</v>
      </c>
      <c r="V13" s="23">
        <f>206.628-S13-T13-U13</f>
        <v>63.213999999999992</v>
      </c>
      <c r="W13" s="13">
        <f t="shared" ref="W13:W18" si="1">SUM(S13:V13)</f>
        <v>206.62799999999999</v>
      </c>
      <c r="X13" s="822"/>
      <c r="Y13" s="1107">
        <v>96.649000000000001</v>
      </c>
      <c r="Z13" s="1717">
        <v>120.81</v>
      </c>
      <c r="AA13" s="1717">
        <v>115.42400000000001</v>
      </c>
      <c r="AB13" s="23">
        <f>483.2-Y13-Z13-AA13</f>
        <v>150.31699999999998</v>
      </c>
      <c r="AC13" s="13">
        <f t="shared" ref="AC13:AC18" si="2">SUM(Y13:AB13)</f>
        <v>483.20000000000005</v>
      </c>
      <c r="AD13" s="822"/>
      <c r="AE13" s="1107">
        <v>105.2</v>
      </c>
      <c r="AF13" s="1717">
        <v>162.5</v>
      </c>
      <c r="AG13" s="1717">
        <v>114.6</v>
      </c>
      <c r="AH13" s="23">
        <f>527.5-AE13-AF13-AG13</f>
        <v>145.20000000000002</v>
      </c>
      <c r="AI13" s="13">
        <f t="shared" ref="AI13:AI18" si="3">SUM(AE13:AH13)</f>
        <v>527.5</v>
      </c>
      <c r="AJ13" s="15"/>
      <c r="AK13" s="1107">
        <v>111.7</v>
      </c>
      <c r="AL13" s="1717">
        <v>125.2</v>
      </c>
      <c r="AM13" s="1717">
        <v>127.9</v>
      </c>
      <c r="AN13" s="23">
        <f>525.2+6.7-SUM(AK13:AM13)</f>
        <v>167.10000000000008</v>
      </c>
      <c r="AO13" s="13">
        <f t="shared" ref="AO13:AO18" si="4">SUM(AK13:AN13)</f>
        <v>531.90000000000009</v>
      </c>
      <c r="AP13" s="15"/>
      <c r="AQ13" s="1455">
        <f>134.2-0.2</f>
        <v>134</v>
      </c>
      <c r="AR13" s="1439">
        <f>149.1+0.4-0.2-0.2-0.3</f>
        <v>148.80000000000001</v>
      </c>
      <c r="AS13" s="1439">
        <f>143.5+0.4-4.9-0.3-0.3</f>
        <v>138.39999999999998</v>
      </c>
      <c r="AT13" s="23">
        <f>621.5-SUM(AQ13:AS13)-10.6-1-4</f>
        <v>184.70000000000002</v>
      </c>
      <c r="AU13" s="13">
        <f t="shared" ref="AU13:AU18" si="5">SUM(AQ13:AT13)</f>
        <v>605.9</v>
      </c>
      <c r="AV13" s="15"/>
      <c r="AW13" s="1455">
        <f>167.4-4.1-0.3</f>
        <v>163</v>
      </c>
      <c r="AX13" s="1439">
        <f>188.2+3.5-5-0.3-3.4</f>
        <v>182.99999999999997</v>
      </c>
      <c r="AY13" s="1439">
        <f>198.4+4.2-1.3-0.2-4.1</f>
        <v>197</v>
      </c>
      <c r="AZ13" s="23">
        <f>792.5-9.3-1.1-14.8-SUM(AW13:AY13)</f>
        <v>224.30000000000007</v>
      </c>
      <c r="BA13" s="13">
        <f t="shared" ref="BA13:BA18" si="6">SUM(AW13:AZ13)</f>
        <v>767.30000000000007</v>
      </c>
      <c r="BB13" s="15"/>
      <c r="BC13" s="1455">
        <f>186.3-0.7-4.2</f>
        <v>181.40000000000003</v>
      </c>
      <c r="BD13" s="1439">
        <f>209.6-1.7-4.6</f>
        <v>203.3</v>
      </c>
      <c r="BE13" s="1439">
        <f>205.6-1.1-4.7</f>
        <v>199.8</v>
      </c>
      <c r="BF13" s="23">
        <f>960-SUM(BC13:BE13)-SUM(BC14:BF14)-3.3-18.6</f>
        <v>232.61999999999998</v>
      </c>
      <c r="BG13" s="13">
        <f t="shared" ref="BG13:BG18" si="7">SUM(BC13:BF13)</f>
        <v>817.12</v>
      </c>
      <c r="BH13" s="15"/>
      <c r="BI13" s="1455">
        <f>185.3-0.2-4.8</f>
        <v>180.3</v>
      </c>
      <c r="BJ13" s="1439">
        <f>217-0.2-4.7</f>
        <v>212.10000000000002</v>
      </c>
      <c r="BK13" s="23">
        <f>208.6-0.2-4.8</f>
        <v>203.6</v>
      </c>
      <c r="BL13" s="1722">
        <f>891.7-SUM(BI13:BK13)-7.1-0.9-19.3</f>
        <v>268.40000000000003</v>
      </c>
      <c r="BM13" s="13">
        <f>SUM(BI13:BL13)</f>
        <v>864.40000000000009</v>
      </c>
      <c r="BN13" s="15"/>
      <c r="BO13" s="1455">
        <f>207.1-2.2-0.5-4.8</f>
        <v>199.6</v>
      </c>
      <c r="BP13" s="1439">
        <f>217.2-6.7-4.4-0.2</f>
        <v>205.9</v>
      </c>
      <c r="BQ13" s="1439">
        <f>214.6-13.4-0.2-4.6</f>
        <v>196.4</v>
      </c>
      <c r="BR13" s="1722">
        <f>896-SUM(BO13:BQ13)-25-1.1-18.3</f>
        <v>249.7</v>
      </c>
      <c r="BS13" s="13">
        <f>SUM(BO13:BR13)</f>
        <v>851.59999999999991</v>
      </c>
      <c r="BT13" s="15"/>
      <c r="BU13" s="1828">
        <f>161.2-2-0.2-4.7</f>
        <v>154.30000000000001</v>
      </c>
      <c r="BV13" s="1829">
        <f>191.5-4.2-0.1-4.7</f>
        <v>182.50000000000003</v>
      </c>
      <c r="BW13" s="1829">
        <f>193.1-9.7-0.9-4.6</f>
        <v>177.9</v>
      </c>
      <c r="BX13" s="23">
        <f>774.2-21.2-2.5-18.7-SUM(BU13:BW13)</f>
        <v>217.09999999999991</v>
      </c>
      <c r="BY13" s="13">
        <f>SUM(BU13:BX13)</f>
        <v>731.8</v>
      </c>
      <c r="BZ13" s="15"/>
      <c r="CA13" s="1828">
        <f>170.2-2-2-4.6</f>
        <v>161.6</v>
      </c>
      <c r="CB13" s="1829">
        <f>162.3-1.8-0.2-4.7-0.1</f>
        <v>155.50000000000003</v>
      </c>
      <c r="CC13" s="1829">
        <f>172.2-2.5-0.2-4.7</f>
        <v>164.8</v>
      </c>
      <c r="CD13" s="23">
        <f>714.2-11-2.1-18.8-SUM(CA13:CC13)</f>
        <v>200.40000000000003</v>
      </c>
      <c r="CE13" s="13">
        <f>SUM(CA13:CD13)</f>
        <v>682.30000000000007</v>
      </c>
      <c r="CF13" s="15"/>
      <c r="CG13" s="1828">
        <f>172.7+1.4-2.5-5.4-0.5</f>
        <v>165.7</v>
      </c>
      <c r="CH13" s="1829">
        <f>192.6-1.4-2.9-5.6</f>
        <v>182.7</v>
      </c>
      <c r="CI13" s="1829">
        <f>196.5-9.4</f>
        <v>187.1</v>
      </c>
      <c r="CJ13" s="1877">
        <f>790.7-36.1-SUM(CG13:CI13)</f>
        <v>219.10000000000002</v>
      </c>
      <c r="CK13" s="13">
        <f>SUM(CG13:CJ13)</f>
        <v>754.6</v>
      </c>
      <c r="CL13" s="15"/>
      <c r="CM13" s="822"/>
      <c r="CN13" s="15"/>
      <c r="CO13" s="15"/>
      <c r="CP13" s="1692"/>
      <c r="CQ13" s="13"/>
      <c r="CR13" s="15"/>
      <c r="CS13" s="822"/>
      <c r="CT13" s="15"/>
      <c r="CU13" s="15"/>
      <c r="CV13" s="1692"/>
      <c r="CW13" s="13"/>
      <c r="CX13" s="477"/>
      <c r="CY13" s="822"/>
      <c r="CZ13" s="15"/>
      <c r="DA13" s="15"/>
      <c r="DB13" s="1692"/>
      <c r="DC13" s="13"/>
      <c r="DD13" s="477"/>
      <c r="DE13" s="822"/>
      <c r="DF13" s="15"/>
      <c r="DG13" s="15"/>
      <c r="DH13" s="1692"/>
      <c r="DI13" s="13"/>
      <c r="DJ13"/>
      <c r="DK13"/>
      <c r="DL13"/>
      <c r="DM13"/>
      <c r="DN13"/>
      <c r="DO13"/>
      <c r="DU13" s="477"/>
      <c r="DV13" s="477"/>
      <c r="DW13" s="477"/>
    </row>
    <row r="14" spans="1:127" s="16" customFormat="1" ht="11.25" hidden="1" customHeight="1" outlineLevel="1">
      <c r="A14" s="1693" t="s">
        <v>5</v>
      </c>
      <c r="B14" s="15"/>
      <c r="C14" s="1101">
        <v>0</v>
      </c>
      <c r="D14" s="822"/>
      <c r="E14" s="1101">
        <v>0</v>
      </c>
      <c r="F14" s="822"/>
      <c r="G14" s="1101">
        <v>0</v>
      </c>
      <c r="H14" s="822"/>
      <c r="I14" s="1101">
        <v>0</v>
      </c>
      <c r="J14" s="822"/>
      <c r="K14" s="1101">
        <v>0</v>
      </c>
      <c r="L14" s="822"/>
      <c r="M14" s="1101">
        <v>13.731999999999999</v>
      </c>
      <c r="N14" s="822"/>
      <c r="O14" s="1101">
        <v>20.751999999999999</v>
      </c>
      <c r="P14" s="822"/>
      <c r="Q14" s="1101">
        <v>27.443000000000001</v>
      </c>
      <c r="R14" s="822"/>
      <c r="S14" s="1107">
        <v>6.3869999999999996</v>
      </c>
      <c r="T14" s="1717">
        <v>6.218</v>
      </c>
      <c r="U14" s="1717">
        <v>8.0280000000000005</v>
      </c>
      <c r="V14" s="23">
        <f>29.872-S14-T14-U14</f>
        <v>9.238999999999999</v>
      </c>
      <c r="W14" s="13">
        <f t="shared" si="1"/>
        <v>29.872</v>
      </c>
      <c r="X14" s="822"/>
      <c r="Y14" s="1107">
        <v>16.338999999999999</v>
      </c>
      <c r="Z14" s="1717">
        <v>17.617000000000001</v>
      </c>
      <c r="AA14" s="1717">
        <v>15.228</v>
      </c>
      <c r="AB14" s="23">
        <f>73.6-Y14-Z14-AA14</f>
        <v>24.41599999999999</v>
      </c>
      <c r="AC14" s="13">
        <f t="shared" si="2"/>
        <v>73.599999999999994</v>
      </c>
      <c r="AD14" s="822"/>
      <c r="AE14" s="1107">
        <v>19.100000000000001</v>
      </c>
      <c r="AF14" s="1717">
        <v>19.399999999999999</v>
      </c>
      <c r="AG14" s="1717">
        <v>16.399999999999999</v>
      </c>
      <c r="AH14" s="23">
        <f>74.6-AE14-AF14-AG14</f>
        <v>19.699999999999996</v>
      </c>
      <c r="AI14" s="13">
        <f t="shared" si="3"/>
        <v>74.599999999999994</v>
      </c>
      <c r="AJ14" s="15"/>
      <c r="AK14" s="1107">
        <v>16.100000000000001</v>
      </c>
      <c r="AL14" s="1717">
        <v>16.100000000000001</v>
      </c>
      <c r="AM14" s="1717">
        <v>18</v>
      </c>
      <c r="AN14" s="23">
        <f>70.7-SUM(AK14:AM14)</f>
        <v>20.5</v>
      </c>
      <c r="AO14" s="13">
        <f t="shared" si="4"/>
        <v>70.7</v>
      </c>
      <c r="AP14" s="15"/>
      <c r="AQ14" s="1107">
        <v>17.2</v>
      </c>
      <c r="AR14" s="1439">
        <f>16.1-0.1</f>
        <v>16</v>
      </c>
      <c r="AS14" s="1439">
        <f>19.8</f>
        <v>19.8</v>
      </c>
      <c r="AT14" s="23">
        <f>(703.2-621.5)-AQ14-AR14-AS14-0.3</f>
        <v>28.400000000000041</v>
      </c>
      <c r="AU14" s="13">
        <f t="shared" si="5"/>
        <v>81.400000000000034</v>
      </c>
      <c r="AV14" s="15"/>
      <c r="AW14" s="1107">
        <v>24.5</v>
      </c>
      <c r="AX14" s="1439">
        <f>25.9-0.1</f>
        <v>25.799999999999997</v>
      </c>
      <c r="AY14" s="1439">
        <f>26.4-0.1</f>
        <v>26.299999999999997</v>
      </c>
      <c r="AZ14" s="23">
        <f>106.7-0.3-SUM(AW14:AY14)</f>
        <v>29.800000000000011</v>
      </c>
      <c r="BA14" s="13">
        <f t="shared" si="6"/>
        <v>106.4</v>
      </c>
      <c r="BB14" s="15"/>
      <c r="BC14" s="1455">
        <f>28.9-0.1</f>
        <v>28.799999999999997</v>
      </c>
      <c r="BD14" s="1439">
        <f>22.9-0.1</f>
        <v>22.799999999999997</v>
      </c>
      <c r="BE14" s="1717">
        <v>31.6</v>
      </c>
      <c r="BF14" s="23">
        <f>121-BE14-BD14-BC14-0.01-0.01</f>
        <v>37.780000000000015</v>
      </c>
      <c r="BG14" s="13">
        <f t="shared" si="7"/>
        <v>120.98</v>
      </c>
      <c r="BH14" s="15"/>
      <c r="BI14" s="1107">
        <v>33.6</v>
      </c>
      <c r="BJ14" s="1717">
        <v>36.299999999999997</v>
      </c>
      <c r="BK14" s="23">
        <v>37.200000000000003</v>
      </c>
      <c r="BL14" s="1722">
        <f>142.5-SUM(BI14:BK14)</f>
        <v>35.399999999999991</v>
      </c>
      <c r="BM14" s="13">
        <f>SUM(BI14:BL14)</f>
        <v>142.5</v>
      </c>
      <c r="BN14" s="15"/>
      <c r="BO14" s="1107">
        <v>36.9</v>
      </c>
      <c r="BP14" s="1717">
        <v>39.700000000000003</v>
      </c>
      <c r="BQ14" s="1717">
        <v>37.9</v>
      </c>
      <c r="BR14" s="1722">
        <f>149.6-SUM(BO14:BQ14)</f>
        <v>35.099999999999994</v>
      </c>
      <c r="BS14" s="13">
        <f>SUM(BO14:BR14)</f>
        <v>149.6</v>
      </c>
      <c r="BT14" s="15"/>
      <c r="BU14" s="1828">
        <f>31.9+0.2</f>
        <v>32.1</v>
      </c>
      <c r="BV14" s="1829">
        <f>35+0.1</f>
        <v>35.1</v>
      </c>
      <c r="BW14" s="1829">
        <f>34.8+0.7</f>
        <v>35.5</v>
      </c>
      <c r="BX14" s="1877">
        <f>139.7+1.3-SUM(BU14:BW14)</f>
        <v>38.299999999999997</v>
      </c>
      <c r="BY14" s="13">
        <f>SUM(BU14:BX14)</f>
        <v>141</v>
      </c>
      <c r="BZ14" s="15"/>
      <c r="CA14" s="1828">
        <f>37.4+1</f>
        <v>38.4</v>
      </c>
      <c r="CB14" s="1829">
        <f>38+1.3</f>
        <v>39.299999999999997</v>
      </c>
      <c r="CC14" s="1829">
        <f>35.4+1.1</f>
        <v>36.5</v>
      </c>
      <c r="CD14" s="1877">
        <f>150+4.6-SUM(CA14:CC14)</f>
        <v>40.400000000000006</v>
      </c>
      <c r="CE14" s="13">
        <f>SUM(CA14:CD14)</f>
        <v>154.6</v>
      </c>
      <c r="CF14" s="15"/>
      <c r="CG14" s="1828">
        <f>35.7+0.1</f>
        <v>35.800000000000004</v>
      </c>
      <c r="CH14" s="1829">
        <f>38.7+0.2</f>
        <v>38.900000000000006</v>
      </c>
      <c r="CI14" s="1829">
        <f>40.5+0.6</f>
        <v>41.1</v>
      </c>
      <c r="CJ14" s="1877">
        <f>160.8+1.4-SUM(CG14:CI14)</f>
        <v>46.400000000000006</v>
      </c>
      <c r="CK14" s="13">
        <f>SUM(CG14:CJ14)</f>
        <v>162.20000000000002</v>
      </c>
      <c r="CL14" s="15"/>
      <c r="CM14" s="822"/>
      <c r="CN14" s="15"/>
      <c r="CO14" s="15"/>
      <c r="CP14" s="1692"/>
      <c r="CQ14" s="13"/>
      <c r="CR14" s="15"/>
      <c r="CS14" s="822"/>
      <c r="CT14" s="15"/>
      <c r="CU14" s="15"/>
      <c r="CV14" s="1692"/>
      <c r="CW14" s="13"/>
      <c r="CX14" s="477"/>
      <c r="CY14" s="822"/>
      <c r="CZ14" s="15"/>
      <c r="DA14" s="15"/>
      <c r="DB14" s="1692"/>
      <c r="DC14" s="13"/>
      <c r="DD14" s="477"/>
      <c r="DE14" s="822"/>
      <c r="DF14" s="15"/>
      <c r="DG14" s="15"/>
      <c r="DH14" s="1692"/>
      <c r="DI14" s="13"/>
      <c r="DJ14"/>
      <c r="DK14"/>
      <c r="DL14"/>
      <c r="DM14"/>
      <c r="DN14"/>
      <c r="DO14"/>
      <c r="DU14" s="478"/>
      <c r="DV14" s="478"/>
      <c r="DW14" s="478"/>
    </row>
    <row r="15" spans="1:127" s="16" customFormat="1" ht="11.25" customHeight="1" collapsed="1">
      <c r="A15" s="816" t="s">
        <v>7</v>
      </c>
      <c r="B15" s="734"/>
      <c r="C15" s="817">
        <f>C9-C12</f>
        <v>22.534999999999993</v>
      </c>
      <c r="D15" s="1709"/>
      <c r="E15" s="817">
        <f>E9-E12</f>
        <v>33.072000000000003</v>
      </c>
      <c r="F15" s="1709"/>
      <c r="G15" s="817">
        <f>G9-G12</f>
        <v>41.015000000000001</v>
      </c>
      <c r="H15" s="1709"/>
      <c r="I15" s="817">
        <f>I9-I12</f>
        <v>49.103000000000002</v>
      </c>
      <c r="J15" s="1709"/>
      <c r="K15" s="817">
        <f>K9-K12</f>
        <v>102.37199999999999</v>
      </c>
      <c r="L15" s="1709"/>
      <c r="M15" s="817">
        <f>M9-M12</f>
        <v>107.37900000000002</v>
      </c>
      <c r="N15" s="1709"/>
      <c r="O15" s="817">
        <f>O9-O12</f>
        <v>118.476</v>
      </c>
      <c r="P15" s="1709"/>
      <c r="Q15" s="817">
        <f>Q9-Q12</f>
        <v>165.97899999999998</v>
      </c>
      <c r="R15" s="1709"/>
      <c r="S15" s="1710">
        <f>S9-S12</f>
        <v>43.755999999999993</v>
      </c>
      <c r="T15" s="478">
        <f>T9-T12</f>
        <v>46.222999999999985</v>
      </c>
      <c r="U15" s="478">
        <f>U9-U12</f>
        <v>46.183000000000007</v>
      </c>
      <c r="V15" s="478">
        <f>V9-V12</f>
        <v>63.17200000000004</v>
      </c>
      <c r="W15" s="817">
        <f>W9-W12</f>
        <v>199.334</v>
      </c>
      <c r="X15" s="1709"/>
      <c r="Y15" s="1710">
        <f>Y9-Y12</f>
        <v>94.548000000000002</v>
      </c>
      <c r="Z15" s="478">
        <f>Z9-Z12</f>
        <v>99.914999999999992</v>
      </c>
      <c r="AA15" s="478">
        <f>AA9-AA12</f>
        <v>111.10799999999998</v>
      </c>
      <c r="AB15" s="478">
        <f>AB9-AB12</f>
        <v>170.02900000000008</v>
      </c>
      <c r="AC15" s="817">
        <f>AC9-AC12</f>
        <v>475.6</v>
      </c>
      <c r="AD15" s="1709"/>
      <c r="AE15" s="1710">
        <f>AE9-AE12</f>
        <v>114</v>
      </c>
      <c r="AF15" s="478">
        <f>AF9-AF12</f>
        <v>129.6</v>
      </c>
      <c r="AG15" s="478">
        <f>AG9-AG12</f>
        <v>111.10000000000002</v>
      </c>
      <c r="AH15" s="478">
        <f>AH9-AH12</f>
        <v>150.29999999999993</v>
      </c>
      <c r="AI15" s="817">
        <f>AI9-AI12</f>
        <v>504.99999999999989</v>
      </c>
      <c r="AJ15" s="1711"/>
      <c r="AK15" s="1710">
        <f>AK9-AK12</f>
        <v>102.69999999999999</v>
      </c>
      <c r="AL15" s="478">
        <f>AL9-AL12</f>
        <v>111.19999999999999</v>
      </c>
      <c r="AM15" s="478">
        <f>AM9-AM12</f>
        <v>119.19999999999996</v>
      </c>
      <c r="AN15" s="478">
        <f>AN9-AN12</f>
        <v>178.79999999999995</v>
      </c>
      <c r="AO15" s="817">
        <f>AO9-AO12</f>
        <v>511.89999999999986</v>
      </c>
      <c r="AP15" s="733"/>
      <c r="AQ15" s="1710">
        <f>AQ9-AQ12</f>
        <v>126.5</v>
      </c>
      <c r="AR15" s="478">
        <f>AR9-AR12</f>
        <v>136.09999999999997</v>
      </c>
      <c r="AS15" s="478">
        <f>AS9-AS12</f>
        <v>152</v>
      </c>
      <c r="AT15" s="478">
        <f>AT9-AT12</f>
        <v>202.99999999999997</v>
      </c>
      <c r="AU15" s="817">
        <f>AU9-AU12</f>
        <v>617.60000000000014</v>
      </c>
      <c r="AV15" s="733"/>
      <c r="AW15" s="1710">
        <f>AW9-AW12</f>
        <v>169.5</v>
      </c>
      <c r="AX15" s="478">
        <f>AX9-AX12</f>
        <v>192.40000000000009</v>
      </c>
      <c r="AY15" s="478">
        <f>AY9-AY12</f>
        <v>195.09999999999997</v>
      </c>
      <c r="AZ15" s="478">
        <f>AZ9-AZ12</f>
        <v>220.99999999999983</v>
      </c>
      <c r="BA15" s="817">
        <f>BA9-BA12</f>
        <v>777.99999999999977</v>
      </c>
      <c r="BB15" s="733"/>
      <c r="BC15" s="1710">
        <f>BC9-BC12</f>
        <v>195.39999999999998</v>
      </c>
      <c r="BD15" s="478">
        <f>BD9-BD12</f>
        <v>194.60000000000002</v>
      </c>
      <c r="BE15" s="478">
        <f>BE9-BE12</f>
        <v>216.4</v>
      </c>
      <c r="BF15" s="478">
        <f>BF9-BF12</f>
        <v>246.90000000000009</v>
      </c>
      <c r="BG15" s="817">
        <f>BG9-BG12</f>
        <v>853.30000000000007</v>
      </c>
      <c r="BH15" s="733"/>
      <c r="BI15" s="1710">
        <f>BI9-BI12</f>
        <v>179.50000000000003</v>
      </c>
      <c r="BJ15" s="478">
        <f>BJ9-BJ12</f>
        <v>206.5</v>
      </c>
      <c r="BK15" s="478">
        <f>BK9-BK12</f>
        <v>198.2</v>
      </c>
      <c r="BL15" s="1723">
        <f>BL9-BL12</f>
        <v>248.3</v>
      </c>
      <c r="BM15" s="817">
        <f>BM9-BM12</f>
        <v>832.5</v>
      </c>
      <c r="BN15" s="733"/>
      <c r="BO15" s="1710">
        <f>BO9-BO12</f>
        <v>187.20000000000005</v>
      </c>
      <c r="BP15" s="478">
        <f>BP9-BP12</f>
        <v>211.79999999999995</v>
      </c>
      <c r="BQ15" s="478">
        <f>BQ9-BQ12</f>
        <v>185.5</v>
      </c>
      <c r="BR15" s="1723">
        <f>BR9-BR12</f>
        <v>223.2000000000001</v>
      </c>
      <c r="BS15" s="817">
        <f>BS9-BS12</f>
        <v>807.7</v>
      </c>
      <c r="BT15" s="733"/>
      <c r="BU15" s="1710">
        <f>BU9-BU12</f>
        <v>167.1</v>
      </c>
      <c r="BV15" s="478">
        <f>BV9-BV12</f>
        <v>178.39999999999998</v>
      </c>
      <c r="BW15" s="478">
        <f>BW9-BW12</f>
        <v>182.70000000000002</v>
      </c>
      <c r="BX15" s="1723">
        <f>BX9-BX12</f>
        <v>222.7999999999999</v>
      </c>
      <c r="BY15" s="817">
        <f>BY9-BY12</f>
        <v>751</v>
      </c>
      <c r="BZ15" s="733"/>
      <c r="CA15" s="1710">
        <f>CA9-CA12</f>
        <v>175.40000000000003</v>
      </c>
      <c r="CB15" s="478">
        <f>CB9-CB12</f>
        <v>176.90000000000003</v>
      </c>
      <c r="CC15" s="478">
        <f>CC9-CC12</f>
        <v>192.59999999999997</v>
      </c>
      <c r="CD15" s="1723">
        <f>CD9-CD12</f>
        <v>229.49999999999991</v>
      </c>
      <c r="CE15" s="817">
        <f>CE9-CE12</f>
        <v>774.40000000000009</v>
      </c>
      <c r="CF15" s="733"/>
      <c r="CG15" s="1710">
        <f>CG9-CG12</f>
        <v>183.39999999999998</v>
      </c>
      <c r="CH15" s="478">
        <f>CH9-CH12</f>
        <v>193.29999999999998</v>
      </c>
      <c r="CI15" s="478">
        <f>CI9-CI12</f>
        <v>207.39999999999998</v>
      </c>
      <c r="CJ15" s="1723">
        <f>CJ9-CJ12</f>
        <v>265.00000000000023</v>
      </c>
      <c r="CK15" s="817">
        <f>CK9-CK12</f>
        <v>849.10000000000014</v>
      </c>
      <c r="CL15" s="733"/>
      <c r="CM15" s="1710">
        <f>CM9-CM12</f>
        <v>192.34944522409947</v>
      </c>
      <c r="CN15" s="478">
        <f>CN9-CN12</f>
        <v>197.16507937282094</v>
      </c>
      <c r="CO15" s="478">
        <f>CO9-CO12</f>
        <v>224.59789651652545</v>
      </c>
      <c r="CP15" s="1723">
        <f>CP9-CP12</f>
        <v>300.08978893994117</v>
      </c>
      <c r="CQ15" s="817">
        <f>CQ9-CQ12</f>
        <v>914.20221005338703</v>
      </c>
      <c r="CR15" s="733"/>
      <c r="CS15" s="1710">
        <f>CS9-CS12</f>
        <v>213.79713177697386</v>
      </c>
      <c r="CT15" s="478">
        <f>CT9-CT12</f>
        <v>222.90446165066908</v>
      </c>
      <c r="CU15" s="478">
        <f>CU9-CU12</f>
        <v>227.06348842403918</v>
      </c>
      <c r="CV15" s="1723">
        <f>CV9-CV12</f>
        <v>290.10424811170998</v>
      </c>
      <c r="CW15" s="817">
        <f>CW9-CW12</f>
        <v>953.86932996339192</v>
      </c>
      <c r="CX15" s="478"/>
      <c r="CY15" s="1710">
        <f>CY9-CY12</f>
        <v>222.21753236228881</v>
      </c>
      <c r="CZ15" s="478">
        <f>CZ9-CZ12</f>
        <v>227.85519096469037</v>
      </c>
      <c r="DA15" s="478">
        <f>DA9-DA12</f>
        <v>237.78568610622506</v>
      </c>
      <c r="DB15" s="1723">
        <f>DB9-DB12</f>
        <v>299.21123472883357</v>
      </c>
      <c r="DC15" s="817">
        <f>DC9-DC12</f>
        <v>987.06964416203778</v>
      </c>
      <c r="DD15" s="478"/>
      <c r="DE15" s="1710">
        <f>DE9-DE12</f>
        <v>228.97728221257455</v>
      </c>
      <c r="DF15" s="478">
        <f>DF9-DF12</f>
        <v>238.47782599864689</v>
      </c>
      <c r="DG15" s="478">
        <f>DG9-DG12</f>
        <v>244.70943556453537</v>
      </c>
      <c r="DH15" s="1723">
        <f>DH9-DH12</f>
        <v>311.92717653871455</v>
      </c>
      <c r="DI15" s="817">
        <f>DI9-DI12</f>
        <v>1024.0917203144713</v>
      </c>
      <c r="DJ15"/>
      <c r="DK15"/>
      <c r="DL15"/>
      <c r="DM15"/>
      <c r="DN15"/>
      <c r="DO15"/>
      <c r="DU15" s="1718">
        <f>+DU12/$BY$9</f>
        <v>0.43231925113930286</v>
      </c>
      <c r="DV15" s="1718">
        <f>+DV12/$BY$9</f>
        <v>0.20507451656607958</v>
      </c>
      <c r="DW15" s="1718">
        <f>+DW12/$BY$9</f>
        <v>0.17243502894445129</v>
      </c>
    </row>
    <row r="16" spans="1:127" s="16" customFormat="1" ht="11.25" customHeight="1">
      <c r="A16" s="1693" t="s">
        <v>20</v>
      </c>
      <c r="B16" s="1724"/>
      <c r="C16" s="1101">
        <v>13.048999999999999</v>
      </c>
      <c r="D16" s="19"/>
      <c r="E16" s="1101">
        <v>15.138</v>
      </c>
      <c r="F16" s="19"/>
      <c r="G16" s="1101">
        <v>20.033000000000001</v>
      </c>
      <c r="H16" s="19"/>
      <c r="I16" s="1101">
        <v>18.468</v>
      </c>
      <c r="J16" s="19"/>
      <c r="K16" s="1101">
        <v>30.637</v>
      </c>
      <c r="L16" s="19"/>
      <c r="M16" s="1101">
        <v>37.244</v>
      </c>
      <c r="N16" s="19"/>
      <c r="O16" s="1101">
        <v>43.219000000000001</v>
      </c>
      <c r="P16" s="19"/>
      <c r="Q16" s="1101">
        <v>47.497999999999998</v>
      </c>
      <c r="R16" s="19"/>
      <c r="S16" s="1102">
        <v>12.275</v>
      </c>
      <c r="T16" s="1103">
        <v>12.284000000000001</v>
      </c>
      <c r="U16" s="1103">
        <v>11.936</v>
      </c>
      <c r="V16" s="23">
        <f>49.959-S16-T16-U16</f>
        <v>13.464000000000006</v>
      </c>
      <c r="W16" s="13">
        <f t="shared" si="1"/>
        <v>49.95900000000001</v>
      </c>
      <c r="X16" s="19"/>
      <c r="Y16" s="1102">
        <v>25.963999999999999</v>
      </c>
      <c r="Z16" s="1103">
        <v>27.657</v>
      </c>
      <c r="AA16" s="1103">
        <v>26.841000000000001</v>
      </c>
      <c r="AB16" s="23">
        <f>110.8-Y16-Z16-AA16</f>
        <v>30.338000000000001</v>
      </c>
      <c r="AC16" s="13">
        <f t="shared" si="2"/>
        <v>110.79999999999998</v>
      </c>
      <c r="AD16" s="19"/>
      <c r="AE16" s="1102">
        <v>31.2</v>
      </c>
      <c r="AF16" s="1103">
        <v>36.5</v>
      </c>
      <c r="AG16" s="1103">
        <v>33.1</v>
      </c>
      <c r="AH16" s="23">
        <f>133.8-AE16-AF16-AG16</f>
        <v>33.000000000000007</v>
      </c>
      <c r="AI16" s="13">
        <f t="shared" si="3"/>
        <v>133.80000000000001</v>
      </c>
      <c r="AJ16" s="1724"/>
      <c r="AK16" s="1102">
        <v>29.1</v>
      </c>
      <c r="AL16" s="1103">
        <v>31.1</v>
      </c>
      <c r="AM16" s="1103">
        <v>31.6</v>
      </c>
      <c r="AN16" s="23">
        <f>126.4-SUM(AK16:AM16)</f>
        <v>34.599999999999994</v>
      </c>
      <c r="AO16" s="13">
        <f t="shared" si="4"/>
        <v>126.4</v>
      </c>
      <c r="AP16" s="15"/>
      <c r="AQ16" s="1102">
        <v>32.799999999999997</v>
      </c>
      <c r="AR16" s="1103">
        <v>31.2</v>
      </c>
      <c r="AS16" s="1103">
        <v>32.5</v>
      </c>
      <c r="AT16" s="23">
        <f>141.4-SUM(AQ16:AS16)</f>
        <v>44.900000000000006</v>
      </c>
      <c r="AU16" s="13">
        <f t="shared" si="5"/>
        <v>141.4</v>
      </c>
      <c r="AV16" s="15"/>
      <c r="AW16" s="1102">
        <v>44.7</v>
      </c>
      <c r="AX16" s="1103">
        <v>44.3</v>
      </c>
      <c r="AY16" s="1103">
        <v>43.5</v>
      </c>
      <c r="AZ16" s="23">
        <f>177.2-SUM(AW16:AY16)</f>
        <v>44.699999999999989</v>
      </c>
      <c r="BA16" s="13">
        <f t="shared" si="6"/>
        <v>177.2</v>
      </c>
      <c r="BB16" s="15"/>
      <c r="BC16" s="1102">
        <v>48.2</v>
      </c>
      <c r="BD16" s="1103">
        <v>51.9</v>
      </c>
      <c r="BE16" s="1103">
        <v>44.9</v>
      </c>
      <c r="BF16" s="12">
        <f>195.3-SUM(BC16:BE16)</f>
        <v>50.300000000000011</v>
      </c>
      <c r="BG16" s="13">
        <f t="shared" si="7"/>
        <v>195.3</v>
      </c>
      <c r="BH16" s="15"/>
      <c r="BI16" s="1102">
        <v>49.4</v>
      </c>
      <c r="BJ16" s="1103">
        <v>46.5</v>
      </c>
      <c r="BK16" s="1103">
        <v>45.5</v>
      </c>
      <c r="BL16" s="1725">
        <f>190.5-SUM(BI16:BK16)</f>
        <v>49.099999999999994</v>
      </c>
      <c r="BM16" s="13">
        <f>SUM(BI16:BL16)</f>
        <v>190.5</v>
      </c>
      <c r="BN16" s="15"/>
      <c r="BO16" s="1102">
        <v>46</v>
      </c>
      <c r="BP16" s="1103">
        <v>44.5</v>
      </c>
      <c r="BQ16" s="1103">
        <v>42.1</v>
      </c>
      <c r="BR16" s="1725">
        <f>174.2-SUM(BO16:BQ16)</f>
        <v>41.599999999999994</v>
      </c>
      <c r="BS16" s="13">
        <f>SUM(BO16:BR16)</f>
        <v>174.2</v>
      </c>
      <c r="BT16" s="15"/>
      <c r="BU16" s="1830">
        <f>37.2</f>
        <v>37.200000000000003</v>
      </c>
      <c r="BV16" s="1831">
        <v>37.5</v>
      </c>
      <c r="BW16" s="1823">
        <v>34.299999999999997</v>
      </c>
      <c r="BX16" s="1725">
        <f>36.7</f>
        <v>36.700000000000003</v>
      </c>
      <c r="BY16" s="13">
        <f>SUM(BU16:BX16)</f>
        <v>145.69999999999999</v>
      </c>
      <c r="BZ16" s="15"/>
      <c r="CA16" s="1830">
        <v>36.1</v>
      </c>
      <c r="CB16" s="1831">
        <v>36.799999999999997</v>
      </c>
      <c r="CC16" s="1831">
        <v>37.9</v>
      </c>
      <c r="CD16" s="2012">
        <v>38.200000000000003</v>
      </c>
      <c r="CE16" s="13">
        <f>SUM(CA16:CD16)</f>
        <v>149</v>
      </c>
      <c r="CF16" s="15"/>
      <c r="CG16" s="1830">
        <v>37.6</v>
      </c>
      <c r="CH16" s="1823">
        <f>40.7</f>
        <v>40.700000000000003</v>
      </c>
      <c r="CI16" s="1823">
        <v>40.9</v>
      </c>
      <c r="CJ16" s="2012">
        <v>43.5</v>
      </c>
      <c r="CK16" s="13">
        <f>SUM(CG16:CJ16)</f>
        <v>162.70000000000002</v>
      </c>
      <c r="CL16" s="15"/>
      <c r="CM16" s="488">
        <f>CM9*CM51</f>
        <v>39.401978867491742</v>
      </c>
      <c r="CN16" s="14">
        <f>CN9*CN51</f>
        <v>40.388441369322351</v>
      </c>
      <c r="CO16" s="14">
        <f>CO9*CO51</f>
        <v>41.942980674772826</v>
      </c>
      <c r="CP16" s="489">
        <f>CP9*CP51</f>
        <v>51.87425719593778</v>
      </c>
      <c r="CQ16" s="13">
        <f>SUM(CM16:CP16)</f>
        <v>173.60765810752471</v>
      </c>
      <c r="CR16" s="15"/>
      <c r="CS16" s="488">
        <f>CS9*CS51</f>
        <v>39.224876999404479</v>
      </c>
      <c r="CT16" s="14">
        <f>CT9*CT51</f>
        <v>40.895778246392915</v>
      </c>
      <c r="CU16" s="14">
        <f>CU9*CU51</f>
        <v>41.65882549715235</v>
      </c>
      <c r="CV16" s="489">
        <f>CV9*CV51</f>
        <v>53.224771326946794</v>
      </c>
      <c r="CW16" s="13">
        <f>SUM(CS16:CV16)</f>
        <v>175.00425206989655</v>
      </c>
      <c r="CX16" s="477"/>
      <c r="CY16" s="488">
        <f>CY9*CY51</f>
        <v>39.397132231561166</v>
      </c>
      <c r="CZ16" s="14">
        <f>CZ9*CZ51</f>
        <v>40.396637441947092</v>
      </c>
      <c r="DA16" s="14">
        <f>DA9*DA51</f>
        <v>42.157223233972168</v>
      </c>
      <c r="DB16" s="489">
        <f>DB9*DB51</f>
        <v>53.047410141167703</v>
      </c>
      <c r="DC16" s="13">
        <f>SUM(CY16:DB16)</f>
        <v>174.99840304864813</v>
      </c>
      <c r="DD16" s="477"/>
      <c r="DE16" s="488">
        <f>DE9*DE51</f>
        <v>38.687713694069565</v>
      </c>
      <c r="DF16" s="14">
        <f>DF9*DF51</f>
        <v>40.292913626490432</v>
      </c>
      <c r="DG16" s="14">
        <f>DG9*DG51</f>
        <v>41.345798543320313</v>
      </c>
      <c r="DH16" s="489">
        <f>DH9*DH51</f>
        <v>52.702823540922296</v>
      </c>
      <c r="DI16" s="13">
        <f>SUM(DE16:DH16)</f>
        <v>173.02924940480261</v>
      </c>
      <c r="DJ16"/>
      <c r="DK16"/>
      <c r="DL16"/>
      <c r="DM16"/>
      <c r="DN16"/>
      <c r="DO16"/>
      <c r="DU16" s="477"/>
      <c r="DV16" s="477"/>
      <c r="DW16" s="477"/>
    </row>
    <row r="17" spans="1:127" s="16" customFormat="1" ht="11.25" customHeight="1">
      <c r="A17" s="1693" t="s">
        <v>27</v>
      </c>
      <c r="B17" s="1692"/>
      <c r="C17" s="24">
        <f>7.435+2.212</f>
        <v>9.6470000000000002</v>
      </c>
      <c r="D17" s="13"/>
      <c r="E17" s="24">
        <f>11.345+3.411</f>
        <v>14.756</v>
      </c>
      <c r="F17" s="13"/>
      <c r="G17" s="24">
        <f>13.806+5.057</f>
        <v>18.863</v>
      </c>
      <c r="H17" s="13"/>
      <c r="I17" s="24">
        <f>21.711+6.007</f>
        <v>27.717999999999996</v>
      </c>
      <c r="J17" s="13"/>
      <c r="K17" s="24">
        <f>48.146+15.274</f>
        <v>63.42</v>
      </c>
      <c r="L17" s="13"/>
      <c r="M17" s="24">
        <f>51.707+17.335-0.245</f>
        <v>68.796999999999997</v>
      </c>
      <c r="N17" s="13"/>
      <c r="O17" s="24">
        <f>55.976+20.399</f>
        <v>76.375</v>
      </c>
      <c r="P17" s="13"/>
      <c r="Q17" s="24">
        <f>70.458+25.601</f>
        <v>96.058999999999997</v>
      </c>
      <c r="R17" s="13"/>
      <c r="S17" s="20">
        <f>18.832+6.607</f>
        <v>25.439</v>
      </c>
      <c r="T17" s="22">
        <f>20.9+6.473</f>
        <v>27.372999999999998</v>
      </c>
      <c r="U17" s="22">
        <f>19.063+7.239</f>
        <v>26.302</v>
      </c>
      <c r="V17" s="23">
        <f>84.007+28.982-S17-T17-U17</f>
        <v>33.875000000000014</v>
      </c>
      <c r="W17" s="13">
        <f t="shared" si="1"/>
        <v>112.98900000000002</v>
      </c>
      <c r="X17" s="13"/>
      <c r="Y17" s="20">
        <f>35.462+13.413-0.394</f>
        <v>48.481000000000002</v>
      </c>
      <c r="Z17" s="22">
        <f>37.029+13.442-0.403</f>
        <v>50.068000000000005</v>
      </c>
      <c r="AA17" s="22">
        <f>38.327+15.58-0.7</f>
        <v>53.206999999999994</v>
      </c>
      <c r="AB17" s="23">
        <f>160.1+59.6-2.2-Y17-Z17-AA17</f>
        <v>65.744</v>
      </c>
      <c r="AC17" s="13">
        <f t="shared" si="2"/>
        <v>217.5</v>
      </c>
      <c r="AD17" s="13"/>
      <c r="AE17" s="20">
        <f>44.4+16.8-0.7</f>
        <v>60.5</v>
      </c>
      <c r="AF17" s="22">
        <f>47.1+17.2-(1.8-0.7)</f>
        <v>63.199999999999996</v>
      </c>
      <c r="AG17" s="22">
        <f>45.2+17.7-(3.1-1.8)</f>
        <v>61.600000000000009</v>
      </c>
      <c r="AH17" s="23">
        <f>183.8+70.7-4.5-AE17-AF17-AG17</f>
        <v>64.7</v>
      </c>
      <c r="AI17" s="13">
        <f t="shared" si="3"/>
        <v>250</v>
      </c>
      <c r="AJ17" s="19"/>
      <c r="AK17" s="20">
        <f>42.6+16.3-0.4</f>
        <v>58.500000000000007</v>
      </c>
      <c r="AL17" s="22">
        <f>60.4-0.5+0.5</f>
        <v>60.4</v>
      </c>
      <c r="AM17" s="22">
        <f>61.2-0.4+0.4</f>
        <v>61.2</v>
      </c>
      <c r="AN17" s="23">
        <f>253.3+1.8-1.8-SUM(AK17:AM17)</f>
        <v>73.199999999999989</v>
      </c>
      <c r="AO17" s="13">
        <f t="shared" si="4"/>
        <v>253.3</v>
      </c>
      <c r="AP17" s="15"/>
      <c r="AQ17" s="20">
        <f>65.6+0.5-(1.6-0.2)-0.5</f>
        <v>64.199999999999989</v>
      </c>
      <c r="AR17" s="22">
        <f>64+0.3-(1.7-0.2)-(0.7-0.4)</f>
        <v>62.5</v>
      </c>
      <c r="AS17" s="22">
        <f>72.2+0.6-(1.7-0.3)-(0.9-0.3)</f>
        <v>70.8</v>
      </c>
      <c r="AT17" s="23">
        <f>297.3+1.5-(6.9-1)-1.5-SUM(AQ17:AS17)</f>
        <v>93.900000000000034</v>
      </c>
      <c r="AU17" s="13">
        <f t="shared" si="5"/>
        <v>291.40000000000003</v>
      </c>
      <c r="AV17" s="15"/>
      <c r="AW17" s="20">
        <f>88.7+3.9-1.5-3.9</f>
        <v>87.2</v>
      </c>
      <c r="AX17" s="22">
        <f>97.5+0.7-(1.9-0.3)-(4.2-3.5)</f>
        <v>95.9</v>
      </c>
      <c r="AY17" s="22">
        <f>101.3+0.8-(2.1-0.2)-(5-4.2)</f>
        <v>99.399999999999991</v>
      </c>
      <c r="AZ17" s="23">
        <f>403.6+3-3-(7.9-1.1)-SUM(AW17:AY17)</f>
        <v>114.30000000000001</v>
      </c>
      <c r="BA17" s="13">
        <f t="shared" si="6"/>
        <v>396.8</v>
      </c>
      <c r="BB17" s="15"/>
      <c r="BC17" s="20">
        <f>104.4-(5.1-4.3)</f>
        <v>103.60000000000001</v>
      </c>
      <c r="BD17" s="22">
        <f>110.6-(5.6-4.7)</f>
        <v>109.69999999999999</v>
      </c>
      <c r="BE17" s="22">
        <f>102.9-(5.5-4.7)</f>
        <v>102.10000000000001</v>
      </c>
      <c r="BF17" s="23">
        <f>442.4-(22-18.6)-SUM(BC17:BE17)</f>
        <v>123.59999999999997</v>
      </c>
      <c r="BG17" s="13">
        <f t="shared" si="7"/>
        <v>439</v>
      </c>
      <c r="BH17" s="15"/>
      <c r="BI17" s="20">
        <f>106.8-(5.1-4.8)-(0.6-0.2)-3.2-2.5</f>
        <v>100.39999999999999</v>
      </c>
      <c r="BJ17" s="22">
        <f>107.1-1.8-0.3+0.2-5.1+4.7-2.6</f>
        <v>102.20000000000002</v>
      </c>
      <c r="BK17" s="22">
        <f>105.7-8.6-1.3-5.1+0.2+4.8-0.8</f>
        <v>94.90000000000002</v>
      </c>
      <c r="BL17" s="1725">
        <f>(437.9-25.3-4.5-20.7-6.8+(7.1+0.9+19.3))-SUM(BI17:BK17)</f>
        <v>110.39999999999992</v>
      </c>
      <c r="BM17" s="13">
        <f>SUM(BI17:BL17)</f>
        <v>407.9</v>
      </c>
      <c r="BN17" s="15"/>
      <c r="BO17" s="20">
        <f>109.5-(2.4-2.2)-(1.1-0.5)-(5.2-4.8)-2.8</f>
        <v>105.5</v>
      </c>
      <c r="BP17" s="22">
        <f>115-(-(-4.8+4.4)-(-10.7+6.7)-(-0.5+0.2))-1.3</f>
        <v>109</v>
      </c>
      <c r="BQ17" s="22">
        <f>108+(-16.2+13.4)+(-1.4+0.2)+(-5.1+4.6)+(-8.3)</f>
        <v>95.2</v>
      </c>
      <c r="BR17" s="1452">
        <f>451-SUM(BO17:BQ17)+(-36.1+25)+(-4+1.1)+(-20.2+18.3)+(-18.7)</f>
        <v>106.7</v>
      </c>
      <c r="BS17" s="13">
        <f>SUM(BO17:BR17)</f>
        <v>416.4</v>
      </c>
      <c r="BT17" s="15"/>
      <c r="BU17" s="1830">
        <f>94.6-(3.3-2)-(0.2-0.2)-(5.2-4.7)-11.9</f>
        <v>80.899999999999991</v>
      </c>
      <c r="BV17" s="1831">
        <f>98.5-(5.2-4.2)+(2.8+0.1)-(5.2-4.7)-(3.7-0)</f>
        <v>96.2</v>
      </c>
      <c r="BW17" s="1824">
        <f>96.1-(12.7-9.7)-(1.2-0.9)-(5.1-4.6)-5.6</f>
        <v>86.7</v>
      </c>
      <c r="BX17" s="1452">
        <f>103-(8.1-5.3)+(3.3+1.3)-(5.3-4.7)-2.9</f>
        <v>101.3</v>
      </c>
      <c r="BY17" s="13">
        <f>SUM(BU17:BX17)</f>
        <v>365.1</v>
      </c>
      <c r="BZ17" s="15"/>
      <c r="CA17" s="1830">
        <f>92.7-(3.8-2)-(1.9-2)-(5.4-4.6)-2.2</f>
        <v>88</v>
      </c>
      <c r="CB17" s="1831">
        <f>100.9-(3.7-1.8)-(8.1-0.2)-(5.4-4.7)-(2.4-0.1)</f>
        <v>88.1</v>
      </c>
      <c r="CC17" s="1831">
        <f>96.8-(5.3-2.5)-(0.4-0.2)-(5.4-4.7)-(1.6-0)</f>
        <v>91.5</v>
      </c>
      <c r="CD17" s="1877">
        <f>100.1-(8-4.6)-(0.7+0.2)-(5.5-4.7)-(0.9)</f>
        <v>94.09999999999998</v>
      </c>
      <c r="CE17" s="13">
        <f>SUM(CA17:CD17)</f>
        <v>361.7</v>
      </c>
      <c r="CF17" s="15"/>
      <c r="CG17" s="1830">
        <f>98.1-(0.1+1.4)-(2.8-2.5)-(6.9-5.4)-(1.8-0.5)</f>
        <v>93.5</v>
      </c>
      <c r="CH17" s="1824">
        <f>102.8-(3.8-1.4)-(5.9-2.9)-(7.5-5.6)-(1-0)</f>
        <v>94.499999999999986</v>
      </c>
      <c r="CI17" s="1824">
        <f>102.9-5.1</f>
        <v>97.800000000000011</v>
      </c>
      <c r="CJ17" s="1877">
        <v>104.80000000000001</v>
      </c>
      <c r="CK17" s="13">
        <f>SUM(CG17:CJ17)</f>
        <v>390.6</v>
      </c>
      <c r="CL17" s="15"/>
      <c r="CM17" s="822">
        <f>CM9*CM52</f>
        <v>94.480013843555469</v>
      </c>
      <c r="CN17" s="15">
        <f>CN9*CN52</f>
        <v>96.845402423213812</v>
      </c>
      <c r="CO17" s="15">
        <f>CO9*CO52</f>
        <v>100.57295366101441</v>
      </c>
      <c r="CP17" s="1692">
        <f>CP9*CP52</f>
        <v>124.38665972789383</v>
      </c>
      <c r="CQ17" s="13">
        <f>SUM(CM17:CP17)</f>
        <v>416.28502965567748</v>
      </c>
      <c r="CR17" s="15"/>
      <c r="CS17" s="822">
        <f>CS9*CS52</f>
        <v>95.260415569982314</v>
      </c>
      <c r="CT17" s="15">
        <f>CT9*CT52</f>
        <v>99.318318598382803</v>
      </c>
      <c r="CU17" s="15">
        <f>CU9*CU52</f>
        <v>101.17143335022713</v>
      </c>
      <c r="CV17" s="1692">
        <f>CV9*CV52</f>
        <v>129.26015893687079</v>
      </c>
      <c r="CW17" s="13">
        <f>SUM(CS17:CV17)</f>
        <v>425.01032645546309</v>
      </c>
      <c r="CX17" s="477"/>
      <c r="CY17" s="822">
        <f>CY9*CY52</f>
        <v>96.500840746970042</v>
      </c>
      <c r="CZ17" s="15">
        <f>CZ9*CZ52</f>
        <v>98.949066992634457</v>
      </c>
      <c r="DA17" s="15">
        <f>DA9*DA52</f>
        <v>103.26151308995431</v>
      </c>
      <c r="DB17" s="1692">
        <f>DB9*DB52</f>
        <v>129.93635293005121</v>
      </c>
      <c r="DC17" s="13">
        <f>SUM(CY17:DB17)</f>
        <v>428.64777375961</v>
      </c>
      <c r="DD17" s="477"/>
      <c r="DE17" s="822">
        <f>DE9*DE52</f>
        <v>97.169141371151468</v>
      </c>
      <c r="DF17" s="15">
        <f>DF9*DF52</f>
        <v>101.2008063176969</v>
      </c>
      <c r="DG17" s="15">
        <f>DG9*DG52</f>
        <v>103.84526145764173</v>
      </c>
      <c r="DH17" s="1692">
        <f>DH9*DH52</f>
        <v>132.36988238185137</v>
      </c>
      <c r="DI17" s="13">
        <f>SUM(DE17:DH17)</f>
        <v>434.58509152834148</v>
      </c>
      <c r="DJ17"/>
      <c r="DK17"/>
      <c r="DL17"/>
      <c r="DM17"/>
      <c r="DN17"/>
      <c r="DO17"/>
      <c r="DU17" s="477"/>
      <c r="DV17" s="477"/>
      <c r="DW17" s="477"/>
    </row>
    <row r="18" spans="1:127" s="16" customFormat="1" ht="11.25" hidden="1" customHeight="1" outlineLevel="1">
      <c r="A18" s="1693" t="s">
        <v>69</v>
      </c>
      <c r="B18" s="1692"/>
      <c r="C18" s="1101">
        <v>0</v>
      </c>
      <c r="D18" s="13"/>
      <c r="E18" s="24">
        <f>0.538-0.538</f>
        <v>0</v>
      </c>
      <c r="F18" s="13"/>
      <c r="G18" s="24">
        <f>1.082+0.303-1.082-0.303</f>
        <v>0</v>
      </c>
      <c r="H18" s="13"/>
      <c r="I18" s="24">
        <f>-0.356+0.356</f>
        <v>0</v>
      </c>
      <c r="J18" s="13"/>
      <c r="K18" s="24">
        <f>1.969-1.969</f>
        <v>0</v>
      </c>
      <c r="L18" s="13"/>
      <c r="M18" s="24">
        <f>-1.929+11.674-11.674</f>
        <v>-1.9290000000000003</v>
      </c>
      <c r="N18" s="13"/>
      <c r="O18" s="1101">
        <v>0</v>
      </c>
      <c r="P18" s="13"/>
      <c r="Q18" s="1101">
        <v>0</v>
      </c>
      <c r="R18" s="13"/>
      <c r="S18" s="20">
        <f>1.176-1.176</f>
        <v>0</v>
      </c>
      <c r="T18" s="22">
        <f>3.692-3.692</f>
        <v>0</v>
      </c>
      <c r="U18" s="22">
        <f>0.961-0.961</f>
        <v>0</v>
      </c>
      <c r="V18" s="23">
        <f>5.724-5.724-S18-T18-U18</f>
        <v>0</v>
      </c>
      <c r="W18" s="13">
        <f t="shared" si="1"/>
        <v>0</v>
      </c>
      <c r="X18" s="13"/>
      <c r="Y18" s="1102">
        <v>0</v>
      </c>
      <c r="Z18" s="1103">
        <v>0</v>
      </c>
      <c r="AA18" s="22">
        <f>0.544-0.544</f>
        <v>0</v>
      </c>
      <c r="AB18" s="23">
        <f>7.4-7.4-Y18-Z18-AA18</f>
        <v>0</v>
      </c>
      <c r="AC18" s="13">
        <f t="shared" si="2"/>
        <v>0</v>
      </c>
      <c r="AD18" s="13"/>
      <c r="AE18" s="20">
        <f>5.8-5.8</f>
        <v>0</v>
      </c>
      <c r="AF18" s="22">
        <f>0.4-0.4</f>
        <v>0</v>
      </c>
      <c r="AG18" s="1103">
        <v>0</v>
      </c>
      <c r="AH18" s="23">
        <f>2.3+6.2-2.3-6.2-AE18-AF18-AG18</f>
        <v>0</v>
      </c>
      <c r="AI18" s="13">
        <f t="shared" si="3"/>
        <v>0</v>
      </c>
      <c r="AJ18" s="19"/>
      <c r="AK18" s="20">
        <f>0.4-0.4</f>
        <v>0</v>
      </c>
      <c r="AL18" s="22">
        <f>-1+1</f>
        <v>0</v>
      </c>
      <c r="AM18" s="1103">
        <v>0</v>
      </c>
      <c r="AN18" s="23">
        <f>0.4-0.4-SUM(AK18:AM18)</f>
        <v>0</v>
      </c>
      <c r="AO18" s="13">
        <f t="shared" si="4"/>
        <v>0</v>
      </c>
      <c r="AP18" s="15"/>
      <c r="AQ18" s="20">
        <f>0.5-0.5</f>
        <v>0</v>
      </c>
      <c r="AR18" s="22">
        <f>1.9-1.9</f>
        <v>0</v>
      </c>
      <c r="AS18" s="22">
        <f>1.9-1.9</f>
        <v>0</v>
      </c>
      <c r="AT18" s="23">
        <f>5.8-8.6-SUM(AQ18:AS18)</f>
        <v>-2.8</v>
      </c>
      <c r="AU18" s="13">
        <f t="shared" si="5"/>
        <v>-2.8</v>
      </c>
      <c r="AV18" s="15"/>
      <c r="AW18" s="20">
        <f>2.1-2.1</f>
        <v>0</v>
      </c>
      <c r="AX18" s="22">
        <f>2.4-2.4</f>
        <v>0</v>
      </c>
      <c r="AY18" s="22">
        <f>3.4+2.9-6.3</f>
        <v>0</v>
      </c>
      <c r="AZ18" s="23">
        <f>13.1-13.8-SUM(AW18:AY18)</f>
        <v>-0.70000000000000107</v>
      </c>
      <c r="BA18" s="13">
        <f t="shared" si="6"/>
        <v>-0.70000000000000107</v>
      </c>
      <c r="BB18" s="15"/>
      <c r="BC18" s="20">
        <f>3.4-3.4</f>
        <v>0</v>
      </c>
      <c r="BD18" s="22">
        <f>3.6-3.6</f>
        <v>0</v>
      </c>
      <c r="BE18" s="22">
        <f>2.5-2.5</f>
        <v>0</v>
      </c>
      <c r="BF18" s="23">
        <f>13.9-13.9-SUM(BC18:BE18)</f>
        <v>0</v>
      </c>
      <c r="BG18" s="13">
        <f t="shared" si="7"/>
        <v>0</v>
      </c>
      <c r="BH18" s="15"/>
      <c r="BI18" s="20">
        <v>6.1</v>
      </c>
      <c r="BJ18" s="22">
        <v>4.5</v>
      </c>
      <c r="BK18" s="22">
        <v>10.5</v>
      </c>
      <c r="BL18" s="1105">
        <f>28.6-SUM(BI18:BK18)</f>
        <v>7.5</v>
      </c>
      <c r="BM18" s="13">
        <f>SUM(BI18:BL18)</f>
        <v>28.6</v>
      </c>
      <c r="BN18" s="15"/>
      <c r="BO18" s="20">
        <v>3.6</v>
      </c>
      <c r="BP18" s="22">
        <v>5.6</v>
      </c>
      <c r="BQ18" s="22">
        <v>12.3</v>
      </c>
      <c r="BR18" s="1105">
        <f>11.5+21.2-SUM(BO18:BQ18)</f>
        <v>11.200000000000003</v>
      </c>
      <c r="BS18" s="13">
        <f>SUM(BO18:BR18)</f>
        <v>32.700000000000003</v>
      </c>
      <c r="BT18" s="15"/>
      <c r="BU18" s="1457">
        <v>13.2</v>
      </c>
      <c r="BV18" s="1831">
        <f>1.8</f>
        <v>1.8</v>
      </c>
      <c r="BW18" s="1824">
        <v>8.9</v>
      </c>
      <c r="BX18" s="1105">
        <f>0.3+0.8</f>
        <v>1.1000000000000001</v>
      </c>
      <c r="BY18" s="13">
        <f>SUM(BU18:BX18)</f>
        <v>25</v>
      </c>
      <c r="BZ18" s="15"/>
      <c r="CA18" s="1457">
        <f>4</f>
        <v>4</v>
      </c>
      <c r="CB18" s="1831">
        <v>12</v>
      </c>
      <c r="CC18" s="1104">
        <v>4.5999999999999996</v>
      </c>
      <c r="CD18" s="1877">
        <v>5.2</v>
      </c>
      <c r="CE18" s="13">
        <f>SUM(CA18:CD18)</f>
        <v>25.8</v>
      </c>
      <c r="CF18" s="15"/>
      <c r="CG18" s="1457">
        <v>3.1</v>
      </c>
      <c r="CH18" s="1824">
        <f>6.4</f>
        <v>6.4</v>
      </c>
      <c r="CI18" s="1824">
        <v>4.3</v>
      </c>
      <c r="CJ18" s="1105">
        <v>5.9</v>
      </c>
      <c r="CK18" s="13">
        <f>SUM(CG18:CJ18)</f>
        <v>19.700000000000003</v>
      </c>
      <c r="CL18" s="15"/>
      <c r="CM18" s="1107">
        <v>4</v>
      </c>
      <c r="CN18" s="1104">
        <v>4</v>
      </c>
      <c r="CO18" s="1104">
        <v>4</v>
      </c>
      <c r="CP18" s="1105">
        <v>4</v>
      </c>
      <c r="CQ18" s="13">
        <f>SUM(CM18:CP18)</f>
        <v>16</v>
      </c>
      <c r="CR18" s="15"/>
      <c r="CS18" s="1107">
        <v>4</v>
      </c>
      <c r="CT18" s="1104">
        <v>4</v>
      </c>
      <c r="CU18" s="1104">
        <v>4</v>
      </c>
      <c r="CV18" s="1105">
        <v>4</v>
      </c>
      <c r="CW18" s="13">
        <f>SUM(CS18:CV18)</f>
        <v>16</v>
      </c>
      <c r="CX18" s="477"/>
      <c r="CY18" s="1107">
        <v>4</v>
      </c>
      <c r="CZ18" s="1104">
        <v>4</v>
      </c>
      <c r="DA18" s="1104">
        <v>4</v>
      </c>
      <c r="DB18" s="1105">
        <v>4</v>
      </c>
      <c r="DC18" s="13">
        <f>SUM(CY18:DB18)</f>
        <v>16</v>
      </c>
      <c r="DD18" s="477"/>
      <c r="DE18" s="1107">
        <v>4</v>
      </c>
      <c r="DF18" s="1104">
        <v>4</v>
      </c>
      <c r="DG18" s="1104">
        <v>4</v>
      </c>
      <c r="DH18" s="1105">
        <v>4</v>
      </c>
      <c r="DI18" s="13">
        <f>SUM(DE18:DH18)</f>
        <v>16</v>
      </c>
      <c r="DJ18"/>
      <c r="DK18"/>
      <c r="DL18"/>
      <c r="DM18"/>
      <c r="DN18"/>
      <c r="DO18"/>
      <c r="DU18" s="1728"/>
      <c r="DV18" s="1728"/>
      <c r="DW18" s="1728"/>
    </row>
    <row r="19" spans="1:127" s="1721" customFormat="1" ht="11.25" customHeight="1" collapsed="1">
      <c r="A19" s="13" t="s">
        <v>9</v>
      </c>
      <c r="B19" s="1692"/>
      <c r="C19" s="1726">
        <f>SUM(C16:C18)</f>
        <v>22.695999999999998</v>
      </c>
      <c r="D19" s="1727"/>
      <c r="E19" s="1726">
        <f>SUM(E16:E18)</f>
        <v>29.893999999999998</v>
      </c>
      <c r="F19" s="1727"/>
      <c r="G19" s="1726">
        <f>SUM(G16:G18)</f>
        <v>38.896000000000001</v>
      </c>
      <c r="H19" s="1727"/>
      <c r="I19" s="1726">
        <f>SUM(I16:I18)</f>
        <v>46.185999999999993</v>
      </c>
      <c r="J19" s="1727"/>
      <c r="K19" s="1726">
        <f>SUM(K16:K18)</f>
        <v>94.057000000000002</v>
      </c>
      <c r="L19" s="1727"/>
      <c r="M19" s="1726">
        <f>SUM(M16:M18)</f>
        <v>104.11199999999999</v>
      </c>
      <c r="N19" s="1727"/>
      <c r="O19" s="1726">
        <f>SUM(O16:O18)</f>
        <v>119.59399999999999</v>
      </c>
      <c r="P19" s="1727"/>
      <c r="Q19" s="1726">
        <f>SUM(Q16:Q18)</f>
        <v>143.55699999999999</v>
      </c>
      <c r="R19" s="1727"/>
      <c r="S19" s="1728">
        <f>SUM(S16:S18)</f>
        <v>37.713999999999999</v>
      </c>
      <c r="T19" s="1728">
        <f>SUM(T16:T18)</f>
        <v>39.656999999999996</v>
      </c>
      <c r="U19" s="1728">
        <f>SUM(U16:U18)</f>
        <v>38.238</v>
      </c>
      <c r="V19" s="1728">
        <f>SUM(V16:V18)</f>
        <v>47.33900000000002</v>
      </c>
      <c r="W19" s="1726">
        <f>SUM(W16:W18)</f>
        <v>162.94800000000004</v>
      </c>
      <c r="X19" s="1727"/>
      <c r="Y19" s="1728">
        <f>SUM(Y16:Y18)</f>
        <v>74.444999999999993</v>
      </c>
      <c r="Z19" s="1728">
        <f>SUM(Z16:Z18)</f>
        <v>77.725000000000009</v>
      </c>
      <c r="AA19" s="1728">
        <f>SUM(AA16:AA18)</f>
        <v>80.048000000000002</v>
      </c>
      <c r="AB19" s="1728">
        <f>SUM(AB16:AB18)</f>
        <v>96.081999999999994</v>
      </c>
      <c r="AC19" s="1726">
        <f>SUM(AC16:AC18)</f>
        <v>328.29999999999995</v>
      </c>
      <c r="AD19" s="1727"/>
      <c r="AE19" s="1728">
        <f>SUM(AE16:AE18)</f>
        <v>91.7</v>
      </c>
      <c r="AF19" s="1728">
        <f>SUM(AF16:AF18)</f>
        <v>99.699999999999989</v>
      </c>
      <c r="AG19" s="1728">
        <f>SUM(AG16:AG18)</f>
        <v>94.700000000000017</v>
      </c>
      <c r="AH19" s="1728">
        <f>SUM(AH16:AH18)</f>
        <v>97.700000000000017</v>
      </c>
      <c r="AI19" s="1726">
        <f>SUM(AI16:AI18)</f>
        <v>383.8</v>
      </c>
      <c r="AJ19" s="1727"/>
      <c r="AK19" s="1728">
        <f>SUM(AK16:AK18)</f>
        <v>87.600000000000009</v>
      </c>
      <c r="AL19" s="1728">
        <f>SUM(AL16:AL18)</f>
        <v>91.5</v>
      </c>
      <c r="AM19" s="1728">
        <f>SUM(AM16:AM18)</f>
        <v>92.800000000000011</v>
      </c>
      <c r="AN19" s="1728">
        <f>SUM(AN16:AN18)</f>
        <v>107.79999999999998</v>
      </c>
      <c r="AO19" s="1726">
        <f>SUM(AO16:AO18)</f>
        <v>379.70000000000005</v>
      </c>
      <c r="AP19" s="1727"/>
      <c r="AQ19" s="1728">
        <f>SUM(AQ16:AQ18)</f>
        <v>96.999999999999986</v>
      </c>
      <c r="AR19" s="1728">
        <f>SUM(AR16:AR18)</f>
        <v>93.7</v>
      </c>
      <c r="AS19" s="1728">
        <f>SUM(AS16:AS18)</f>
        <v>103.3</v>
      </c>
      <c r="AT19" s="1728">
        <f>SUM(AT16:AT18)</f>
        <v>136.00000000000003</v>
      </c>
      <c r="AU19" s="1726">
        <f>SUM(AU16:AU18)</f>
        <v>430.00000000000006</v>
      </c>
      <c r="AV19" s="1727"/>
      <c r="AW19" s="1728">
        <f>SUM(AW16:AW18)</f>
        <v>131.9</v>
      </c>
      <c r="AX19" s="1728">
        <f>SUM(AX16:AX18)</f>
        <v>140.19999999999999</v>
      </c>
      <c r="AY19" s="1728">
        <f>SUM(AY16:AY18)</f>
        <v>142.89999999999998</v>
      </c>
      <c r="AZ19" s="1728">
        <f>SUM(AZ16:AZ18)</f>
        <v>158.30000000000001</v>
      </c>
      <c r="BA19" s="1726">
        <f>SUM(BA16:BA18)</f>
        <v>573.29999999999995</v>
      </c>
      <c r="BB19" s="1727"/>
      <c r="BC19" s="1728">
        <f>SUM(BC16:BC18)</f>
        <v>151.80000000000001</v>
      </c>
      <c r="BD19" s="1728">
        <f>SUM(BD16:BD18)</f>
        <v>161.6</v>
      </c>
      <c r="BE19" s="1728">
        <f>SUM(BE16:BE18)</f>
        <v>147</v>
      </c>
      <c r="BF19" s="1728">
        <f>SUM(BF16:BF18)</f>
        <v>173.89999999999998</v>
      </c>
      <c r="BG19" s="1726">
        <f>SUM(BG16:BG18)</f>
        <v>634.29999999999995</v>
      </c>
      <c r="BH19" s="1727"/>
      <c r="BI19" s="1728">
        <f>SUM(BI16:BI18)</f>
        <v>155.89999999999998</v>
      </c>
      <c r="BJ19" s="1728">
        <f>SUM(BJ16:BJ18)</f>
        <v>153.20000000000002</v>
      </c>
      <c r="BK19" s="1728">
        <f>SUM(BK16:BK18)</f>
        <v>150.90000000000003</v>
      </c>
      <c r="BL19" s="1729">
        <f>SUM(BL16:BL18)</f>
        <v>166.99999999999991</v>
      </c>
      <c r="BM19" s="1726">
        <f>SUM(BM16:BM18)</f>
        <v>627</v>
      </c>
      <c r="BN19" s="1727"/>
      <c r="BO19" s="1728">
        <f>SUM(BO16:BO18)</f>
        <v>155.1</v>
      </c>
      <c r="BP19" s="1728">
        <f>SUM(BP16:BP18)</f>
        <v>159.1</v>
      </c>
      <c r="BQ19" s="1728">
        <f>SUM(BQ16:BQ18)</f>
        <v>149.60000000000002</v>
      </c>
      <c r="BR19" s="1729">
        <f>SUM(BR16:BR18)</f>
        <v>159.5</v>
      </c>
      <c r="BS19" s="1726">
        <f>SUM(BS16:BS18)</f>
        <v>623.29999999999995</v>
      </c>
      <c r="BT19" s="1727"/>
      <c r="BU19" s="1728">
        <f>SUM(BU16:BU18)</f>
        <v>131.29999999999998</v>
      </c>
      <c r="BV19" s="1728">
        <f>SUM(BV16:BV18)</f>
        <v>135.5</v>
      </c>
      <c r="BW19" s="1728">
        <f>SUM(BW16:BW18)</f>
        <v>129.9</v>
      </c>
      <c r="BX19" s="1729">
        <f>SUM(BX16:BX18)</f>
        <v>139.1</v>
      </c>
      <c r="BY19" s="1726">
        <f>SUM(BY16:BY18)</f>
        <v>535.79999999999995</v>
      </c>
      <c r="BZ19" s="1727"/>
      <c r="CA19" s="1728">
        <f>SUM(CA16:CA18)</f>
        <v>128.1</v>
      </c>
      <c r="CB19" s="1728">
        <f>SUM(CB16:CB18)</f>
        <v>136.89999999999998</v>
      </c>
      <c r="CC19" s="1728">
        <f>SUM(CC16:CC18)</f>
        <v>134</v>
      </c>
      <c r="CD19" s="1729">
        <f>SUM(CD16:CD18)</f>
        <v>137.49999999999997</v>
      </c>
      <c r="CE19" s="1726">
        <f>SUM(CE16:CE18)</f>
        <v>536.5</v>
      </c>
      <c r="CF19" s="1727"/>
      <c r="CG19" s="1730">
        <f>SUM(CG16:CG18)</f>
        <v>134.19999999999999</v>
      </c>
      <c r="CH19" s="1728">
        <f>SUM(CH16:CH18)</f>
        <v>141.6</v>
      </c>
      <c r="CI19" s="1728">
        <f>SUM(CI16:CI18)</f>
        <v>143.00000000000003</v>
      </c>
      <c r="CJ19" s="1729">
        <f>SUM(CJ16:CJ18)</f>
        <v>154.20000000000002</v>
      </c>
      <c r="CK19" s="1726">
        <f>SUM(CK16:CK18)</f>
        <v>573.00000000000011</v>
      </c>
      <c r="CL19" s="1727"/>
      <c r="CM19" s="1730">
        <f>SUM(CM16:CM18)</f>
        <v>137.88199271104722</v>
      </c>
      <c r="CN19" s="1728">
        <f>SUM(CN16:CN18)</f>
        <v>141.23384379253616</v>
      </c>
      <c r="CO19" s="1728">
        <f>SUM(CO16:CO18)</f>
        <v>146.51593433578722</v>
      </c>
      <c r="CP19" s="1729">
        <f>SUM(CP16:CP18)</f>
        <v>180.26091692383162</v>
      </c>
      <c r="CQ19" s="1726">
        <f>SUM(CQ16:CQ18)</f>
        <v>605.89268776320216</v>
      </c>
      <c r="CR19" s="1727"/>
      <c r="CS19" s="1730">
        <f>SUM(CS16:CS18)</f>
        <v>138.48529256938679</v>
      </c>
      <c r="CT19" s="1728">
        <f>SUM(CT16:CT18)</f>
        <v>144.21409684477572</v>
      </c>
      <c r="CU19" s="1728">
        <f>SUM(CU16:CU18)</f>
        <v>146.83025884737947</v>
      </c>
      <c r="CV19" s="1729">
        <f>SUM(CV16:CV18)</f>
        <v>186.4849302638176</v>
      </c>
      <c r="CW19" s="1726">
        <f>SUM(CW16:CW18)</f>
        <v>616.01457852535964</v>
      </c>
      <c r="CX19" s="1728"/>
      <c r="CY19" s="1730">
        <f>SUM(CY16:CY18)</f>
        <v>139.89797297853121</v>
      </c>
      <c r="CZ19" s="1728">
        <f>SUM(CZ16:CZ18)</f>
        <v>143.34570443458153</v>
      </c>
      <c r="DA19" s="1728">
        <f>SUM(DA16:DA18)</f>
        <v>149.41873632392648</v>
      </c>
      <c r="DB19" s="1729">
        <f>SUM(DB16:DB18)</f>
        <v>186.9837630712189</v>
      </c>
      <c r="DC19" s="1726">
        <f>SUM(DC16:DC18)</f>
        <v>619.64617680825813</v>
      </c>
      <c r="DD19" s="1728"/>
      <c r="DE19" s="1730">
        <f>SUM(DE16:DE18)</f>
        <v>139.85685506522103</v>
      </c>
      <c r="DF19" s="1728">
        <f>SUM(DF16:DF18)</f>
        <v>145.49371994418732</v>
      </c>
      <c r="DG19" s="1728">
        <f>SUM(DG16:DG18)</f>
        <v>149.19106000096204</v>
      </c>
      <c r="DH19" s="1729">
        <f>SUM(DH16:DH18)</f>
        <v>189.07270592277365</v>
      </c>
      <c r="DI19" s="1726">
        <f>SUM(DI16:DI18)</f>
        <v>623.61434093314415</v>
      </c>
      <c r="DJ19"/>
      <c r="DK19"/>
      <c r="DL19"/>
      <c r="DM19"/>
      <c r="DN19"/>
      <c r="DO19"/>
      <c r="DU19" s="1734"/>
      <c r="DV19" s="1734"/>
      <c r="DW19" s="1734"/>
    </row>
    <row r="20" spans="1:127" s="16" customFormat="1" ht="11.25" customHeight="1" collapsed="1">
      <c r="A20" s="1694" t="s">
        <v>376</v>
      </c>
      <c r="B20" s="1731"/>
      <c r="C20" s="286">
        <f>C15-C19</f>
        <v>-0.16100000000000492</v>
      </c>
      <c r="D20" s="287"/>
      <c r="E20" s="286">
        <f>E15-E19</f>
        <v>3.1780000000000044</v>
      </c>
      <c r="F20" s="287"/>
      <c r="G20" s="286">
        <f>G15-G19</f>
        <v>2.1189999999999998</v>
      </c>
      <c r="H20" s="287"/>
      <c r="I20" s="286">
        <f>I15-I19</f>
        <v>2.9170000000000087</v>
      </c>
      <c r="J20" s="287"/>
      <c r="K20" s="286">
        <f>K15-K19</f>
        <v>8.3149999999999835</v>
      </c>
      <c r="L20" s="287"/>
      <c r="M20" s="286">
        <f>M15-M19</f>
        <v>3.2670000000000243</v>
      </c>
      <c r="N20" s="287"/>
      <c r="O20" s="286">
        <f>O15-O19</f>
        <v>-1.117999999999995</v>
      </c>
      <c r="P20" s="287"/>
      <c r="Q20" s="286">
        <f>Q15-Q19</f>
        <v>22.421999999999997</v>
      </c>
      <c r="R20" s="287"/>
      <c r="S20" s="1444">
        <f>S15-S19</f>
        <v>6.0419999999999945</v>
      </c>
      <c r="T20" s="1444">
        <f>T15-T19</f>
        <v>6.5659999999999883</v>
      </c>
      <c r="U20" s="1444">
        <f>U15-U19</f>
        <v>7.9450000000000074</v>
      </c>
      <c r="V20" s="1444">
        <f>V15-V19</f>
        <v>15.83300000000002</v>
      </c>
      <c r="W20" s="286">
        <f>W15-W19</f>
        <v>36.385999999999967</v>
      </c>
      <c r="X20" s="287"/>
      <c r="Y20" s="1444">
        <f>Y15-Y19</f>
        <v>20.103000000000009</v>
      </c>
      <c r="Z20" s="1444">
        <f>Z15-Z19</f>
        <v>22.189999999999984</v>
      </c>
      <c r="AA20" s="1444">
        <f>AA15-AA19</f>
        <v>31.059999999999974</v>
      </c>
      <c r="AB20" s="1444">
        <f>AB15-AB19</f>
        <v>73.947000000000088</v>
      </c>
      <c r="AC20" s="286">
        <f>AC15-AC19</f>
        <v>147.30000000000007</v>
      </c>
      <c r="AD20" s="287"/>
      <c r="AE20" s="1444">
        <f>AE15-AE19</f>
        <v>22.299999999999997</v>
      </c>
      <c r="AF20" s="1444">
        <f>AF15-AF19</f>
        <v>29.900000000000006</v>
      </c>
      <c r="AG20" s="1444">
        <f>AG15-AG19</f>
        <v>16.400000000000006</v>
      </c>
      <c r="AH20" s="1444">
        <f>AH15-AH19</f>
        <v>52.599999999999909</v>
      </c>
      <c r="AI20" s="286">
        <f>AI15-AI19</f>
        <v>121.19999999999987</v>
      </c>
      <c r="AJ20" s="287"/>
      <c r="AK20" s="1444">
        <f>AK15-AK19</f>
        <v>15.09999999999998</v>
      </c>
      <c r="AL20" s="1444">
        <f>AL15-AL19</f>
        <v>19.699999999999989</v>
      </c>
      <c r="AM20" s="1444">
        <f>AM15-AM19</f>
        <v>26.399999999999949</v>
      </c>
      <c r="AN20" s="1444">
        <f>AN15-AN19</f>
        <v>70.999999999999972</v>
      </c>
      <c r="AO20" s="286">
        <f>AO15-AO19</f>
        <v>132.19999999999982</v>
      </c>
      <c r="AP20" s="287"/>
      <c r="AQ20" s="1444">
        <f>AQ15-AQ19</f>
        <v>29.500000000000014</v>
      </c>
      <c r="AR20" s="1444">
        <f>AR15-AR19</f>
        <v>42.399999999999963</v>
      </c>
      <c r="AS20" s="1444">
        <f>AS15-AS19</f>
        <v>48.7</v>
      </c>
      <c r="AT20" s="1444">
        <f>AT15-AT19</f>
        <v>66.999999999999943</v>
      </c>
      <c r="AU20" s="286">
        <f>AU15-AU19</f>
        <v>187.60000000000008</v>
      </c>
      <c r="AV20" s="287"/>
      <c r="AW20" s="1444">
        <f>AW15-AW19</f>
        <v>37.599999999999994</v>
      </c>
      <c r="AX20" s="1444">
        <f>AX15-AX19</f>
        <v>52.200000000000102</v>
      </c>
      <c r="AY20" s="1444">
        <f>AY15-AY19</f>
        <v>52.199999999999989</v>
      </c>
      <c r="AZ20" s="1444">
        <f>AZ15-AZ19</f>
        <v>62.699999999999818</v>
      </c>
      <c r="BA20" s="286">
        <f>BA15-BA19</f>
        <v>204.69999999999982</v>
      </c>
      <c r="BB20" s="287"/>
      <c r="BC20" s="1444">
        <f>BC15-BC19</f>
        <v>43.599999999999966</v>
      </c>
      <c r="BD20" s="1444">
        <f>BD15-BD19</f>
        <v>33.000000000000028</v>
      </c>
      <c r="BE20" s="1444">
        <f>BE15-BE19</f>
        <v>69.400000000000006</v>
      </c>
      <c r="BF20" s="1444">
        <f>BF15-BF19</f>
        <v>73.000000000000114</v>
      </c>
      <c r="BG20" s="286">
        <f>BG15-BG19</f>
        <v>219.00000000000011</v>
      </c>
      <c r="BH20" s="287"/>
      <c r="BI20" s="1444">
        <f>BI15-BI19</f>
        <v>23.600000000000051</v>
      </c>
      <c r="BJ20" s="1444">
        <f>BJ15-BJ19</f>
        <v>53.299999999999983</v>
      </c>
      <c r="BK20" s="1444">
        <f>BK15-BK19</f>
        <v>47.299999999999955</v>
      </c>
      <c r="BL20" s="1444">
        <f>BL15-BL19</f>
        <v>81.300000000000097</v>
      </c>
      <c r="BM20" s="286">
        <f>BM15-BM19</f>
        <v>205.5</v>
      </c>
      <c r="BN20" s="287"/>
      <c r="BO20" s="1444">
        <f>BO15-BO19</f>
        <v>32.100000000000051</v>
      </c>
      <c r="BP20" s="1444">
        <f>BP15-BP19</f>
        <v>52.69999999999996</v>
      </c>
      <c r="BQ20" s="1444">
        <f>BQ15-BQ19</f>
        <v>35.899999999999977</v>
      </c>
      <c r="BR20" s="1732">
        <f>BR15-BR19</f>
        <v>63.700000000000102</v>
      </c>
      <c r="BS20" s="286">
        <f>BS15-BS19</f>
        <v>184.40000000000009</v>
      </c>
      <c r="BT20" s="287"/>
      <c r="BU20" s="1444">
        <f>BU15-BU19</f>
        <v>35.800000000000011</v>
      </c>
      <c r="BV20" s="1444">
        <f>BV15-BV19</f>
        <v>42.899999999999977</v>
      </c>
      <c r="BW20" s="1444">
        <f>BW15-BW19</f>
        <v>52.800000000000011</v>
      </c>
      <c r="BX20" s="1732">
        <f>BX15-BX19</f>
        <v>83.699999999999903</v>
      </c>
      <c r="BY20" s="286">
        <f>BY15-BY19</f>
        <v>215.20000000000005</v>
      </c>
      <c r="BZ20" s="287"/>
      <c r="CA20" s="1444">
        <f>CA15-CA19</f>
        <v>47.30000000000004</v>
      </c>
      <c r="CB20" s="1444">
        <f>CB15-CB19</f>
        <v>40.000000000000057</v>
      </c>
      <c r="CC20" s="1444">
        <f>CC15-CC19</f>
        <v>58.599999999999966</v>
      </c>
      <c r="CD20" s="1732">
        <f>CD15-CD19</f>
        <v>91.999999999999943</v>
      </c>
      <c r="CE20" s="286">
        <f>CE15-CE19</f>
        <v>237.90000000000009</v>
      </c>
      <c r="CF20" s="287"/>
      <c r="CG20" s="1733">
        <f>CG15-CG19</f>
        <v>49.199999999999989</v>
      </c>
      <c r="CH20" s="1444">
        <f>CH15-CH19</f>
        <v>51.699999999999989</v>
      </c>
      <c r="CI20" s="1444">
        <f>CI15-CI19</f>
        <v>64.399999999999949</v>
      </c>
      <c r="CJ20" s="1732">
        <f>CJ15-CJ19</f>
        <v>110.80000000000021</v>
      </c>
      <c r="CK20" s="286">
        <f>CK15-CK19</f>
        <v>276.10000000000002</v>
      </c>
      <c r="CL20" s="287"/>
      <c r="CM20" s="1733">
        <f>CM15-CM19</f>
        <v>54.467452513052251</v>
      </c>
      <c r="CN20" s="1444">
        <f>CN15-CN19</f>
        <v>55.931235580284778</v>
      </c>
      <c r="CO20" s="1444">
        <f>CO15-CO19</f>
        <v>78.08196218073823</v>
      </c>
      <c r="CP20" s="1732">
        <f>CP15-CP19</f>
        <v>119.82887201610956</v>
      </c>
      <c r="CQ20" s="286">
        <f>CQ15-CQ19</f>
        <v>308.30952229018487</v>
      </c>
      <c r="CR20" s="287"/>
      <c r="CS20" s="1733">
        <f>CS15-CS19</f>
        <v>75.31183920758707</v>
      </c>
      <c r="CT20" s="1444">
        <f>CT15-CT19</f>
        <v>78.690364805893353</v>
      </c>
      <c r="CU20" s="1444">
        <f>CU15-CU19</f>
        <v>80.23322957665971</v>
      </c>
      <c r="CV20" s="1732">
        <f>CV15-CV19</f>
        <v>103.61931784789238</v>
      </c>
      <c r="CW20" s="286">
        <f>CW15-CW19</f>
        <v>337.85475143803228</v>
      </c>
      <c r="CX20" s="1728"/>
      <c r="CY20" s="1733">
        <f>CY15-CY19</f>
        <v>82.319559383757593</v>
      </c>
      <c r="CZ20" s="1444">
        <f>CZ15-CZ19</f>
        <v>84.50948653010883</v>
      </c>
      <c r="DA20" s="1444">
        <f>DA15-DA19</f>
        <v>88.366949782298576</v>
      </c>
      <c r="DB20" s="1732">
        <f>DB15-DB19</f>
        <v>112.22747165761467</v>
      </c>
      <c r="DC20" s="286">
        <f>DC15-DC19</f>
        <v>367.42346735377964</v>
      </c>
      <c r="DD20" s="1728"/>
      <c r="DE20" s="1733">
        <f>DE15-DE19</f>
        <v>89.120427147353524</v>
      </c>
      <c r="DF20" s="1444">
        <f>DF15-DF19</f>
        <v>92.984106054459573</v>
      </c>
      <c r="DG20" s="1444">
        <f>DG15-DG19</f>
        <v>95.518375563573329</v>
      </c>
      <c r="DH20" s="1732">
        <f>DH15-DH19</f>
        <v>122.8544706159409</v>
      </c>
      <c r="DI20" s="286">
        <f>DI15-DI19</f>
        <v>400.47737938132718</v>
      </c>
      <c r="DJ20"/>
      <c r="DK20"/>
      <c r="DL20"/>
      <c r="DM20"/>
      <c r="DN20"/>
      <c r="DO20"/>
      <c r="DS20" s="1822"/>
      <c r="DT20" s="1822"/>
      <c r="DU20" s="1735"/>
      <c r="DV20" s="1735"/>
      <c r="DW20" s="1735"/>
    </row>
    <row r="21" spans="1:127" s="16" customFormat="1" ht="11.25" hidden="1" customHeight="1" outlineLevel="1">
      <c r="A21" s="1693" t="s">
        <v>28</v>
      </c>
      <c r="B21" s="1692"/>
      <c r="C21" s="1124">
        <f>CF!C13</f>
        <v>2.4649999999999999</v>
      </c>
      <c r="D21" s="1124"/>
      <c r="E21" s="1124">
        <f>CF!E13</f>
        <v>3.3170000000000002</v>
      </c>
      <c r="F21" s="1124"/>
      <c r="G21" s="1124">
        <f>CF!G13</f>
        <v>3.2</v>
      </c>
      <c r="H21" s="1124"/>
      <c r="I21" s="1124">
        <f>CF!I13</f>
        <v>4.24</v>
      </c>
      <c r="J21" s="1124"/>
      <c r="K21" s="1124">
        <f>CF!K13</f>
        <v>11.824</v>
      </c>
      <c r="L21" s="13"/>
      <c r="M21" s="1124">
        <f>CF!M13</f>
        <v>10.178000000000001</v>
      </c>
      <c r="N21" s="1124"/>
      <c r="O21" s="1124">
        <f>CF!O13</f>
        <v>9.2929999999999993</v>
      </c>
      <c r="P21" s="1124"/>
      <c r="Q21" s="1124">
        <f>CF!Q13</f>
        <v>10.006</v>
      </c>
      <c r="R21" s="1124"/>
      <c r="S21" s="1122">
        <f>CF!S13</f>
        <v>3.2222499999999998</v>
      </c>
      <c r="T21" s="1123">
        <f>CF!T13</f>
        <v>3.2222499999999998</v>
      </c>
      <c r="U21" s="1123">
        <f>CF!U13</f>
        <v>3.0222500000000001</v>
      </c>
      <c r="V21" s="1122">
        <f>CF!V13</f>
        <v>2.6222500000000002</v>
      </c>
      <c r="W21" s="1124">
        <f>CF!W13</f>
        <v>12.089</v>
      </c>
      <c r="X21" s="13"/>
      <c r="Y21" s="1122">
        <f>CF!Y13</f>
        <v>6.8879999999999999</v>
      </c>
      <c r="Z21" s="1123">
        <f>CF!Z13</f>
        <v>6.8879999999999999</v>
      </c>
      <c r="AA21" s="1123">
        <f>CF!AA13</f>
        <v>7.1879999999999997</v>
      </c>
      <c r="AB21" s="1122">
        <f>CF!AB13</f>
        <v>4.9359999999999964</v>
      </c>
      <c r="AC21" s="1124">
        <f>CF!AC13</f>
        <v>25.9</v>
      </c>
      <c r="AD21" s="1124"/>
      <c r="AE21" s="1122">
        <f>CF!AE13</f>
        <v>7</v>
      </c>
      <c r="AF21" s="1123">
        <f>CF!AF13</f>
        <v>6.8</v>
      </c>
      <c r="AG21" s="1123">
        <f>CF!AG13</f>
        <v>7.4</v>
      </c>
      <c r="AH21" s="1122">
        <f>CF!AH13</f>
        <v>6.3</v>
      </c>
      <c r="AI21" s="1124">
        <f>CF!AI13</f>
        <v>27.500000000000004</v>
      </c>
      <c r="AJ21" s="13"/>
      <c r="AK21" s="1122">
        <f>CF!AK13</f>
        <v>6.1999999999999993</v>
      </c>
      <c r="AL21" s="1123">
        <f>CF!AL13</f>
        <v>6.4</v>
      </c>
      <c r="AM21" s="1123">
        <f>CF!AM13</f>
        <v>6.4999999999999982</v>
      </c>
      <c r="AN21" s="1122">
        <f>CF!AN13</f>
        <v>8.8000000000000007</v>
      </c>
      <c r="AO21" s="533">
        <f>SUM(AK21:AN21)</f>
        <v>27.9</v>
      </c>
      <c r="AP21" s="13"/>
      <c r="AQ21" s="1122">
        <f>CF!AQ13</f>
        <v>7</v>
      </c>
      <c r="AR21" s="1123">
        <f>CF!AR13</f>
        <v>6.6</v>
      </c>
      <c r="AS21" s="1123">
        <f>CF!AS13</f>
        <v>8.1000000000000014</v>
      </c>
      <c r="AT21" s="1122">
        <f>CF!AT13</f>
        <v>8.6000000000000014</v>
      </c>
      <c r="AU21" s="533">
        <f>SUM(AQ21:AT21)</f>
        <v>30.300000000000004</v>
      </c>
      <c r="AV21" s="13"/>
      <c r="AW21" s="1122">
        <f>CF!AW13</f>
        <v>8</v>
      </c>
      <c r="AX21" s="1123">
        <f>CF!AX13</f>
        <v>9.6</v>
      </c>
      <c r="AY21" s="1123">
        <f>CF!AY13</f>
        <v>8.5999999999999979</v>
      </c>
      <c r="AZ21" s="1122">
        <f>CF!AZ13</f>
        <v>8.6</v>
      </c>
      <c r="BA21" s="533">
        <f>SUM(AW21:AZ21)</f>
        <v>34.799999999999997</v>
      </c>
      <c r="BB21" s="13"/>
      <c r="BC21" s="1122">
        <f>CF!BC13</f>
        <v>8.5</v>
      </c>
      <c r="BD21" s="1123">
        <f>CF!BD13</f>
        <v>9.4000000000000021</v>
      </c>
      <c r="BE21" s="1123">
        <f>CF!BE13</f>
        <v>8.3999999999999986</v>
      </c>
      <c r="BF21" s="1122">
        <f>CF!BF13</f>
        <v>10.8</v>
      </c>
      <c r="BG21" s="533">
        <f>SUM(BC21:BF21)</f>
        <v>37.1</v>
      </c>
      <c r="BH21" s="13"/>
      <c r="BI21" s="1122">
        <f>CF!BI13</f>
        <v>10.1</v>
      </c>
      <c r="BJ21" s="1123">
        <f>CF!BJ13</f>
        <v>9.9</v>
      </c>
      <c r="BK21" s="1123">
        <f>CF!BK13</f>
        <v>10.1</v>
      </c>
      <c r="BL21" s="1122">
        <f>CF!BL13</f>
        <v>10.5</v>
      </c>
      <c r="BM21" s="533">
        <f>SUM(BI21:BL21)</f>
        <v>40.6</v>
      </c>
      <c r="BN21" s="13"/>
      <c r="BO21" s="1122">
        <f>CF!BO13</f>
        <v>10</v>
      </c>
      <c r="BP21" s="1123">
        <f>CF!BP13</f>
        <v>10</v>
      </c>
      <c r="BQ21" s="1123">
        <f>CF!BQ13</f>
        <v>12.500000000000002</v>
      </c>
      <c r="BR21" s="1122">
        <f>CF!BR13</f>
        <v>7.0000000000000018</v>
      </c>
      <c r="BS21" s="533">
        <f>SUM(BO21:BR21)</f>
        <v>39.5</v>
      </c>
      <c r="BT21" s="13"/>
      <c r="BU21" s="1122">
        <f>CF!BU13</f>
        <v>8.3000000000000007</v>
      </c>
      <c r="BV21" s="1123">
        <f>CF!BV13</f>
        <v>7.9999999999999991</v>
      </c>
      <c r="BW21" s="1123">
        <f>CF!BW13</f>
        <v>8.2000000000000011</v>
      </c>
      <c r="BX21" s="1122">
        <f>CF!BX13</f>
        <v>8.0999999999999943</v>
      </c>
      <c r="BY21" s="533">
        <f>SUM(BU21:BX21)</f>
        <v>32.599999999999994</v>
      </c>
      <c r="BZ21" s="13"/>
      <c r="CA21" s="1122">
        <f>CF!CA13</f>
        <v>7.7999999999999989</v>
      </c>
      <c r="CB21" s="1123">
        <f>CF!CB13</f>
        <v>8.1</v>
      </c>
      <c r="CC21" s="1123">
        <f>CF!CC13</f>
        <v>8.3000000000000007</v>
      </c>
      <c r="CD21" s="1122">
        <f>CF!CD13</f>
        <v>8.399999999999995</v>
      </c>
      <c r="CE21" s="533">
        <f>SUM(CA21:CD21)</f>
        <v>32.599999999999994</v>
      </c>
      <c r="CF21" s="13"/>
      <c r="CG21" s="1122">
        <f>CF!CG13</f>
        <v>8.1999999999999993</v>
      </c>
      <c r="CH21" s="2217">
        <f>CF!CH13</f>
        <v>8.5</v>
      </c>
      <c r="CI21" s="1123">
        <f>CF!CI13</f>
        <v>8.9</v>
      </c>
      <c r="CJ21" s="1122">
        <f>CF!CJ13</f>
        <v>8.6999999999999957</v>
      </c>
      <c r="CK21" s="533">
        <f>SUM(CG21:CJ21)</f>
        <v>34.299999999999997</v>
      </c>
      <c r="CL21" s="13"/>
      <c r="CM21" s="1122">
        <f>CF!CM13</f>
        <v>11.3615245</v>
      </c>
      <c r="CN21" s="1123">
        <f>CF!CN13</f>
        <v>11.508772448929564</v>
      </c>
      <c r="CO21" s="1123">
        <f>CF!CO13</f>
        <v>11.659706877174775</v>
      </c>
      <c r="CP21" s="1122">
        <f>CF!CP13</f>
        <v>11.816450727455051</v>
      </c>
      <c r="CQ21" s="533">
        <f>SUM(CM21:CP21)</f>
        <v>46.34645455355939</v>
      </c>
      <c r="CR21" s="13"/>
      <c r="CS21" s="1122">
        <f>CF!CS13</f>
        <v>12.010308452216398</v>
      </c>
      <c r="CT21" s="1123">
        <f>CF!CT13</f>
        <v>12.145983422373897</v>
      </c>
      <c r="CU21" s="1123">
        <f>CF!CU13</f>
        <v>12.287437874690761</v>
      </c>
      <c r="CV21" s="1122">
        <f>CF!CV13</f>
        <v>12.431531631981791</v>
      </c>
      <c r="CW21" s="533">
        <f>SUM(CS21:CV21)</f>
        <v>48.875261381262845</v>
      </c>
      <c r="CX21" s="1718"/>
      <c r="CY21" s="1122">
        <f>CF!CY13</f>
        <v>12.615630852013327</v>
      </c>
      <c r="CZ21" s="1123">
        <f>CF!CZ13</f>
        <v>12.754963900790925</v>
      </c>
      <c r="DA21" s="1123">
        <f>CF!DA13</f>
        <v>12.897831828894603</v>
      </c>
      <c r="DB21" s="1122">
        <f>CF!DB13</f>
        <v>13.046926296143198</v>
      </c>
      <c r="DC21" s="533">
        <f>SUM(CY21:DB21)</f>
        <v>51.315352877842052</v>
      </c>
      <c r="DD21" s="1718"/>
      <c r="DE21" s="1122">
        <f>CF!DE13</f>
        <v>13.234535316548074</v>
      </c>
      <c r="DF21" s="1123">
        <f>CF!DF13</f>
        <v>13.376132348668367</v>
      </c>
      <c r="DG21" s="1123">
        <f>CF!DG13</f>
        <v>13.523604412541323</v>
      </c>
      <c r="DH21" s="1122">
        <f>CF!DH13</f>
        <v>13.674930035209876</v>
      </c>
      <c r="DI21" s="533">
        <f>SUM(DE21:DH21)</f>
        <v>53.80920211296764</v>
      </c>
      <c r="DJ21"/>
      <c r="DK21"/>
      <c r="DL21"/>
      <c r="DM21"/>
      <c r="DN21"/>
      <c r="DO21"/>
      <c r="DU21" s="1735"/>
      <c r="DV21" s="1735"/>
      <c r="DW21" s="1735"/>
    </row>
    <row r="22" spans="1:127" s="16" customFormat="1" ht="11.25" hidden="1" customHeight="1" outlineLevel="1">
      <c r="A22" s="1693" t="s">
        <v>475</v>
      </c>
      <c r="B22" s="1692"/>
      <c r="C22" s="1124">
        <f>CF!C14</f>
        <v>0.14000000000000012</v>
      </c>
      <c r="D22" s="1124"/>
      <c r="E22" s="1124">
        <f>CF!E14</f>
        <v>0.16999999999999993</v>
      </c>
      <c r="F22" s="1124"/>
      <c r="G22" s="1124">
        <f>CF!G14</f>
        <v>0.9449999999999994</v>
      </c>
      <c r="H22" s="1124"/>
      <c r="I22" s="1124">
        <f>CF!I14</f>
        <v>1.8</v>
      </c>
      <c r="J22" s="1124"/>
      <c r="K22" s="1124">
        <f>CF!K14</f>
        <v>0</v>
      </c>
      <c r="L22" s="13"/>
      <c r="M22" s="1124">
        <f>CF!M14</f>
        <v>0.2</v>
      </c>
      <c r="N22" s="1124"/>
      <c r="O22" s="1124">
        <f>CF!O14</f>
        <v>0.5</v>
      </c>
      <c r="P22" s="1124"/>
      <c r="Q22" s="1124">
        <f>CF!Q14</f>
        <v>0.5</v>
      </c>
      <c r="R22" s="1124"/>
      <c r="S22" s="1122">
        <f>CF!S14</f>
        <v>0.1</v>
      </c>
      <c r="T22" s="1123">
        <f>CF!T14</f>
        <v>0.1</v>
      </c>
      <c r="U22" s="1123">
        <f>CF!U14</f>
        <v>0.3</v>
      </c>
      <c r="V22" s="1122">
        <f>CF!V14</f>
        <v>0.7</v>
      </c>
      <c r="W22" s="1124">
        <f>CF!W14</f>
        <v>1.2</v>
      </c>
      <c r="X22" s="13"/>
      <c r="Y22" s="1122">
        <f>CF!Y14</f>
        <v>0.7</v>
      </c>
      <c r="Z22" s="1123">
        <f>CF!Z14</f>
        <v>0.7</v>
      </c>
      <c r="AA22" s="1123">
        <f>CF!AA14</f>
        <v>0.4</v>
      </c>
      <c r="AB22" s="1122">
        <f>CF!AB14</f>
        <v>0.20000000000000007</v>
      </c>
      <c r="AC22" s="1124">
        <f>CF!AC14</f>
        <v>2</v>
      </c>
      <c r="AD22" s="1124"/>
      <c r="AE22" s="1122">
        <f>CF!AE14</f>
        <v>0.4</v>
      </c>
      <c r="AF22" s="1123">
        <f>CF!AF14</f>
        <v>0.3</v>
      </c>
      <c r="AG22" s="1123">
        <f>CF!AG14</f>
        <v>0.4</v>
      </c>
      <c r="AH22" s="1122">
        <f>CF!AH14</f>
        <v>0.7</v>
      </c>
      <c r="AI22" s="1124">
        <f>CF!AI14</f>
        <v>1.8</v>
      </c>
      <c r="AJ22" s="13"/>
      <c r="AK22" s="1122">
        <f>CF!AK14</f>
        <v>0.4</v>
      </c>
      <c r="AL22" s="1123">
        <f>CF!AL14</f>
        <v>0.5</v>
      </c>
      <c r="AM22" s="1123">
        <f>CF!AM14</f>
        <v>0.4</v>
      </c>
      <c r="AN22" s="1122">
        <f>CF!AN14</f>
        <v>0.49999999999999989</v>
      </c>
      <c r="AO22" s="533">
        <f>SUM(AK22:AN22)</f>
        <v>1.7999999999999998</v>
      </c>
      <c r="AP22" s="13"/>
      <c r="AQ22" s="1122">
        <f>CF!AQ14</f>
        <v>0.5</v>
      </c>
      <c r="AR22" s="1123">
        <f>CF!AR14</f>
        <v>0.60000000000000009</v>
      </c>
      <c r="AS22" s="1123">
        <f>CF!AS14</f>
        <v>1</v>
      </c>
      <c r="AT22" s="1122">
        <f>CF!AT14</f>
        <v>3.6999999999999993</v>
      </c>
      <c r="AU22" s="533">
        <f>SUM(AQ22:AT22)</f>
        <v>5.7999999999999989</v>
      </c>
      <c r="AV22" s="13"/>
      <c r="AW22" s="1122">
        <f>CF!AW14</f>
        <v>3.9</v>
      </c>
      <c r="AX22" s="1123">
        <f>CF!AX14</f>
        <v>4.1999999999999993</v>
      </c>
      <c r="AY22" s="1123">
        <f>CF!AY14</f>
        <v>5</v>
      </c>
      <c r="AZ22" s="1122">
        <f>CF!AZ14</f>
        <v>5.0000000000000018</v>
      </c>
      <c r="BA22" s="533">
        <f>SUM(AW22:AZ22)</f>
        <v>18.100000000000001</v>
      </c>
      <c r="BB22" s="13"/>
      <c r="BC22" s="1122">
        <f>CF!BC14</f>
        <v>5.0999999999999996</v>
      </c>
      <c r="BD22" s="1123">
        <f>CF!BD14</f>
        <v>5.6</v>
      </c>
      <c r="BE22" s="1123">
        <f>CF!BE14</f>
        <v>5.5</v>
      </c>
      <c r="BF22" s="1122">
        <f>CF!BF14</f>
        <v>5.8000000000000007</v>
      </c>
      <c r="BG22" s="533">
        <f>SUM(BC22:BF22)</f>
        <v>22</v>
      </c>
      <c r="BH22" s="13"/>
      <c r="BI22" s="1122">
        <f>CF!BI14</f>
        <v>5.0999999999999996</v>
      </c>
      <c r="BJ22" s="1123">
        <f>CF!BJ14</f>
        <v>5.0999999999999996</v>
      </c>
      <c r="BK22" s="1123">
        <f>CF!BK14</f>
        <v>5.0999999999999996</v>
      </c>
      <c r="BL22" s="1122">
        <f>CF!BL14</f>
        <v>5.4</v>
      </c>
      <c r="BM22" s="533">
        <f>SUM(BI22:BL22)</f>
        <v>20.7</v>
      </c>
      <c r="BN22" s="13"/>
      <c r="BO22" s="1122">
        <f>CF!BO14</f>
        <v>5.2</v>
      </c>
      <c r="BP22" s="1123">
        <f>CF!BP14</f>
        <v>4.8</v>
      </c>
      <c r="BQ22" s="1123">
        <f>CF!BQ14</f>
        <v>5.0999999999999996</v>
      </c>
      <c r="BR22" s="1122">
        <f>CF!BR14</f>
        <v>5.0999999999999996</v>
      </c>
      <c r="BS22" s="533">
        <f>SUM(BO22:BR22)</f>
        <v>20.2</v>
      </c>
      <c r="BT22" s="13"/>
      <c r="BU22" s="1122">
        <f>CF!BU14</f>
        <v>5.2</v>
      </c>
      <c r="BV22" s="1123">
        <f>CF!BV14</f>
        <v>5.2</v>
      </c>
      <c r="BW22" s="1123">
        <f>CF!BW14</f>
        <v>5.0999999999999996</v>
      </c>
      <c r="BX22" s="1122">
        <f>CF!BX14</f>
        <v>5.1999999999999993</v>
      </c>
      <c r="BY22" s="533">
        <f>SUM(BU22:BX22)</f>
        <v>20.7</v>
      </c>
      <c r="BZ22" s="13"/>
      <c r="CA22" s="1122">
        <f>CF!CA14</f>
        <v>5.4</v>
      </c>
      <c r="CB22" s="1123">
        <f>CF!CB14</f>
        <v>5.4</v>
      </c>
      <c r="CC22" s="1123">
        <f>CF!CC14</f>
        <v>5.3999999999999986</v>
      </c>
      <c r="CD22" s="1122">
        <f>CF!CD14</f>
        <v>5.5</v>
      </c>
      <c r="CE22" s="533">
        <f>SUM(CA22:CD22)</f>
        <v>21.7</v>
      </c>
      <c r="CF22" s="13"/>
      <c r="CG22" s="1122">
        <f>CF!CG14</f>
        <v>6.9</v>
      </c>
      <c r="CH22" s="2217">
        <f>CF!CH14</f>
        <v>7.5</v>
      </c>
      <c r="CI22" s="1123">
        <f>CF!CI14</f>
        <v>8.2000000000000011</v>
      </c>
      <c r="CJ22" s="1122">
        <f>CF!CJ14</f>
        <v>7</v>
      </c>
      <c r="CK22" s="533">
        <f>SUM(CG22:CJ22)</f>
        <v>29.6</v>
      </c>
      <c r="CL22" s="13"/>
      <c r="CM22" s="1122">
        <f>CF!CM14</f>
        <v>3.375</v>
      </c>
      <c r="CN22" s="1123">
        <f>CF!CN14</f>
        <v>3.375</v>
      </c>
      <c r="CO22" s="1123">
        <f>CF!CO14</f>
        <v>3.375</v>
      </c>
      <c r="CP22" s="1122">
        <f>CF!CP14</f>
        <v>3.375</v>
      </c>
      <c r="CQ22" s="533">
        <f>SUM(CM22:CP22)</f>
        <v>13.5</v>
      </c>
      <c r="CR22" s="13"/>
      <c r="CS22" s="1122">
        <f>CF!CS14</f>
        <v>3.375</v>
      </c>
      <c r="CT22" s="1123">
        <f>CF!CT14</f>
        <v>3.375</v>
      </c>
      <c r="CU22" s="1123">
        <f>CF!CU14</f>
        <v>3.375</v>
      </c>
      <c r="CV22" s="1122">
        <f>CF!CV14</f>
        <v>3.375</v>
      </c>
      <c r="CW22" s="533">
        <f>SUM(CS22:CV22)</f>
        <v>13.5</v>
      </c>
      <c r="CX22" s="477"/>
      <c r="CY22" s="1122">
        <f>CF!CY14</f>
        <v>3.375</v>
      </c>
      <c r="CZ22" s="1123">
        <f>CF!CZ14</f>
        <v>3.375</v>
      </c>
      <c r="DA22" s="1123">
        <f>CF!DA14</f>
        <v>3.375</v>
      </c>
      <c r="DB22" s="1122">
        <f>CF!DB14</f>
        <v>3.375</v>
      </c>
      <c r="DC22" s="533">
        <f>SUM(CY22:DB22)</f>
        <v>13.5</v>
      </c>
      <c r="DD22" s="477"/>
      <c r="DE22" s="1122">
        <f>CF!DE14</f>
        <v>3.375</v>
      </c>
      <c r="DF22" s="1123">
        <f>CF!DF14</f>
        <v>3.375</v>
      </c>
      <c r="DG22" s="1123">
        <f>CF!DG14</f>
        <v>3.375</v>
      </c>
      <c r="DH22" s="1122">
        <f>CF!DH14</f>
        <v>3.375</v>
      </c>
      <c r="DI22" s="533">
        <f>SUM(DE22:DH22)</f>
        <v>13.5</v>
      </c>
      <c r="DJ22"/>
      <c r="DK22"/>
      <c r="DL22"/>
      <c r="DM22"/>
      <c r="DN22"/>
      <c r="DO22"/>
      <c r="DU22" s="477"/>
      <c r="DV22" s="477"/>
      <c r="DW22" s="477"/>
    </row>
    <row r="23" spans="1:127" s="1721" customFormat="1" ht="11.25" hidden="1" customHeight="1" outlineLevel="1">
      <c r="A23" s="1693" t="s">
        <v>29</v>
      </c>
      <c r="B23" s="1692"/>
      <c r="C23" s="533">
        <f>SUM(C21:C22)</f>
        <v>2.605</v>
      </c>
      <c r="D23" s="13"/>
      <c r="E23" s="533">
        <f>SUM(E21:E22)</f>
        <v>3.4870000000000001</v>
      </c>
      <c r="F23" s="13"/>
      <c r="G23" s="533">
        <f>SUM(G21:G22)</f>
        <v>4.1449999999999996</v>
      </c>
      <c r="H23" s="13"/>
      <c r="I23" s="533">
        <f>SUM(I21:I22)</f>
        <v>6.04</v>
      </c>
      <c r="J23" s="13"/>
      <c r="K23" s="533">
        <f>SUM(K21:K22)</f>
        <v>11.824</v>
      </c>
      <c r="L23" s="13"/>
      <c r="M23" s="533">
        <f>SUM(M21:M22)</f>
        <v>10.378</v>
      </c>
      <c r="N23" s="13"/>
      <c r="O23" s="533">
        <f>SUM(O21:O22)</f>
        <v>9.7929999999999993</v>
      </c>
      <c r="P23" s="13"/>
      <c r="Q23" s="533">
        <f>SUM(Q21:Q22)</f>
        <v>10.506</v>
      </c>
      <c r="R23" s="13"/>
      <c r="S23" s="15">
        <f>SUM(S21:S22)</f>
        <v>3.3222499999999999</v>
      </c>
      <c r="T23" s="1736">
        <f>SUM(T21:T22)</f>
        <v>3.3222499999999999</v>
      </c>
      <c r="U23" s="1736">
        <f>SUM(U21:U22)</f>
        <v>3.3222499999999999</v>
      </c>
      <c r="V23" s="15">
        <f>SUM(V21:V22)</f>
        <v>3.3222500000000004</v>
      </c>
      <c r="W23" s="533">
        <f>SUM(W21:W22)</f>
        <v>13.289</v>
      </c>
      <c r="X23" s="13"/>
      <c r="Y23" s="15">
        <f>SUM(Y21:Y22)</f>
        <v>7.5880000000000001</v>
      </c>
      <c r="Z23" s="1736">
        <f>SUM(Z21:Z22)</f>
        <v>7.5880000000000001</v>
      </c>
      <c r="AA23" s="1736">
        <f>SUM(AA21:AA22)</f>
        <v>7.5880000000000001</v>
      </c>
      <c r="AB23" s="15">
        <f>SUM(AB21:AB22)</f>
        <v>5.1359999999999966</v>
      </c>
      <c r="AC23" s="533">
        <f>SUM(AC21:AC22)</f>
        <v>27.9</v>
      </c>
      <c r="AD23" s="13"/>
      <c r="AE23" s="15">
        <f>SUM(AE21:AE22)</f>
        <v>7.4</v>
      </c>
      <c r="AF23" s="1736">
        <f>SUM(AF21:AF22)</f>
        <v>7.1</v>
      </c>
      <c r="AG23" s="1736">
        <f>SUM(AG21:AG22)</f>
        <v>7.8000000000000007</v>
      </c>
      <c r="AH23" s="15">
        <f>SUM(AH21:AH22)</f>
        <v>7</v>
      </c>
      <c r="AI23" s="533">
        <f>SUM(AI21:AI22)</f>
        <v>29.300000000000004</v>
      </c>
      <c r="AJ23" s="13"/>
      <c r="AK23" s="15">
        <f>SUM(AK21:AK22)</f>
        <v>6.6</v>
      </c>
      <c r="AL23" s="1736">
        <f>SUM(AL21:AL22)</f>
        <v>6.9</v>
      </c>
      <c r="AM23" s="1736">
        <f>SUM(AM21:AM22)</f>
        <v>6.8999999999999986</v>
      </c>
      <c r="AN23" s="15">
        <f>SUM(AN21:AN22)</f>
        <v>9.3000000000000007</v>
      </c>
      <c r="AO23" s="533">
        <f>SUM(AO21:AO22)</f>
        <v>29.7</v>
      </c>
      <c r="AP23" s="13"/>
      <c r="AQ23" s="15">
        <f>SUM(AQ21:AQ22)</f>
        <v>7.5</v>
      </c>
      <c r="AR23" s="1736">
        <f>SUM(AR21:AR22)</f>
        <v>7.1999999999999993</v>
      </c>
      <c r="AS23" s="1736">
        <f>SUM(AS21:AS22)</f>
        <v>9.1000000000000014</v>
      </c>
      <c r="AT23" s="15">
        <f>SUM(AT21:AT22)</f>
        <v>12.3</v>
      </c>
      <c r="AU23" s="533">
        <f>SUM(AU21:AU22)</f>
        <v>36.1</v>
      </c>
      <c r="AV23" s="13"/>
      <c r="AW23" s="15">
        <f>SUM(AW21:AW22)</f>
        <v>11.9</v>
      </c>
      <c r="AX23" s="1736">
        <f>SUM(AX21:AX22)</f>
        <v>13.799999999999999</v>
      </c>
      <c r="AY23" s="1736">
        <f>SUM(AY21:AY22)</f>
        <v>13.599999999999998</v>
      </c>
      <c r="AZ23" s="15">
        <f>SUM(AZ21:AZ22)</f>
        <v>13.600000000000001</v>
      </c>
      <c r="BA23" s="533">
        <f>SUM(BA21:BA22)</f>
        <v>52.9</v>
      </c>
      <c r="BB23" s="13"/>
      <c r="BC23" s="15">
        <f>SUM(BC21:BC22)</f>
        <v>13.6</v>
      </c>
      <c r="BD23" s="1736">
        <f>IF(ISERROR(BD21+BD22),"NM",BD21+BD22)</f>
        <v>15.000000000000002</v>
      </c>
      <c r="BE23" s="1736">
        <f>IF(ISERROR(BE21+BE22),"NM",BE21+BE22)</f>
        <v>13.899999999999999</v>
      </c>
      <c r="BF23" s="15">
        <f>IF(ISERROR(BF21+BF22),"NM",BF21+BF22)</f>
        <v>16.600000000000001</v>
      </c>
      <c r="BG23" s="533">
        <f>SUM(BG21:BG22)</f>
        <v>59.1</v>
      </c>
      <c r="BH23" s="13"/>
      <c r="BI23" s="1736">
        <f>IF(ISERROR(BI21+BI22),"NM",BI21+BI22)</f>
        <v>15.2</v>
      </c>
      <c r="BJ23" s="1736">
        <f>IF(ISERROR(BJ21+BJ22),"NM",BJ21+BJ22)</f>
        <v>15</v>
      </c>
      <c r="BK23" s="15">
        <f>IF(ISERROR(BK21+BK22),"NM",BK21+BK22)</f>
        <v>15.2</v>
      </c>
      <c r="BL23" s="1692">
        <f>IF(ISERROR(BL21+BL22),"NM",BL21+BL22)</f>
        <v>15.9</v>
      </c>
      <c r="BM23" s="533">
        <f>SUM(BM21:BM22)</f>
        <v>61.3</v>
      </c>
      <c r="BN23" s="13"/>
      <c r="BO23" s="1736">
        <f>IF(ISERROR(BO21+BO22),"NM",BO21+BO22)</f>
        <v>15.2</v>
      </c>
      <c r="BP23" s="1736">
        <f>IF(ISERROR(BP21+BP22),"NM",BP21+BP22)</f>
        <v>14.8</v>
      </c>
      <c r="BQ23" s="15">
        <f>IF(ISERROR(BQ21+BQ22),"NM",BQ21+BQ22)</f>
        <v>17.600000000000001</v>
      </c>
      <c r="BR23" s="1692">
        <f>IF(ISERROR(BR21+BR22),"NM",BR21+BR22)</f>
        <v>12.100000000000001</v>
      </c>
      <c r="BS23" s="533">
        <f>SUM(BS21:BS22)</f>
        <v>59.7</v>
      </c>
      <c r="BT23" s="13"/>
      <c r="BU23" s="1736">
        <f>IF(ISERROR(BU21+BU22),"NM",BU21+BU22)</f>
        <v>13.5</v>
      </c>
      <c r="BV23" s="1736">
        <f>IF(ISERROR(BV21+BV22),"NM",BV21+BV22)</f>
        <v>13.2</v>
      </c>
      <c r="BW23" s="15">
        <f>IF(ISERROR(BW21+BW22),"NM",BW21+BW22)</f>
        <v>13.3</v>
      </c>
      <c r="BX23" s="1692">
        <f>IF(ISERROR(BX21+BX22),"NM",BX21+BX22)</f>
        <v>13.299999999999994</v>
      </c>
      <c r="BY23" s="533">
        <f>SUM(BY21:BY22)</f>
        <v>53.3</v>
      </c>
      <c r="BZ23" s="13"/>
      <c r="CA23" s="822">
        <f>IF(ISERROR(CA21+CA22),"NM",CA21+CA22)</f>
        <v>13.2</v>
      </c>
      <c r="CB23" s="15">
        <f>IF(ISERROR(CB21+CB22),"NM",CB21+CB22)</f>
        <v>13.5</v>
      </c>
      <c r="CC23" s="15">
        <f>IF(ISERROR(CC21+CC22),"NM",CC21+CC22)</f>
        <v>13.7</v>
      </c>
      <c r="CD23" s="1692">
        <f>IF(ISERROR(CD21+CD22),"NM",CD21+CD22)</f>
        <v>13.899999999999995</v>
      </c>
      <c r="CE23" s="533">
        <f>SUM(CE21:CE22)</f>
        <v>54.3</v>
      </c>
      <c r="CF23" s="13"/>
      <c r="CG23" s="822">
        <f>IF(ISERROR(CG21+CG22),"NM",CG21+CG22)</f>
        <v>15.1</v>
      </c>
      <c r="CH23" s="15">
        <f>IF(ISERROR(CH21+CH22),"NM",CH21+CH22)</f>
        <v>16</v>
      </c>
      <c r="CI23" s="15">
        <f>IF(ISERROR(CI21+CI22),"NM",CI21+CI22)</f>
        <v>17.100000000000001</v>
      </c>
      <c r="CJ23" s="1692">
        <f>IF(ISERROR(CJ21+CJ22),"NM",CJ21+CJ22)</f>
        <v>15.699999999999996</v>
      </c>
      <c r="CK23" s="533">
        <f>SUM(CK21:CK22)</f>
        <v>63.9</v>
      </c>
      <c r="CL23" s="13"/>
      <c r="CM23" s="822">
        <f>IF(ISERROR(CM21+CM22),"NM",CM21+CM22)</f>
        <v>14.7365245</v>
      </c>
      <c r="CN23" s="15">
        <f>IF(ISERROR(CN21+CN22),"NM",CN21+CN22)</f>
        <v>14.883772448929564</v>
      </c>
      <c r="CO23" s="15">
        <f>IF(ISERROR(CO21+CO22),"NM",CO21+CO22)</f>
        <v>15.034706877174775</v>
      </c>
      <c r="CP23" s="1692">
        <f>IF(ISERROR(CP21+CP22),"NM",CP21+CP22)</f>
        <v>15.191450727455051</v>
      </c>
      <c r="CQ23" s="533">
        <f>SUM(CQ21:CQ22)</f>
        <v>59.84645455355939</v>
      </c>
      <c r="CR23" s="13"/>
      <c r="CS23" s="822">
        <f>IF(ISERROR(CS21+CS22),"NM",CS21+CS22)</f>
        <v>15.385308452216398</v>
      </c>
      <c r="CT23" s="15">
        <f>IF(ISERROR(CT21+CT22),"NM",CT21+CT22)</f>
        <v>15.520983422373897</v>
      </c>
      <c r="CU23" s="15">
        <f>IF(ISERROR(CU21+CU22),"NM",CU21+CU22)</f>
        <v>15.662437874690761</v>
      </c>
      <c r="CV23" s="1692">
        <f>IF(ISERROR(CV21+CV22),"NM",CV21+CV22)</f>
        <v>15.806531631981791</v>
      </c>
      <c r="CW23" s="533">
        <f>SUM(CW21:CW22)</f>
        <v>62.375261381262845</v>
      </c>
      <c r="CX23" s="477"/>
      <c r="CY23" s="822">
        <f>IF(ISERROR(CY21+CY22),"NM",CY21+CY22)</f>
        <v>15.990630852013327</v>
      </c>
      <c r="CZ23" s="15">
        <f>IF(ISERROR(CZ21+CZ22),"NM",CZ21+CZ22)</f>
        <v>16.129963900790926</v>
      </c>
      <c r="DA23" s="15">
        <f>IF(ISERROR(DA21+DA22),"NM",DA21+DA22)</f>
        <v>16.272831828894603</v>
      </c>
      <c r="DB23" s="1692">
        <f>IF(ISERROR(DB21+DB22),"NM",DB21+DB22)</f>
        <v>16.421926296143198</v>
      </c>
      <c r="DC23" s="533">
        <f>SUM(DC21:DC22)</f>
        <v>64.815352877842059</v>
      </c>
      <c r="DD23" s="477"/>
      <c r="DE23" s="822">
        <f>IF(ISERROR(DE21+DE22),"NM",DE21+DE22)</f>
        <v>16.609535316548076</v>
      </c>
      <c r="DF23" s="15">
        <f>IF(ISERROR(DF21+DF22),"NM",DF21+DF22)</f>
        <v>16.751132348668367</v>
      </c>
      <c r="DG23" s="15">
        <f>IF(ISERROR(DG21+DG22),"NM",DG21+DG22)</f>
        <v>16.898604412541324</v>
      </c>
      <c r="DH23" s="1692">
        <f>IF(ISERROR(DH21+DH22),"NM",DH21+DH22)</f>
        <v>17.049930035209876</v>
      </c>
      <c r="DI23" s="533">
        <f>SUM(DI21:DI22)</f>
        <v>67.30920211296764</v>
      </c>
      <c r="DJ23"/>
      <c r="DK23"/>
      <c r="DL23"/>
      <c r="DM23"/>
      <c r="DN23"/>
      <c r="DO23"/>
      <c r="DP23" s="1737"/>
      <c r="DU23" s="478"/>
      <c r="DV23" s="478"/>
      <c r="DW23" s="478"/>
    </row>
    <row r="24" spans="1:127" s="11" customFormat="1" ht="11.25" customHeight="1" collapsed="1">
      <c r="A24" s="816" t="s">
        <v>43</v>
      </c>
      <c r="B24" s="815"/>
      <c r="C24" s="817">
        <f>C20+C21</f>
        <v>2.3039999999999949</v>
      </c>
      <c r="D24" s="818"/>
      <c r="E24" s="817">
        <f>E20+E21</f>
        <v>6.4950000000000045</v>
      </c>
      <c r="F24" s="818"/>
      <c r="G24" s="817">
        <f>G20+G21</f>
        <v>5.319</v>
      </c>
      <c r="H24" s="818"/>
      <c r="I24" s="817">
        <f>I20+I21</f>
        <v>7.1570000000000089</v>
      </c>
      <c r="J24" s="818"/>
      <c r="K24" s="817">
        <f>K20+K21</f>
        <v>20.138999999999982</v>
      </c>
      <c r="L24" s="818"/>
      <c r="M24" s="817">
        <f>M20+M21</f>
        <v>13.445000000000025</v>
      </c>
      <c r="N24" s="818"/>
      <c r="O24" s="817">
        <f>O20+O21</f>
        <v>8.1750000000000043</v>
      </c>
      <c r="P24" s="818"/>
      <c r="Q24" s="817">
        <f>Q20+Q21</f>
        <v>32.427999999999997</v>
      </c>
      <c r="R24" s="818"/>
      <c r="S24" s="478">
        <f t="shared" ref="S24:CD24" si="8">S20+S21</f>
        <v>9.2642499999999934</v>
      </c>
      <c r="T24" s="1738">
        <f t="shared" si="8"/>
        <v>9.7882499999999872</v>
      </c>
      <c r="U24" s="1738">
        <f t="shared" si="8"/>
        <v>10.967250000000007</v>
      </c>
      <c r="V24" s="478">
        <f t="shared" si="8"/>
        <v>18.455250000000021</v>
      </c>
      <c r="W24" s="817">
        <f t="shared" si="8"/>
        <v>48.474999999999966</v>
      </c>
      <c r="X24" s="818"/>
      <c r="Y24" s="478">
        <f t="shared" si="8"/>
        <v>26.991000000000007</v>
      </c>
      <c r="Z24" s="1738">
        <f t="shared" si="8"/>
        <v>29.077999999999982</v>
      </c>
      <c r="AA24" s="1738">
        <f t="shared" si="8"/>
        <v>38.247999999999976</v>
      </c>
      <c r="AB24" s="478">
        <f t="shared" si="8"/>
        <v>78.883000000000081</v>
      </c>
      <c r="AC24" s="817">
        <f t="shared" si="8"/>
        <v>173.20000000000007</v>
      </c>
      <c r="AD24" s="818"/>
      <c r="AE24" s="478">
        <f t="shared" si="8"/>
        <v>29.299999999999997</v>
      </c>
      <c r="AF24" s="1738">
        <f t="shared" si="8"/>
        <v>36.700000000000003</v>
      </c>
      <c r="AG24" s="1738">
        <f t="shared" si="8"/>
        <v>23.800000000000004</v>
      </c>
      <c r="AH24" s="478">
        <f t="shared" si="8"/>
        <v>58.899999999999906</v>
      </c>
      <c r="AI24" s="817">
        <f t="shared" si="8"/>
        <v>148.69999999999987</v>
      </c>
      <c r="AJ24" s="818"/>
      <c r="AK24" s="478">
        <f t="shared" si="8"/>
        <v>21.299999999999979</v>
      </c>
      <c r="AL24" s="1738">
        <f t="shared" si="8"/>
        <v>26.099999999999987</v>
      </c>
      <c r="AM24" s="1738">
        <f t="shared" si="8"/>
        <v>32.899999999999949</v>
      </c>
      <c r="AN24" s="478">
        <f t="shared" si="8"/>
        <v>79.799999999999969</v>
      </c>
      <c r="AO24" s="817">
        <f t="shared" si="8"/>
        <v>160.09999999999982</v>
      </c>
      <c r="AP24" s="818"/>
      <c r="AQ24" s="478">
        <f t="shared" si="8"/>
        <v>36.500000000000014</v>
      </c>
      <c r="AR24" s="1738">
        <f t="shared" si="8"/>
        <v>48.999999999999964</v>
      </c>
      <c r="AS24" s="1738">
        <f t="shared" si="8"/>
        <v>56.800000000000004</v>
      </c>
      <c r="AT24" s="478">
        <f t="shared" si="8"/>
        <v>75.599999999999937</v>
      </c>
      <c r="AU24" s="817">
        <f t="shared" si="8"/>
        <v>217.90000000000009</v>
      </c>
      <c r="AV24" s="818"/>
      <c r="AW24" s="478">
        <f t="shared" si="8"/>
        <v>45.599999999999994</v>
      </c>
      <c r="AX24" s="1738">
        <f t="shared" si="8"/>
        <v>61.800000000000104</v>
      </c>
      <c r="AY24" s="1738">
        <f t="shared" si="8"/>
        <v>60.799999999999983</v>
      </c>
      <c r="AZ24" s="478">
        <f t="shared" si="8"/>
        <v>71.299999999999812</v>
      </c>
      <c r="BA24" s="817">
        <f t="shared" si="8"/>
        <v>239.49999999999983</v>
      </c>
      <c r="BB24" s="818"/>
      <c r="BC24" s="478">
        <f t="shared" si="8"/>
        <v>52.099999999999966</v>
      </c>
      <c r="BD24" s="1738">
        <f t="shared" si="8"/>
        <v>42.400000000000034</v>
      </c>
      <c r="BE24" s="1738">
        <f t="shared" si="8"/>
        <v>77.800000000000011</v>
      </c>
      <c r="BF24" s="478">
        <f t="shared" si="8"/>
        <v>83.800000000000111</v>
      </c>
      <c r="BG24" s="817">
        <f t="shared" si="8"/>
        <v>256.10000000000014</v>
      </c>
      <c r="BH24" s="818"/>
      <c r="BI24" s="478">
        <f t="shared" si="8"/>
        <v>33.700000000000053</v>
      </c>
      <c r="BJ24" s="1738">
        <f t="shared" si="8"/>
        <v>63.199999999999982</v>
      </c>
      <c r="BK24" s="1738">
        <f t="shared" si="8"/>
        <v>57.399999999999956</v>
      </c>
      <c r="BL24" s="478">
        <f t="shared" si="8"/>
        <v>91.800000000000097</v>
      </c>
      <c r="BM24" s="817">
        <f t="shared" si="8"/>
        <v>246.1</v>
      </c>
      <c r="BN24" s="818"/>
      <c r="BO24" s="478">
        <f t="shared" si="8"/>
        <v>42.100000000000051</v>
      </c>
      <c r="BP24" s="1738">
        <f>BP20+BP21</f>
        <v>62.69999999999996</v>
      </c>
      <c r="BQ24" s="1738">
        <f t="shared" si="8"/>
        <v>48.399999999999977</v>
      </c>
      <c r="BR24" s="478">
        <f t="shared" si="8"/>
        <v>70.700000000000102</v>
      </c>
      <c r="BS24" s="817">
        <f t="shared" si="8"/>
        <v>223.90000000000009</v>
      </c>
      <c r="BT24" s="818"/>
      <c r="BU24" s="478">
        <f>BU20+BU21</f>
        <v>44.100000000000009</v>
      </c>
      <c r="BV24" s="1738">
        <f>BV20+BV21</f>
        <v>50.899999999999977</v>
      </c>
      <c r="BW24" s="1738">
        <f t="shared" si="8"/>
        <v>61.000000000000014</v>
      </c>
      <c r="BX24" s="478">
        <f t="shared" si="8"/>
        <v>91.799999999999898</v>
      </c>
      <c r="BY24" s="817">
        <f t="shared" si="8"/>
        <v>247.80000000000004</v>
      </c>
      <c r="BZ24" s="818"/>
      <c r="CA24" s="478">
        <f t="shared" si="8"/>
        <v>55.100000000000037</v>
      </c>
      <c r="CB24" s="1738">
        <f t="shared" si="8"/>
        <v>48.100000000000058</v>
      </c>
      <c r="CC24" s="1738">
        <f t="shared" si="8"/>
        <v>66.899999999999963</v>
      </c>
      <c r="CD24" s="478">
        <f t="shared" si="8"/>
        <v>100.39999999999993</v>
      </c>
      <c r="CE24" s="817">
        <f>CE20+CE21</f>
        <v>270.50000000000011</v>
      </c>
      <c r="CF24" s="818"/>
      <c r="CG24" s="478">
        <f>CG20+CG21</f>
        <v>57.399999999999991</v>
      </c>
      <c r="CH24" s="1738">
        <f>CH20+CH21</f>
        <v>60.199999999999989</v>
      </c>
      <c r="CI24" s="1738">
        <f>CI20+CI21</f>
        <v>73.299999999999955</v>
      </c>
      <c r="CJ24" s="478">
        <f>CJ20+CJ21</f>
        <v>119.5000000000002</v>
      </c>
      <c r="CK24" s="817">
        <f>CK20+CK21</f>
        <v>310.40000000000003</v>
      </c>
      <c r="CL24" s="818"/>
      <c r="CM24" s="478">
        <f>CM20+CM21</f>
        <v>65.828977013052253</v>
      </c>
      <c r="CN24" s="1738">
        <f>CN20+CN21</f>
        <v>67.44000802921434</v>
      </c>
      <c r="CO24" s="1738">
        <f>CO20+CO21</f>
        <v>89.741669057913001</v>
      </c>
      <c r="CP24" s="478">
        <f>CP20+CP21</f>
        <v>131.64532274356461</v>
      </c>
      <c r="CQ24" s="817">
        <f>CQ20+CQ21</f>
        <v>354.65597684374427</v>
      </c>
      <c r="CR24" s="818"/>
      <c r="CS24" s="478">
        <f>CS20+CS21</f>
        <v>87.322147659803463</v>
      </c>
      <c r="CT24" s="1738">
        <f>CT20+CT21</f>
        <v>90.836348228267255</v>
      </c>
      <c r="CU24" s="1738">
        <f>CU20+CU21</f>
        <v>92.520667451350477</v>
      </c>
      <c r="CV24" s="478">
        <f>CV20+CV21</f>
        <v>116.05084947987416</v>
      </c>
      <c r="CW24" s="817">
        <f>CW20+CW21</f>
        <v>386.7300128192951</v>
      </c>
      <c r="CX24" s="478"/>
      <c r="CY24" s="478">
        <f>CY20+CY21</f>
        <v>94.935190235770918</v>
      </c>
      <c r="CZ24" s="1738">
        <f>CZ20+CZ21</f>
        <v>97.264450430899757</v>
      </c>
      <c r="DA24" s="1738">
        <f>DA20+DA21</f>
        <v>101.26478161119317</v>
      </c>
      <c r="DB24" s="478">
        <f>DB20+DB21</f>
        <v>125.27439795375787</v>
      </c>
      <c r="DC24" s="817">
        <f>DC20+DC21</f>
        <v>418.73882023162167</v>
      </c>
      <c r="DD24" s="478"/>
      <c r="DE24" s="478">
        <f>DE20+DE21</f>
        <v>102.3549624639016</v>
      </c>
      <c r="DF24" s="1738">
        <f>DF20+DF21</f>
        <v>106.36023840312794</v>
      </c>
      <c r="DG24" s="1738">
        <f>DG20+DG21</f>
        <v>109.04197997611465</v>
      </c>
      <c r="DH24" s="478">
        <f>DH20+DH21</f>
        <v>136.52940065115078</v>
      </c>
      <c r="DI24" s="817">
        <f>DI20+DI21</f>
        <v>454.28658149429481</v>
      </c>
      <c r="DJ24"/>
      <c r="DK24"/>
      <c r="DL24"/>
      <c r="DM24"/>
      <c r="DN24"/>
      <c r="DO24"/>
      <c r="DP24" s="1740"/>
      <c r="DQ24" s="1740"/>
      <c r="DU24" s="477"/>
      <c r="DV24" s="477"/>
      <c r="DW24" s="477"/>
    </row>
    <row r="25" spans="1:127" s="16" customFormat="1" ht="11.25" customHeight="1">
      <c r="A25" s="1693" t="s">
        <v>30</v>
      </c>
      <c r="B25" s="1692"/>
      <c r="C25" s="1101">
        <v>0.17399999999999999</v>
      </c>
      <c r="D25" s="13"/>
      <c r="E25" s="1101">
        <v>0.13</v>
      </c>
      <c r="F25" s="13"/>
      <c r="G25" s="1101">
        <v>1.794</v>
      </c>
      <c r="H25" s="13"/>
      <c r="I25" s="1101">
        <v>2.75</v>
      </c>
      <c r="J25" s="13"/>
      <c r="K25" s="1101">
        <v>1.784</v>
      </c>
      <c r="L25" s="13"/>
      <c r="M25" s="1101">
        <v>1.2130000000000001</v>
      </c>
      <c r="N25" s="13"/>
      <c r="O25" s="1101">
        <v>1.54</v>
      </c>
      <c r="P25" s="13"/>
      <c r="Q25" s="1101">
        <v>2.5659999999999998</v>
      </c>
      <c r="R25" s="13"/>
      <c r="S25" s="1108">
        <v>0.72099999999999997</v>
      </c>
      <c r="T25" s="1108">
        <v>0.92400000000000004</v>
      </c>
      <c r="U25" s="1108">
        <v>0.29399999999999998</v>
      </c>
      <c r="V25" s="23">
        <f>2.183-S25-T25-U25</f>
        <v>0.24399999999999972</v>
      </c>
      <c r="W25" s="533">
        <f t="shared" ref="W25:W31" si="9">SUM(S25:V25)</f>
        <v>2.1829999999999998</v>
      </c>
      <c r="X25" s="13"/>
      <c r="Y25" s="1108">
        <v>1.8680000000000001</v>
      </c>
      <c r="Z25" s="1108">
        <v>2.62</v>
      </c>
      <c r="AA25" s="1108">
        <v>3.3149999999999999</v>
      </c>
      <c r="AB25" s="23">
        <f>10.4-Y25-Z25-AA25</f>
        <v>2.597</v>
      </c>
      <c r="AC25" s="533">
        <f t="shared" ref="AC25:AC31" si="10">SUM(Y25:AB25)</f>
        <v>10.4</v>
      </c>
      <c r="AD25" s="13"/>
      <c r="AE25" s="1108">
        <v>2.5</v>
      </c>
      <c r="AF25" s="1108">
        <v>1.9</v>
      </c>
      <c r="AG25" s="1108">
        <v>0.7</v>
      </c>
      <c r="AH25" s="23">
        <f>4.9-AE25-AF25-AG25</f>
        <v>-0.19999999999999951</v>
      </c>
      <c r="AI25" s="533">
        <f t="shared" ref="AI25:AI31" si="11">SUM(AE25:AH25)</f>
        <v>4.9000000000000012</v>
      </c>
      <c r="AJ25" s="13"/>
      <c r="AK25" s="1108">
        <v>0.4</v>
      </c>
      <c r="AL25" s="1108">
        <v>0.4</v>
      </c>
      <c r="AM25" s="1108">
        <v>0.4</v>
      </c>
      <c r="AN25" s="23">
        <f>1-SUM(AK25:AM25)</f>
        <v>-0.20000000000000018</v>
      </c>
      <c r="AO25" s="533">
        <f t="shared" ref="AO25:AO31" si="12">SUM(AK25:AN25)</f>
        <v>1</v>
      </c>
      <c r="AP25" s="13"/>
      <c r="AQ25" s="1108">
        <v>0.1</v>
      </c>
      <c r="AR25" s="1108">
        <v>0.2</v>
      </c>
      <c r="AS25" s="1108">
        <v>0.1</v>
      </c>
      <c r="AT25" s="23">
        <f>0.9-SUM(AQ25:AS25)</f>
        <v>0.5</v>
      </c>
      <c r="AU25" s="533">
        <f t="shared" ref="AU25:AU31" si="13">SUM(AQ25:AT25)</f>
        <v>0.9</v>
      </c>
      <c r="AV25" s="13"/>
      <c r="AW25" s="1108">
        <v>0.2</v>
      </c>
      <c r="AX25" s="1108">
        <v>0.2</v>
      </c>
      <c r="AY25" s="1108">
        <v>0.2</v>
      </c>
      <c r="AZ25" s="23">
        <f>1-SUM(AW25:AY25)</f>
        <v>0.39999999999999991</v>
      </c>
      <c r="BA25" s="533">
        <f t="shared" ref="BA25:BA31" si="14">SUM(AW25:AZ25)</f>
        <v>1</v>
      </c>
      <c r="BB25" s="13"/>
      <c r="BC25" s="1108">
        <v>0.2</v>
      </c>
      <c r="BD25" s="1108">
        <v>0.1</v>
      </c>
      <c r="BE25" s="1108">
        <v>0.2</v>
      </c>
      <c r="BF25" s="12">
        <f>0-SUM(BC25:BE25)</f>
        <v>-0.5</v>
      </c>
      <c r="BG25" s="533">
        <f t="shared" ref="BG25:BG31" si="15">SUM(BC25:BF25)</f>
        <v>0</v>
      </c>
      <c r="BH25" s="13"/>
      <c r="BI25" s="1108">
        <v>0</v>
      </c>
      <c r="BJ25" s="1108">
        <v>0</v>
      </c>
      <c r="BK25" s="1108">
        <v>0</v>
      </c>
      <c r="BL25" s="12">
        <f>0-SUM(BI25:BK25)</f>
        <v>0</v>
      </c>
      <c r="BM25" s="533">
        <f t="shared" ref="BM25:BM31" si="16">SUM(BI25:BL25)</f>
        <v>0</v>
      </c>
      <c r="BN25" s="13"/>
      <c r="BO25" s="1108">
        <v>0</v>
      </c>
      <c r="BP25" s="1108">
        <v>0</v>
      </c>
      <c r="BQ25" s="1108">
        <v>0</v>
      </c>
      <c r="BR25" s="12">
        <f>0-SUM(BO25:BQ25)</f>
        <v>0</v>
      </c>
      <c r="BS25" s="533">
        <f>SUM(BO25:BR25)</f>
        <v>0</v>
      </c>
      <c r="BT25" s="13"/>
      <c r="BU25" s="1823">
        <v>0</v>
      </c>
      <c r="BV25" s="1823">
        <v>0</v>
      </c>
      <c r="BW25" s="1823">
        <v>0</v>
      </c>
      <c r="BX25" s="12">
        <f>1.2-SUM(BU25:BW25)</f>
        <v>1.2</v>
      </c>
      <c r="BY25" s="533">
        <f>SUM(BU25:BX25)</f>
        <v>1.2</v>
      </c>
      <c r="BZ25" s="13"/>
      <c r="CA25" s="1823">
        <v>0</v>
      </c>
      <c r="CB25" s="1823">
        <v>0</v>
      </c>
      <c r="CC25" s="1823">
        <v>0</v>
      </c>
      <c r="CD25" s="2012">
        <v>0</v>
      </c>
      <c r="CE25" s="533">
        <f>SUM(CA25:CD25)</f>
        <v>0</v>
      </c>
      <c r="CF25" s="13"/>
      <c r="CG25" s="1823">
        <v>0</v>
      </c>
      <c r="CH25" s="1823">
        <v>0</v>
      </c>
      <c r="CI25" s="1823">
        <v>0</v>
      </c>
      <c r="CJ25" s="2012">
        <v>0</v>
      </c>
      <c r="CK25" s="533">
        <f>SUM(CG25:CJ25)</f>
        <v>0</v>
      </c>
      <c r="CL25" s="13"/>
      <c r="CM25" s="1137">
        <f>Debt!BU74</f>
        <v>1.21875</v>
      </c>
      <c r="CN25" s="1135">
        <f>Debt!BV74</f>
        <v>1.1731569221216811</v>
      </c>
      <c r="CO25" s="1135">
        <f>Debt!BW74</f>
        <v>0.92611031803136767</v>
      </c>
      <c r="CP25" s="1136">
        <f>Debt!BX74</f>
        <v>0.97909410287954812</v>
      </c>
      <c r="CQ25" s="533">
        <f>SUM(CM25:CP25)</f>
        <v>4.2971113430325971</v>
      </c>
      <c r="CR25" s="13"/>
      <c r="CS25" s="1137">
        <f>Debt!CA74</f>
        <v>1.0998881056251306</v>
      </c>
      <c r="CT25" s="1135">
        <f>Debt!CB74</f>
        <v>1.4219837025692572</v>
      </c>
      <c r="CU25" s="1135">
        <f>Debt!CC74</f>
        <v>1.1724962164074635</v>
      </c>
      <c r="CV25" s="1136">
        <f>Debt!CD74</f>
        <v>1.0903005168984878</v>
      </c>
      <c r="CW25" s="533">
        <f>SUM(CS25:CV25)</f>
        <v>4.7846685415003387</v>
      </c>
      <c r="CX25" s="477"/>
      <c r="CY25" s="1137">
        <f>Debt!CG74</f>
        <v>0.91820022863731765</v>
      </c>
      <c r="CZ25" s="1135">
        <f>Debt!CH74</f>
        <v>11.919463803888554</v>
      </c>
      <c r="DA25" s="1135">
        <f>Debt!CI74</f>
        <v>10.262921188918812</v>
      </c>
      <c r="DB25" s="1136">
        <f>Debt!CJ74</f>
        <v>9.4679870458946755</v>
      </c>
      <c r="DC25" s="533">
        <f>SUM(CY25:DB25)</f>
        <v>32.568572267339356</v>
      </c>
      <c r="DD25" s="477"/>
      <c r="DE25" s="1137">
        <f>Debt!CM74</f>
        <v>8.0234403085783352</v>
      </c>
      <c r="DF25" s="1135">
        <f>Debt!CN74</f>
        <v>1.4910311827717624</v>
      </c>
      <c r="DG25" s="1135">
        <f>Debt!CO74</f>
        <v>1.2602004285753632</v>
      </c>
      <c r="DH25" s="1136">
        <f>Debt!CP74</f>
        <v>1.1954321031375694</v>
      </c>
      <c r="DI25" s="533">
        <f>SUM(DE25:DH25)</f>
        <v>11.97010402306303</v>
      </c>
      <c r="DJ25"/>
      <c r="DK25"/>
      <c r="DL25"/>
      <c r="DM25"/>
      <c r="DN25"/>
      <c r="DO25"/>
      <c r="DU25" s="477"/>
      <c r="DV25" s="477"/>
      <c r="DW25" s="1718"/>
    </row>
    <row r="26" spans="1:127" s="16" customFormat="1" ht="11.25" customHeight="1">
      <c r="A26" s="1693" t="s">
        <v>31</v>
      </c>
      <c r="B26" s="1692"/>
      <c r="C26" s="1101">
        <v>-0.90100000000000002</v>
      </c>
      <c r="D26" s="13"/>
      <c r="E26" s="1101">
        <v>-0.90700000000000003</v>
      </c>
      <c r="F26" s="13"/>
      <c r="G26" s="1101">
        <v>-0.20799999999999999</v>
      </c>
      <c r="H26" s="13"/>
      <c r="I26" s="1101">
        <v>-1.7000000000000001E-2</v>
      </c>
      <c r="J26" s="13"/>
      <c r="K26" s="1101">
        <v>-1.296</v>
      </c>
      <c r="L26" s="13"/>
      <c r="M26" s="1101">
        <v>-1.75</v>
      </c>
      <c r="N26" s="13"/>
      <c r="O26" s="1101">
        <v>-2.1579999999999999</v>
      </c>
      <c r="P26" s="13"/>
      <c r="Q26" s="1101">
        <v>-2.0590000000000002</v>
      </c>
      <c r="R26" s="13"/>
      <c r="S26" s="1108">
        <v>-0.29399999999999998</v>
      </c>
      <c r="T26" s="1108">
        <v>-0.5</v>
      </c>
      <c r="U26" s="1108">
        <v>-0.76200000000000001</v>
      </c>
      <c r="V26" s="23">
        <f>-2.159-S26-T26-U26</f>
        <v>-0.60299999999999976</v>
      </c>
      <c r="W26" s="533">
        <f t="shared" si="9"/>
        <v>-2.1589999999999998</v>
      </c>
      <c r="X26" s="13"/>
      <c r="Y26" s="1108">
        <v>-0.62</v>
      </c>
      <c r="Z26" s="1108">
        <v>-0.83</v>
      </c>
      <c r="AA26" s="1108">
        <v>-0.96499999999999997</v>
      </c>
      <c r="AB26" s="23">
        <f>-2.3-Y26-Z26-AA26</f>
        <v>0.11500000000000021</v>
      </c>
      <c r="AC26" s="533">
        <f t="shared" si="10"/>
        <v>-2.2999999999999998</v>
      </c>
      <c r="AD26" s="13"/>
      <c r="AE26" s="1108">
        <v>-2.7</v>
      </c>
      <c r="AF26" s="1108">
        <v>-3.8</v>
      </c>
      <c r="AG26" s="1108">
        <v>-3.4</v>
      </c>
      <c r="AH26" s="23">
        <f>-11.7-AE26-AF26-AG26</f>
        <v>-1.8000000000000003</v>
      </c>
      <c r="AI26" s="533">
        <f t="shared" si="11"/>
        <v>-11.700000000000001</v>
      </c>
      <c r="AJ26" s="13"/>
      <c r="AK26" s="1108">
        <v>-2.2999999999999998</v>
      </c>
      <c r="AL26" s="1108">
        <v>-2.1</v>
      </c>
      <c r="AM26" s="1108">
        <v>-1.8</v>
      </c>
      <c r="AN26" s="23">
        <f>-7.5-SUM(AK26:AM26)</f>
        <v>-1.2999999999999998</v>
      </c>
      <c r="AO26" s="533">
        <f t="shared" si="12"/>
        <v>-7.5</v>
      </c>
      <c r="AP26" s="13"/>
      <c r="AQ26" s="1108">
        <v>-1.5</v>
      </c>
      <c r="AR26" s="1108">
        <v>-1.3</v>
      </c>
      <c r="AS26" s="1108">
        <v>-1.2</v>
      </c>
      <c r="AT26" s="23">
        <f>-5.6-SUM(AQ26:AS26)</f>
        <v>-1.5999999999999996</v>
      </c>
      <c r="AU26" s="533">
        <f t="shared" si="13"/>
        <v>-5.6</v>
      </c>
      <c r="AV26" s="13"/>
      <c r="AW26" s="1108">
        <v>-1.5</v>
      </c>
      <c r="AX26" s="1108">
        <v>-1.6</v>
      </c>
      <c r="AY26" s="1108">
        <v>-1.7</v>
      </c>
      <c r="AZ26" s="23">
        <f>-7.3-SUM(AW26:AY26)</f>
        <v>-2.5</v>
      </c>
      <c r="BA26" s="533">
        <f t="shared" si="14"/>
        <v>-7.3</v>
      </c>
      <c r="BB26" s="13"/>
      <c r="BC26" s="1108">
        <v>-3.5</v>
      </c>
      <c r="BD26" s="1108">
        <v>-3.6</v>
      </c>
      <c r="BE26" s="1108">
        <v>-3.6</v>
      </c>
      <c r="BF26" s="12">
        <f>-17.7-SUM(BC26:BE26)</f>
        <v>-7</v>
      </c>
      <c r="BG26" s="533">
        <f t="shared" si="15"/>
        <v>-17.7</v>
      </c>
      <c r="BH26" s="13"/>
      <c r="BI26" s="1108">
        <v>-3.1</v>
      </c>
      <c r="BJ26" s="1108">
        <v>-3.1</v>
      </c>
      <c r="BK26" s="1108">
        <v>-4.7</v>
      </c>
      <c r="BL26" s="12">
        <f>-23.6-SUM(BI26:BK26)</f>
        <v>-12.700000000000001</v>
      </c>
      <c r="BM26" s="533">
        <f t="shared" si="16"/>
        <v>-23.6</v>
      </c>
      <c r="BN26" s="13"/>
      <c r="BO26" s="12">
        <v>-3</v>
      </c>
      <c r="BP26" s="1108">
        <v>-3.1</v>
      </c>
      <c r="BQ26" s="1108">
        <v>-3.2</v>
      </c>
      <c r="BR26" s="12">
        <f>0.8-13.3-SUM(BO26:BQ26)</f>
        <v>-3.1999999999999993</v>
      </c>
      <c r="BS26" s="533">
        <f>SUM(BO26:BR26)</f>
        <v>-12.5</v>
      </c>
      <c r="BT26" s="13"/>
      <c r="BU26" s="1823">
        <v>-3.1</v>
      </c>
      <c r="BV26" s="1823">
        <v>-6</v>
      </c>
      <c r="BW26" s="1823">
        <v>-2.1</v>
      </c>
      <c r="BX26" s="12">
        <f>-13-SUM(BU26:BW26)</f>
        <v>-1.8000000000000007</v>
      </c>
      <c r="BY26" s="533">
        <f>SUM(BU26:BX26)</f>
        <v>-13</v>
      </c>
      <c r="BZ26" s="13"/>
      <c r="CA26" s="1823">
        <v>-5.6</v>
      </c>
      <c r="CB26" s="1823">
        <v>-2.6</v>
      </c>
      <c r="CC26" s="1823">
        <v>-2.9</v>
      </c>
      <c r="CD26" s="2012">
        <v>2.2999999999999998</v>
      </c>
      <c r="CE26" s="533">
        <f>SUM(CA26:CD26)</f>
        <v>-8.8000000000000007</v>
      </c>
      <c r="CF26" s="13"/>
      <c r="CG26" s="1823">
        <v>-6</v>
      </c>
      <c r="CH26" s="1823">
        <v>-3.8</v>
      </c>
      <c r="CI26" s="1823">
        <v>-2.5</v>
      </c>
      <c r="CJ26" s="2012">
        <v>-4.5999999999999996</v>
      </c>
      <c r="CK26" s="533">
        <f>SUM(CG26:CJ26)</f>
        <v>-16.899999999999999</v>
      </c>
      <c r="CL26" s="13"/>
      <c r="CM26" s="1137">
        <f>Debt!BU70</f>
        <v>-3.7073749999999999</v>
      </c>
      <c r="CN26" s="1135">
        <f>Debt!BJ70</f>
        <v>-3.2406250000000001</v>
      </c>
      <c r="CO26" s="1135">
        <f>Debt!BW70</f>
        <v>-3.7073749999999999</v>
      </c>
      <c r="CP26" s="1136">
        <f>Debt!BX70</f>
        <v>-3.7073749999999999</v>
      </c>
      <c r="CQ26" s="533">
        <f>SUM(CM26:CP26)</f>
        <v>-14.362749999999998</v>
      </c>
      <c r="CR26" s="13"/>
      <c r="CS26" s="1137">
        <f>Debt!CA70</f>
        <v>-3.7073749999999999</v>
      </c>
      <c r="CT26" s="1135">
        <f>Debt!BP70</f>
        <v>-3.8101249999999998</v>
      </c>
      <c r="CU26" s="1135">
        <f>Debt!CC70</f>
        <v>-3.7073749999999999</v>
      </c>
      <c r="CV26" s="1136">
        <f>Debt!CD70</f>
        <v>-3.7073749999999999</v>
      </c>
      <c r="CW26" s="533">
        <f>SUM(CS26:CV26)</f>
        <v>-14.93225</v>
      </c>
      <c r="CX26" s="477"/>
      <c r="CY26" s="1137">
        <f>Debt!CG70</f>
        <v>-3.7073749999999999</v>
      </c>
      <c r="CZ26" s="1135">
        <f>Debt!BV70</f>
        <v>-3.7073749999999999</v>
      </c>
      <c r="DA26" s="1135">
        <f>Debt!CI70</f>
        <v>-3.7073749999999999</v>
      </c>
      <c r="DB26" s="1136">
        <f>Debt!CJ70</f>
        <v>-3.7073749999999999</v>
      </c>
      <c r="DC26" s="533">
        <f>SUM(CY26:DB26)</f>
        <v>-14.829499999999999</v>
      </c>
      <c r="DD26" s="477"/>
      <c r="DE26" s="1137">
        <f>Debt!CM70</f>
        <v>-3.7073749999999999</v>
      </c>
      <c r="DF26" s="1135">
        <f>Debt!CB70</f>
        <v>-3.7073749999999999</v>
      </c>
      <c r="DG26" s="1135">
        <f>Debt!CO70</f>
        <v>-3.7073749999999999</v>
      </c>
      <c r="DH26" s="1136">
        <f>Debt!CP70</f>
        <v>-3.7073749999999999</v>
      </c>
      <c r="DI26" s="533">
        <f>SUM(DE26:DH26)</f>
        <v>-14.829499999999999</v>
      </c>
      <c r="DJ26"/>
      <c r="DK26"/>
      <c r="DL26"/>
      <c r="DM26"/>
      <c r="DN26"/>
      <c r="DO26"/>
      <c r="DU26" s="477"/>
      <c r="DV26" s="477"/>
      <c r="DW26" s="477"/>
    </row>
    <row r="27" spans="1:127" s="16" customFormat="1" ht="11.25" customHeight="1">
      <c r="A27" s="1693" t="s">
        <v>32</v>
      </c>
      <c r="B27" s="1692"/>
      <c r="C27" s="1101">
        <v>0</v>
      </c>
      <c r="D27" s="13"/>
      <c r="E27" s="1101">
        <v>0</v>
      </c>
      <c r="F27" s="13"/>
      <c r="G27" s="1101">
        <v>0</v>
      </c>
      <c r="H27" s="13"/>
      <c r="I27" s="1101">
        <v>0</v>
      </c>
      <c r="J27" s="13"/>
      <c r="K27" s="24">
        <f>1.499-0.264-0.047-10.938+10.938</f>
        <v>1.1880000000000006</v>
      </c>
      <c r="L27" s="13"/>
      <c r="M27" s="24">
        <f>1.248+0.466-0.179</f>
        <v>1.5349999999999999</v>
      </c>
      <c r="N27" s="13"/>
      <c r="O27" s="24">
        <f>-0.799-0.037-0.003-2.322</f>
        <v>-3.161</v>
      </c>
      <c r="P27" s="13"/>
      <c r="Q27" s="24">
        <f>1.308-2.675+0.15-0.07</f>
        <v>-1.2869999999999999</v>
      </c>
      <c r="R27" s="13"/>
      <c r="S27" s="12">
        <f>-0.396+1.46+0.19</f>
        <v>1.254</v>
      </c>
      <c r="T27" s="12">
        <f>-0.701+2.315+0.294</f>
        <v>1.9079999999999999</v>
      </c>
      <c r="U27" s="12">
        <f>-0.068+0.118-0.073</f>
        <v>-2.3000000000000007E-2</v>
      </c>
      <c r="V27" s="23">
        <f>-1.613+4.714+0.202+0.247+0.021+0.163-S27-T27-U27</f>
        <v>0.59500000000000008</v>
      </c>
      <c r="W27" s="533">
        <f t="shared" si="9"/>
        <v>3.734</v>
      </c>
      <c r="X27" s="13"/>
      <c r="Y27" s="12">
        <f>-0.711+0.213</f>
        <v>-0.498</v>
      </c>
      <c r="Z27" s="12">
        <f>1.164-0.74</f>
        <v>0.42399999999999993</v>
      </c>
      <c r="AA27" s="12">
        <f>-2.928+2.158</f>
        <v>-0.77</v>
      </c>
      <c r="AB27" s="23">
        <f>-3.9+1.6-Y27-Z27-AA27</f>
        <v>-1.456</v>
      </c>
      <c r="AC27" s="533">
        <f t="shared" si="10"/>
        <v>-2.2999999999999998</v>
      </c>
      <c r="AD27" s="13"/>
      <c r="AE27" s="12">
        <f>-12.2+0.2</f>
        <v>-12</v>
      </c>
      <c r="AF27" s="12">
        <f>3.3+2.2</f>
        <v>5.5</v>
      </c>
      <c r="AG27" s="12">
        <f>3.2+0.3</f>
        <v>3.5</v>
      </c>
      <c r="AH27" s="23">
        <f>-11.2+3-AE27-AF27-AG27</f>
        <v>-5.1999999999999993</v>
      </c>
      <c r="AI27" s="533">
        <f t="shared" si="11"/>
        <v>-8.1999999999999993</v>
      </c>
      <c r="AJ27" s="13"/>
      <c r="AK27" s="12">
        <f>1.3+0.7</f>
        <v>2</v>
      </c>
      <c r="AL27" s="12">
        <f>-0.7-0.5</f>
        <v>-1.2</v>
      </c>
      <c r="AM27" s="12">
        <f>-0.8+0.4</f>
        <v>-0.4</v>
      </c>
      <c r="AN27" s="23">
        <f>-1.9+0.8-SUM(AK27:AM27)</f>
        <v>-1.5</v>
      </c>
      <c r="AO27" s="533">
        <f t="shared" si="12"/>
        <v>-1.1000000000000001</v>
      </c>
      <c r="AP27" s="13"/>
      <c r="AQ27" s="12">
        <f>0.5+0.6</f>
        <v>1.1000000000000001</v>
      </c>
      <c r="AR27" s="12">
        <f>-2.4-0.7</f>
        <v>-3.0999999999999996</v>
      </c>
      <c r="AS27" s="12">
        <f>-0.1+0.1</f>
        <v>0</v>
      </c>
      <c r="AT27" s="23">
        <f>-1.5+0.6-SUM(AQ27:AS27)</f>
        <v>1.0999999999999996</v>
      </c>
      <c r="AU27" s="533">
        <f t="shared" si="13"/>
        <v>-0.89999999999999991</v>
      </c>
      <c r="AV27" s="13"/>
      <c r="AW27" s="12">
        <f>-2.9-0.8</f>
        <v>-3.7</v>
      </c>
      <c r="AX27" s="12">
        <f>-3.8-0.5</f>
        <v>-4.3</v>
      </c>
      <c r="AY27" s="12">
        <f>3+0.4</f>
        <v>3.4</v>
      </c>
      <c r="AZ27" s="23">
        <f>-4.4+0.6-SUM(AW27:AY27)</f>
        <v>0.79999999999999938</v>
      </c>
      <c r="BA27" s="533">
        <f t="shared" si="14"/>
        <v>-3.8000000000000003</v>
      </c>
      <c r="BB27" s="13"/>
      <c r="BC27" s="12">
        <f>-3-1.2</f>
        <v>-4.2</v>
      </c>
      <c r="BD27" s="1108">
        <v>0.7</v>
      </c>
      <c r="BE27" s="12">
        <f>-2.1+2.2+0.6</f>
        <v>0.70000000000000007</v>
      </c>
      <c r="BF27" s="12">
        <f>0-SUM(BC27:BE27)</f>
        <v>2.8</v>
      </c>
      <c r="BG27" s="533">
        <f t="shared" si="15"/>
        <v>0</v>
      </c>
      <c r="BH27" s="13"/>
      <c r="BI27" s="12">
        <f>-0.4-1.3+(0.9-0.9)</f>
        <v>-1.7000000000000002</v>
      </c>
      <c r="BJ27" s="12">
        <f>-4.7-1.5</f>
        <v>-6.2</v>
      </c>
      <c r="BK27" s="12">
        <v>0</v>
      </c>
      <c r="BL27" s="12">
        <f>-1.5-0.9-SUM(BI27:BK27)</f>
        <v>5.5</v>
      </c>
      <c r="BM27" s="533">
        <f t="shared" si="16"/>
        <v>-2.4000000000000004</v>
      </c>
      <c r="BN27" s="13"/>
      <c r="BO27" s="12">
        <f>-1.6+0.3-0.6-0.3</f>
        <v>-2.1999999999999997</v>
      </c>
      <c r="BP27" s="12">
        <v>0.8</v>
      </c>
      <c r="BQ27" s="12">
        <f>0.5+8.7-1.9-8.7+2.4</f>
        <v>0.99999999999999956</v>
      </c>
      <c r="BR27" s="12">
        <f>-2+8.3+2.1-8.3+2.4-SUM(BO27:BQ27)</f>
        <v>2.8999999999999995</v>
      </c>
      <c r="BS27" s="533">
        <f>SUM(BO27:BR27)</f>
        <v>2.4999999999999991</v>
      </c>
      <c r="BT27" s="13"/>
      <c r="BU27" s="1823">
        <f>-0.4</f>
        <v>-0.4</v>
      </c>
      <c r="BV27" s="1823">
        <v>0</v>
      </c>
      <c r="BW27" s="1823">
        <f>-3+0.5</f>
        <v>-2.5</v>
      </c>
      <c r="BX27" s="12">
        <f>-5.5-0.2-SUM(BU27:BW27)</f>
        <v>-2.8000000000000003</v>
      </c>
      <c r="BY27" s="533">
        <f>SUM(BU27:BX27)</f>
        <v>-5.7</v>
      </c>
      <c r="BZ27" s="13"/>
      <c r="CA27" s="1823">
        <v>0</v>
      </c>
      <c r="CB27" s="1823">
        <v>0</v>
      </c>
      <c r="CC27" s="1823">
        <v>0</v>
      </c>
      <c r="CD27" s="2012">
        <v>0</v>
      </c>
      <c r="CE27" s="533">
        <f>SUM(CA27:CD27)</f>
        <v>0</v>
      </c>
      <c r="CF27" s="13"/>
      <c r="CG27" s="1823">
        <v>0</v>
      </c>
      <c r="CH27" s="1823">
        <f>2.4-1.9</f>
        <v>0.5</v>
      </c>
      <c r="CI27" s="1823">
        <v>-1.1000000000000001</v>
      </c>
      <c r="CJ27" s="2012">
        <v>0</v>
      </c>
      <c r="CK27" s="533">
        <f>SUM(CG27:CJ27)</f>
        <v>-0.60000000000000009</v>
      </c>
      <c r="CL27" s="13"/>
      <c r="CM27" s="488">
        <f>CM9*CM57</f>
        <v>-0.55078034976063728</v>
      </c>
      <c r="CN27" s="14">
        <f>CN9*CN57</f>
        <v>-0.56456961053891463</v>
      </c>
      <c r="CO27" s="14">
        <f>CO9*CO57</f>
        <v>-0.58629972986241585</v>
      </c>
      <c r="CP27" s="489">
        <f>CP9*CP57</f>
        <v>-0.72512402531956033</v>
      </c>
      <c r="CQ27" s="533">
        <f>SUM(CM27:CP27)</f>
        <v>-2.4267737154815281</v>
      </c>
      <c r="CR27" s="13"/>
      <c r="CS27" s="488">
        <f>CS9*CS57</f>
        <v>-0.56035538570577825</v>
      </c>
      <c r="CT27" s="14">
        <f>CT9*CT57</f>
        <v>-0.58422540351989871</v>
      </c>
      <c r="CU27" s="14">
        <f>CU9*CU57</f>
        <v>-0.59512607853074784</v>
      </c>
      <c r="CV27" s="489">
        <f>CV9*CV57</f>
        <v>-0.76035387609923988</v>
      </c>
      <c r="CW27" s="533">
        <f>SUM(CS27:CV27)</f>
        <v>-2.5000607438556646</v>
      </c>
      <c r="CX27" s="477"/>
      <c r="CY27" s="488">
        <f>CY9*CY57</f>
        <v>-0.57546372922505074</v>
      </c>
      <c r="CZ27" s="14">
        <f>CZ9*CZ57</f>
        <v>-0.5900632435340587</v>
      </c>
      <c r="DA27" s="14">
        <f>DA9*DA57</f>
        <v>-0.6157796652153239</v>
      </c>
      <c r="DB27" s="489">
        <f>DB9*DB57</f>
        <v>-0.77484981105076411</v>
      </c>
      <c r="DC27" s="533">
        <f>SUM(CY27:DB27)</f>
        <v>-2.5561564490251976</v>
      </c>
      <c r="DD27" s="477"/>
      <c r="DE27" s="488">
        <f>DE9*DE57</f>
        <v>-0.58481427677081899</v>
      </c>
      <c r="DF27" s="14">
        <f>DF9*DF57</f>
        <v>-0.60907892691206467</v>
      </c>
      <c r="DG27" s="14">
        <f>DG9*DG57</f>
        <v>-0.62499462914321413</v>
      </c>
      <c r="DH27" s="489">
        <f>DH9*DH57</f>
        <v>-0.79667058840929061</v>
      </c>
      <c r="DI27" s="533">
        <f>SUM(DE27:DH27)</f>
        <v>-2.615558421235388</v>
      </c>
      <c r="DJ27"/>
      <c r="DK27"/>
      <c r="DL27"/>
      <c r="DM27"/>
      <c r="DN27"/>
      <c r="DO27"/>
      <c r="DU27" s="478">
        <v>66</v>
      </c>
      <c r="DV27" s="478"/>
      <c r="DW27" s="478"/>
    </row>
    <row r="28" spans="1:127" s="16" customFormat="1" ht="11.25" customHeight="1">
      <c r="A28" s="1694" t="s">
        <v>13</v>
      </c>
      <c r="B28" s="1731"/>
      <c r="C28" s="286">
        <f>C20+C25+C26+C27</f>
        <v>-0.88800000000000501</v>
      </c>
      <c r="D28" s="287"/>
      <c r="E28" s="286">
        <f>E20+E25+E26+E27</f>
        <v>2.4010000000000042</v>
      </c>
      <c r="F28" s="287"/>
      <c r="G28" s="286">
        <f>G20+G25+G26+G27</f>
        <v>3.7049999999999996</v>
      </c>
      <c r="H28" s="287"/>
      <c r="I28" s="286">
        <f>I20+I25+I26+I27</f>
        <v>5.6500000000000083</v>
      </c>
      <c r="J28" s="287"/>
      <c r="K28" s="286">
        <f>K20+K25+K26+K27</f>
        <v>9.9909999999999854</v>
      </c>
      <c r="L28" s="287"/>
      <c r="M28" s="286">
        <f>M20+M25+M26+M27</f>
        <v>4.2650000000000245</v>
      </c>
      <c r="N28" s="287"/>
      <c r="O28" s="286">
        <f>O20+O25+O26+O27</f>
        <v>-4.8969999999999949</v>
      </c>
      <c r="P28" s="287"/>
      <c r="Q28" s="286">
        <f>Q20+Q25+Q26+Q27</f>
        <v>21.641999999999996</v>
      </c>
      <c r="R28" s="287"/>
      <c r="S28" s="1444">
        <f>S20+S25+S26+S27</f>
        <v>7.7229999999999954</v>
      </c>
      <c r="T28" s="1444">
        <f>T20+T25+T26+T27</f>
        <v>8.897999999999989</v>
      </c>
      <c r="U28" s="1444">
        <f>U20+U25+U26+U27</f>
        <v>7.4540000000000077</v>
      </c>
      <c r="V28" s="1444">
        <f>V20+V25+V26+V27</f>
        <v>16.06900000000002</v>
      </c>
      <c r="W28" s="286">
        <f>W20+W25+W26+W27</f>
        <v>40.14399999999997</v>
      </c>
      <c r="X28" s="287"/>
      <c r="Y28" s="1444">
        <f>Y20+Y25+Y26+Y27</f>
        <v>20.853000000000005</v>
      </c>
      <c r="Z28" s="1444">
        <f>Z20+Z25+Z26+Z27</f>
        <v>24.403999999999986</v>
      </c>
      <c r="AA28" s="1444">
        <f>AA20+AA25+AA26+AA27</f>
        <v>32.639999999999965</v>
      </c>
      <c r="AB28" s="1444">
        <f>AB20+AB25+AB26+AB27</f>
        <v>75.203000000000074</v>
      </c>
      <c r="AC28" s="286">
        <f>AC20+AC25+AC26+AC27</f>
        <v>153.10000000000005</v>
      </c>
      <c r="AD28" s="287"/>
      <c r="AE28" s="1444">
        <f>AE20+AE25+AE26+AE27</f>
        <v>10.099999999999998</v>
      </c>
      <c r="AF28" s="1444">
        <f>AF20+AF25+AF26+AF27</f>
        <v>33.5</v>
      </c>
      <c r="AG28" s="1444">
        <f>AG20+AG25+AG26+AG27</f>
        <v>17.200000000000003</v>
      </c>
      <c r="AH28" s="1444">
        <f>AH20+AH25+AH26+AH27</f>
        <v>45.399999999999906</v>
      </c>
      <c r="AI28" s="286">
        <f>AI20+AI25+AI26+AI27</f>
        <v>106.19999999999987</v>
      </c>
      <c r="AJ28" s="287"/>
      <c r="AK28" s="1444">
        <f>AK20+AK25+AK26+AK27</f>
        <v>15.199999999999982</v>
      </c>
      <c r="AL28" s="1444">
        <f>AL20+AL25+AL26+AL27</f>
        <v>16.799999999999986</v>
      </c>
      <c r="AM28" s="1444">
        <f>AM20+AM25+AM26+AM27</f>
        <v>24.599999999999948</v>
      </c>
      <c r="AN28" s="1444">
        <f>AN20+AN25+AN26+AN27</f>
        <v>67.999999999999972</v>
      </c>
      <c r="AO28" s="286">
        <f>AO20+AO25+AO26+AO27</f>
        <v>124.59999999999982</v>
      </c>
      <c r="AP28" s="287"/>
      <c r="AQ28" s="1444">
        <f>AQ20+AQ25+AQ26+AQ27</f>
        <v>29.200000000000017</v>
      </c>
      <c r="AR28" s="1444">
        <f>AR20+AR25+AR26+AR27</f>
        <v>38.199999999999967</v>
      </c>
      <c r="AS28" s="1444">
        <f>AS20+AS25+AS26+AS27</f>
        <v>47.6</v>
      </c>
      <c r="AT28" s="1444">
        <f>AT20+AT25+AT26+AT27</f>
        <v>66.999999999999943</v>
      </c>
      <c r="AU28" s="286">
        <f>AU20+AU25+AU26+AU27</f>
        <v>182.00000000000009</v>
      </c>
      <c r="AV28" s="287"/>
      <c r="AW28" s="1444">
        <f>AW20+AW25+AW26+AW27</f>
        <v>32.599999999999994</v>
      </c>
      <c r="AX28" s="1444">
        <f>AX20+AX25+AX26+AX27</f>
        <v>46.500000000000107</v>
      </c>
      <c r="AY28" s="1444">
        <f>AY20+AY25+AY26+AY27</f>
        <v>54.099999999999987</v>
      </c>
      <c r="AZ28" s="1444">
        <f>AZ20+AZ25+AZ26+AZ27</f>
        <v>61.399999999999814</v>
      </c>
      <c r="BA28" s="286">
        <f>BA20+BA25+BA26+BA27</f>
        <v>194.5999999999998</v>
      </c>
      <c r="BB28" s="287"/>
      <c r="BC28" s="1444">
        <f>BC20+BC25+BC26+BC27</f>
        <v>36.099999999999966</v>
      </c>
      <c r="BD28" s="1444">
        <f>BD20+BD25+BD26+BD27</f>
        <v>30.200000000000028</v>
      </c>
      <c r="BE28" s="1444">
        <f>BE20+BE25+BE26+BE27</f>
        <v>66.700000000000017</v>
      </c>
      <c r="BF28" s="1444">
        <f>BF20+BF25+BF26+BF27</f>
        <v>68.300000000000111</v>
      </c>
      <c r="BG28" s="286">
        <f>BG20+BG25+BG26+BG27</f>
        <v>201.30000000000013</v>
      </c>
      <c r="BH28" s="287"/>
      <c r="BI28" s="1444">
        <f>BI20+BI25+BI26+BI27</f>
        <v>18.80000000000005</v>
      </c>
      <c r="BJ28" s="1444">
        <f>BJ20+BJ25+BJ26+BJ27</f>
        <v>43.999999999999979</v>
      </c>
      <c r="BK28" s="1444">
        <f>BK20+BK25+BK26+BK27</f>
        <v>42.599999999999952</v>
      </c>
      <c r="BL28" s="1732">
        <f>BL20+BL25+BL26+BL27</f>
        <v>74.100000000000094</v>
      </c>
      <c r="BM28" s="286">
        <f>BM20+BM25+BM26+BM27</f>
        <v>179.5</v>
      </c>
      <c r="BN28" s="287"/>
      <c r="BO28" s="1444">
        <f>BO20+BO25+BO26+BO27</f>
        <v>26.900000000000052</v>
      </c>
      <c r="BP28" s="1444">
        <f>BP20+BP25+BP26+BP27</f>
        <v>50.399999999999956</v>
      </c>
      <c r="BQ28" s="1444">
        <f>BQ20+BQ25+BQ26+BQ27</f>
        <v>33.699999999999974</v>
      </c>
      <c r="BR28" s="1732">
        <f>BR20+BR25+BR26+BR27</f>
        <v>63.400000000000098</v>
      </c>
      <c r="BS28" s="286">
        <f>BS20+BS25+BS26+BS27</f>
        <v>174.40000000000009</v>
      </c>
      <c r="BT28" s="287"/>
      <c r="BU28" s="1733">
        <f>BU20+BU25+BU26+BU27</f>
        <v>32.300000000000011</v>
      </c>
      <c r="BV28" s="1444">
        <f>BV20+BV25+BV26+BV27</f>
        <v>36.899999999999977</v>
      </c>
      <c r="BW28" s="1444">
        <f>BW20+BW25+BW26+BW27</f>
        <v>48.20000000000001</v>
      </c>
      <c r="BX28" s="1732">
        <f>BX20+BX25+BX26+BX27</f>
        <v>80.299999999999912</v>
      </c>
      <c r="BY28" s="286">
        <f>BY20+BY25+BY26+BY27</f>
        <v>197.70000000000005</v>
      </c>
      <c r="BZ28" s="287"/>
      <c r="CA28" s="1733">
        <f>CA20+CA25+CA26+CA27</f>
        <v>41.700000000000038</v>
      </c>
      <c r="CB28" s="1444">
        <f>CB20+CB25+CB26+CB27</f>
        <v>37.400000000000055</v>
      </c>
      <c r="CC28" s="1444">
        <f>CC20+CC25+CC26+CC27</f>
        <v>55.699999999999967</v>
      </c>
      <c r="CD28" s="1732">
        <f>CD20+CD25+CD26+CD27</f>
        <v>94.29999999999994</v>
      </c>
      <c r="CE28" s="286">
        <f>CE20+CE25+CE26+CE27</f>
        <v>229.10000000000008</v>
      </c>
      <c r="CF28" s="287"/>
      <c r="CG28" s="1733">
        <f>CG20+CG25+CG26+CG27</f>
        <v>43.199999999999989</v>
      </c>
      <c r="CH28" s="1444">
        <f>CH20+CH25+CH26+CH27</f>
        <v>48.399999999999991</v>
      </c>
      <c r="CI28" s="1444">
        <f>CI20+CI25+CI26+CI27</f>
        <v>60.799999999999947</v>
      </c>
      <c r="CJ28" s="1732">
        <f>CJ20+CJ25+CJ26+CJ27</f>
        <v>106.20000000000022</v>
      </c>
      <c r="CK28" s="286">
        <f>CK20+CK25+CK26+CK27</f>
        <v>258.60000000000002</v>
      </c>
      <c r="CL28" s="287"/>
      <c r="CM28" s="1733">
        <f>CM20+CM25+CM26+CM27</f>
        <v>51.428047163291616</v>
      </c>
      <c r="CN28" s="1444">
        <f>CN20+CN25+CN26+CN27</f>
        <v>53.299197891867543</v>
      </c>
      <c r="CO28" s="1444">
        <f>CO20+CO25+CO26+CO27</f>
        <v>74.714397768907176</v>
      </c>
      <c r="CP28" s="1732">
        <f>CP20+CP25+CP26+CP27</f>
        <v>116.37546709366954</v>
      </c>
      <c r="CQ28" s="286">
        <f>CQ20+CQ25+CQ26+CQ27</f>
        <v>295.81710991773593</v>
      </c>
      <c r="CR28" s="287"/>
      <c r="CS28" s="1733">
        <f>CS20+CS25+CS26+CS27</f>
        <v>72.143996927506421</v>
      </c>
      <c r="CT28" s="1444">
        <f>CT20+CT25+CT26+CT27</f>
        <v>75.717998104942723</v>
      </c>
      <c r="CU28" s="1444">
        <f>CU20+CU25+CU26+CU27</f>
        <v>77.103224714536424</v>
      </c>
      <c r="CV28" s="1732">
        <f>CV20+CV25+CV26+CV27</f>
        <v>100.24188948869163</v>
      </c>
      <c r="CW28" s="286">
        <f>CW20+CW25+CW26+CW27</f>
        <v>325.20710923567697</v>
      </c>
      <c r="CX28" s="1826"/>
      <c r="CY28" s="1733">
        <f>CY20+CY25+CY26+CY27</f>
        <v>78.954920883169862</v>
      </c>
      <c r="CZ28" s="1444">
        <f>CZ20+CZ25+CZ26+CZ27</f>
        <v>92.131512090463332</v>
      </c>
      <c r="DA28" s="1444">
        <f>DA20+DA25+DA26+DA27</f>
        <v>94.306716306002059</v>
      </c>
      <c r="DB28" s="1732">
        <f>DB20+DB25+DB26+DB27</f>
        <v>117.21323389245858</v>
      </c>
      <c r="DC28" s="286">
        <f>DC20+DC25+DC26+DC27</f>
        <v>382.60638317209379</v>
      </c>
      <c r="DD28" s="1826"/>
      <c r="DE28" s="1733">
        <f>DE20+DE25+DE26+DE27</f>
        <v>92.851678179161041</v>
      </c>
      <c r="DF28" s="1444">
        <f>DF20+DF25+DF26+DF27</f>
        <v>90.158683310319276</v>
      </c>
      <c r="DG28" s="1444">
        <f>DG20+DG25+DG26+DG27</f>
        <v>92.446206363005473</v>
      </c>
      <c r="DH28" s="1732">
        <f>DH20+DH25+DH26+DH27</f>
        <v>119.54585713066918</v>
      </c>
      <c r="DI28" s="286">
        <f>DI20+DI25+DI26+DI27</f>
        <v>395.00242498315481</v>
      </c>
      <c r="DJ28"/>
      <c r="DK28"/>
      <c r="DL28"/>
      <c r="DM28"/>
      <c r="DN28"/>
      <c r="DO28"/>
      <c r="DU28" s="477">
        <v>47</v>
      </c>
      <c r="DV28" s="1718"/>
      <c r="DW28" s="477"/>
    </row>
    <row r="29" spans="1:127" s="16" customFormat="1" ht="11.25" customHeight="1">
      <c r="A29" s="13" t="s">
        <v>14</v>
      </c>
      <c r="B29" s="1692"/>
      <c r="C29" s="1101">
        <v>0</v>
      </c>
      <c r="D29" s="13"/>
      <c r="E29" s="24">
        <f>0.987+(0.538*0.35)</f>
        <v>1.1753</v>
      </c>
      <c r="F29" s="13"/>
      <c r="G29" s="24">
        <f>0.254+((1.082+0.303)*0.35)</f>
        <v>0.73875000000000002</v>
      </c>
      <c r="H29" s="13"/>
      <c r="I29" s="24">
        <f>2.369-(0.356*0.35)</f>
        <v>2.2444000000000002</v>
      </c>
      <c r="J29" s="13"/>
      <c r="K29" s="24">
        <f>2.781-(2.781-3.89)</f>
        <v>3.89</v>
      </c>
      <c r="L29" s="13"/>
      <c r="M29" s="24">
        <f>9.724-7.682</f>
        <v>2.0419999999999998</v>
      </c>
      <c r="N29" s="13"/>
      <c r="O29" s="1101">
        <v>2.8650000000000002</v>
      </c>
      <c r="P29" s="13"/>
      <c r="Q29" s="1101">
        <v>11.855</v>
      </c>
      <c r="R29" s="13"/>
      <c r="S29" s="12">
        <f>3.24+(1.176*(0.724/5.724))</f>
        <v>3.3887463312368973</v>
      </c>
      <c r="T29" s="12">
        <f>2.623+(3.692*(0.724/5.724))</f>
        <v>3.0899825296995109</v>
      </c>
      <c r="U29" s="12">
        <f>3.535+(0.961*(0.724/5.724))</f>
        <v>3.6565520614954576</v>
      </c>
      <c r="V29" s="12">
        <f>15.931+(5.724-5)-S29-T29-U29</f>
        <v>6.5197190775681371</v>
      </c>
      <c r="W29" s="533">
        <f t="shared" si="9"/>
        <v>16.655000000000001</v>
      </c>
      <c r="X29" s="13"/>
      <c r="Y29" s="12">
        <f>6.023+0.11</f>
        <v>6.133</v>
      </c>
      <c r="Z29" s="12">
        <f>6.284+0.113</f>
        <v>6.3970000000000002</v>
      </c>
      <c r="AA29" s="12">
        <f>4.616+0.196</f>
        <v>4.8119999999999994</v>
      </c>
      <c r="AB29" s="12">
        <f>44.3+(2.2-1.6)+(7.4-7.4)-Y29-Z29-AA29</f>
        <v>27.558</v>
      </c>
      <c r="AC29" s="533">
        <f t="shared" si="10"/>
        <v>44.9</v>
      </c>
      <c r="AD29" s="13"/>
      <c r="AE29" s="12">
        <f>4.2+(0.2)</f>
        <v>4.4000000000000004</v>
      </c>
      <c r="AF29" s="12">
        <f>10.3+0.2</f>
        <v>10.5</v>
      </c>
      <c r="AG29" s="12">
        <f>-2+0.2</f>
        <v>-1.8</v>
      </c>
      <c r="AH29" s="12">
        <f>28+(2.3-3)+(4.5-3.8)+(6.2-6.2)-AE29-AF29-AG29</f>
        <v>14.900000000000002</v>
      </c>
      <c r="AI29" s="533">
        <f t="shared" si="11"/>
        <v>28</v>
      </c>
      <c r="AJ29" s="13"/>
      <c r="AK29" s="12">
        <f>5.8+(0.4-0.4+0.4-0.4)</f>
        <v>5.8</v>
      </c>
      <c r="AL29" s="12">
        <f>4.6+(0.5-0.4)+(1-1)</f>
        <v>4.6999999999999993</v>
      </c>
      <c r="AM29" s="12">
        <f>8.1+(0.4-0.4)</f>
        <v>8.1</v>
      </c>
      <c r="AN29" s="12">
        <f>48.1-(6.7-4.7)+(1.8-1.6)+(0.4-0.4)-SUM(AK29:AM29)</f>
        <v>27.700000000000003</v>
      </c>
      <c r="AO29" s="533">
        <f t="shared" si="12"/>
        <v>46.300000000000004</v>
      </c>
      <c r="AP29" s="13"/>
      <c r="AQ29" s="12">
        <f>10.6+((1.6-1.3)+(0.5-0.4)+(0.5-0.5))</f>
        <v>11</v>
      </c>
      <c r="AR29" s="12">
        <f>10.8+((0.2-0.2)+(1.7-1.5)+(0.7-0.6)+(1.9-1.6))</f>
        <v>11.4</v>
      </c>
      <c r="AS29" s="12">
        <f>10.3+((4.9-3.7)+(1.7-1.4)+(0.9-0.9)+(1.9-1.8))</f>
        <v>11.9</v>
      </c>
      <c r="AT29" s="12">
        <f>53.3+(10.6-9.3)+(6.9-5.9)+(5.8-5.4)+(8.6-11)-SUM(AQ29:AS29)</f>
        <v>19.299999999999997</v>
      </c>
      <c r="AU29" s="533">
        <f t="shared" si="13"/>
        <v>53.599999999999994</v>
      </c>
      <c r="AV29" s="13"/>
      <c r="AW29" s="12">
        <f>9+(4.1-4.1)+(1.8-1.5)+(3.9-3.7)+(2.1-2.2)</f>
        <v>9.4</v>
      </c>
      <c r="AX29" s="12">
        <f>10.4+((5-3.6)+(1.9-1.7)+(4.2-4.1)+(2.4-2.4))</f>
        <v>12.100000000000001</v>
      </c>
      <c r="AY29" s="12">
        <f>19.3+((1.3-0.9)+(2.1-1.8)+(5-4.9)+(6.3-8.8))</f>
        <v>17.600000000000001</v>
      </c>
      <c r="AZ29" s="12">
        <f>51.5+(9.3-7.9)+(7.9-6.7)+(18.1-17.4)+(13.8-19.4)-SUM(AW29:AY29)</f>
        <v>10.100000000000001</v>
      </c>
      <c r="BA29" s="533">
        <f t="shared" si="14"/>
        <v>49.2</v>
      </c>
      <c r="BB29" s="13"/>
      <c r="BC29" s="12">
        <f>11.8+((0.7-0.5)+(5.1-4.9)+(3.4-3.3))</f>
        <v>12.3</v>
      </c>
      <c r="BD29" s="12">
        <f>9.4+((1.7-1.7)+(5.6-5.3)+(3.6-3.6))</f>
        <v>9.6999999999999993</v>
      </c>
      <c r="BE29" s="12">
        <f>17.7+(1.1-1.1)+(5.5-5.2)+(2.5-1.1)</f>
        <v>19.399999999999999</v>
      </c>
      <c r="BF29" s="12">
        <f>60.1+(3.3-3.3)+(22-21.3)+(13.9-12.4)-SUM(BC29:BE29)</f>
        <v>20.9</v>
      </c>
      <c r="BG29" s="533">
        <f t="shared" si="15"/>
        <v>62.3</v>
      </c>
      <c r="BH29" s="13"/>
      <c r="BI29" s="1108">
        <v>5.0999999999999996</v>
      </c>
      <c r="BJ29" s="1108">
        <v>13.7</v>
      </c>
      <c r="BK29" s="12">
        <v>8.5</v>
      </c>
      <c r="BL29" s="1725">
        <f>48.5-SUM(BI29:BK29)</f>
        <v>21.200000000000003</v>
      </c>
      <c r="BM29" s="533">
        <f t="shared" si="16"/>
        <v>48.5</v>
      </c>
      <c r="BN29" s="13"/>
      <c r="BO29" s="1108">
        <v>6.9</v>
      </c>
      <c r="BP29" s="12">
        <v>15.1</v>
      </c>
      <c r="BQ29" s="12">
        <v>9.1</v>
      </c>
      <c r="BR29" s="1725">
        <f>43.8-SUM(BO29:BQ29)</f>
        <v>12.699999999999996</v>
      </c>
      <c r="BS29" s="533">
        <f>SUM(BO29:BR29)</f>
        <v>43.8</v>
      </c>
      <c r="BT29" s="13"/>
      <c r="BU29" s="1823">
        <v>8.8000000000000007</v>
      </c>
      <c r="BV29" s="1823">
        <v>3.8</v>
      </c>
      <c r="BW29" s="1823">
        <v>15.5</v>
      </c>
      <c r="BX29" s="1725">
        <v>15.3</v>
      </c>
      <c r="BY29" s="533">
        <f>SUM(BU29:BX29)</f>
        <v>43.400000000000006</v>
      </c>
      <c r="BZ29" s="13"/>
      <c r="CA29" s="1823">
        <v>7.4</v>
      </c>
      <c r="CB29" s="1823">
        <v>4.5</v>
      </c>
      <c r="CC29" s="1823">
        <v>3.5</v>
      </c>
      <c r="CD29" s="2012">
        <v>20.5</v>
      </c>
      <c r="CE29" s="533">
        <f>SUM(CA29:CD29)</f>
        <v>35.9</v>
      </c>
      <c r="CF29" s="13"/>
      <c r="CG29" s="1823">
        <v>13.2</v>
      </c>
      <c r="CH29" s="1823">
        <v>11.7</v>
      </c>
      <c r="CI29" s="1823">
        <v>13.8</v>
      </c>
      <c r="CJ29" s="489">
        <v>26</v>
      </c>
      <c r="CK29" s="533">
        <f>SUM(CG29:CJ29)</f>
        <v>64.7</v>
      </c>
      <c r="CL29" s="13"/>
      <c r="CM29" s="488">
        <f>CM28*CM58</f>
        <v>12.857011790822904</v>
      </c>
      <c r="CN29" s="14">
        <f>CN28*CN58</f>
        <v>13.324799472966886</v>
      </c>
      <c r="CO29" s="14">
        <f>CO28*CO58</f>
        <v>18.678599442226794</v>
      </c>
      <c r="CP29" s="489">
        <f>CP28*CP58</f>
        <v>29.093866773417385</v>
      </c>
      <c r="CQ29" s="533">
        <f>SUM(CM29:CP29)</f>
        <v>73.954277479433969</v>
      </c>
      <c r="CR29" s="13"/>
      <c r="CS29" s="488">
        <f>CS28*CS58</f>
        <v>18.035999231876605</v>
      </c>
      <c r="CT29" s="14">
        <f>CT28*CT58</f>
        <v>18.929499526235681</v>
      </c>
      <c r="CU29" s="14">
        <f>CU28*CU58</f>
        <v>19.275806178634106</v>
      </c>
      <c r="CV29" s="489">
        <f>CV28*CV58</f>
        <v>25.060472372172907</v>
      </c>
      <c r="CW29" s="533">
        <f>SUM(CS29:CV29)</f>
        <v>81.301777308919299</v>
      </c>
      <c r="CX29" s="477"/>
      <c r="CY29" s="488">
        <f>CY28*CY58</f>
        <v>19.738730220792466</v>
      </c>
      <c r="CZ29" s="14">
        <f>CZ28*CZ58</f>
        <v>23.032878022615833</v>
      </c>
      <c r="DA29" s="14">
        <f>DA28*DA58</f>
        <v>23.576679076500515</v>
      </c>
      <c r="DB29" s="489">
        <f>DB28*DB58</f>
        <v>29.303308473114644</v>
      </c>
      <c r="DC29" s="533">
        <f>SUM(CY29:DB29)</f>
        <v>95.651595793023446</v>
      </c>
      <c r="DD29" s="477"/>
      <c r="DE29" s="488">
        <f>DE28*DE58</f>
        <v>23.21291954479026</v>
      </c>
      <c r="DF29" s="14">
        <f>DF28*DF58</f>
        <v>22.539670827579819</v>
      </c>
      <c r="DG29" s="14">
        <f>DG28*DG58</f>
        <v>23.111551590751368</v>
      </c>
      <c r="DH29" s="489">
        <f>DH28*DH58</f>
        <v>29.886464282667294</v>
      </c>
      <c r="DI29" s="533">
        <f>SUM(DE29:DH29)</f>
        <v>98.750606245788745</v>
      </c>
      <c r="DJ29"/>
      <c r="DK29"/>
      <c r="DL29"/>
      <c r="DM29"/>
      <c r="DN29"/>
      <c r="DO29"/>
      <c r="DU29" s="478"/>
      <c r="DV29" s="478"/>
      <c r="DW29" s="478"/>
    </row>
    <row r="30" spans="1:127" s="11" customFormat="1" ht="11.25" hidden="1" customHeight="1" outlineLevel="1">
      <c r="A30" s="816" t="s">
        <v>18</v>
      </c>
      <c r="B30" s="815"/>
      <c r="C30" s="817">
        <f>+C28-C29</f>
        <v>-0.88800000000000501</v>
      </c>
      <c r="D30" s="818"/>
      <c r="E30" s="817">
        <f>+E28-E29</f>
        <v>1.2257000000000042</v>
      </c>
      <c r="F30" s="818"/>
      <c r="G30" s="817">
        <f>+G28-G29</f>
        <v>2.9662499999999996</v>
      </c>
      <c r="H30" s="818"/>
      <c r="I30" s="817">
        <f>+I28-I29</f>
        <v>3.4056000000000082</v>
      </c>
      <c r="J30" s="818"/>
      <c r="K30" s="817">
        <f>+K28-K29</f>
        <v>6.1009999999999849</v>
      </c>
      <c r="L30" s="818"/>
      <c r="M30" s="817">
        <f>+M28-M29</f>
        <v>2.2230000000000247</v>
      </c>
      <c r="N30" s="818"/>
      <c r="O30" s="817">
        <f>+O28-O29</f>
        <v>-7.7619999999999951</v>
      </c>
      <c r="P30" s="818"/>
      <c r="Q30" s="817">
        <f>+Q28-Q29</f>
        <v>9.7869999999999955</v>
      </c>
      <c r="R30" s="818"/>
      <c r="S30" s="819">
        <f>+S28-S29</f>
        <v>4.3342536687630986</v>
      </c>
      <c r="T30" s="819">
        <f>+T28-T29</f>
        <v>5.8080174703004781</v>
      </c>
      <c r="U30" s="819">
        <f>+U28-U29</f>
        <v>3.7974479385045501</v>
      </c>
      <c r="V30" s="819">
        <f>+V28-V29</f>
        <v>9.5492809224318833</v>
      </c>
      <c r="W30" s="817">
        <f>+W28-W29</f>
        <v>23.488999999999969</v>
      </c>
      <c r="X30" s="818"/>
      <c r="Y30" s="819">
        <f>+Y28-Y29</f>
        <v>14.720000000000006</v>
      </c>
      <c r="Z30" s="819">
        <f>+Z28-Z29</f>
        <v>18.006999999999984</v>
      </c>
      <c r="AA30" s="819">
        <f>+AA28-AA29</f>
        <v>27.827999999999967</v>
      </c>
      <c r="AB30" s="819">
        <f>+AB28-AB29</f>
        <v>47.645000000000074</v>
      </c>
      <c r="AC30" s="817">
        <f>+AC28-AC29</f>
        <v>108.20000000000005</v>
      </c>
      <c r="AD30" s="818"/>
      <c r="AE30" s="819">
        <f>+AE28-AE29</f>
        <v>5.6999999999999975</v>
      </c>
      <c r="AF30" s="819">
        <f>+AF28-AF29</f>
        <v>23</v>
      </c>
      <c r="AG30" s="819">
        <f>+AG28-AG29</f>
        <v>19.000000000000004</v>
      </c>
      <c r="AH30" s="819">
        <f>+AH28-AH29</f>
        <v>30.499999999999904</v>
      </c>
      <c r="AI30" s="817">
        <f>+AI28-AI29</f>
        <v>78.199999999999875</v>
      </c>
      <c r="AJ30" s="818"/>
      <c r="AK30" s="819">
        <f>+AK28-AK29</f>
        <v>9.3999999999999808</v>
      </c>
      <c r="AL30" s="819">
        <f>+AL28-AL29</f>
        <v>12.099999999999987</v>
      </c>
      <c r="AM30" s="819">
        <f>+AM28-AM29</f>
        <v>16.49999999999995</v>
      </c>
      <c r="AN30" s="819">
        <f>+AN28-AN29</f>
        <v>40.299999999999969</v>
      </c>
      <c r="AO30" s="817">
        <f>+AO28-AO29</f>
        <v>78.299999999999812</v>
      </c>
      <c r="AP30" s="818"/>
      <c r="AQ30" s="819">
        <f>+AQ28-AQ29</f>
        <v>18.200000000000017</v>
      </c>
      <c r="AR30" s="819">
        <f>+AR28-AR29</f>
        <v>26.799999999999969</v>
      </c>
      <c r="AS30" s="819">
        <f>+AS28-AS29</f>
        <v>35.700000000000003</v>
      </c>
      <c r="AT30" s="819">
        <f>+AT28-AT29</f>
        <v>47.699999999999946</v>
      </c>
      <c r="AU30" s="817">
        <f>+AU28-AU29</f>
        <v>128.40000000000009</v>
      </c>
      <c r="AV30" s="818"/>
      <c r="AW30" s="819">
        <f>+AW28-AW29</f>
        <v>23.199999999999996</v>
      </c>
      <c r="AX30" s="819">
        <f>+AX28-AX29</f>
        <v>34.400000000000105</v>
      </c>
      <c r="AY30" s="819">
        <f>+AY28-AY29</f>
        <v>36.499999999999986</v>
      </c>
      <c r="AZ30" s="819">
        <f>+AZ28-AZ29</f>
        <v>51.299999999999812</v>
      </c>
      <c r="BA30" s="817">
        <f>+BA28-BA29</f>
        <v>145.39999999999981</v>
      </c>
      <c r="BB30" s="818"/>
      <c r="BC30" s="819">
        <f>+BC28-BC29</f>
        <v>23.799999999999965</v>
      </c>
      <c r="BD30" s="819">
        <f>+BD28-BD29</f>
        <v>20.500000000000028</v>
      </c>
      <c r="BE30" s="819">
        <f>+BE28-BE29</f>
        <v>47.300000000000018</v>
      </c>
      <c r="BF30" s="819">
        <f>+BF28-BF29</f>
        <v>47.400000000000112</v>
      </c>
      <c r="BG30" s="817">
        <f>+BG28-BG29</f>
        <v>139.00000000000011</v>
      </c>
      <c r="BH30" s="818"/>
      <c r="BI30" s="819">
        <f>+BI28-BI29</f>
        <v>13.700000000000051</v>
      </c>
      <c r="BJ30" s="819">
        <f>+BJ28-BJ29</f>
        <v>30.299999999999979</v>
      </c>
      <c r="BK30" s="819">
        <f>+BK28-BK29</f>
        <v>34.099999999999952</v>
      </c>
      <c r="BL30" s="820">
        <f>+BL28-BL29</f>
        <v>52.900000000000091</v>
      </c>
      <c r="BM30" s="817">
        <f>+BM28-BM29</f>
        <v>131</v>
      </c>
      <c r="BN30" s="818"/>
      <c r="BO30" s="819">
        <f>+BO28-BO29</f>
        <v>20.00000000000005</v>
      </c>
      <c r="BP30" s="819">
        <f>+BP28-BP29</f>
        <v>35.299999999999955</v>
      </c>
      <c r="BQ30" s="819">
        <f>+BQ28-BQ29</f>
        <v>24.599999999999973</v>
      </c>
      <c r="BR30" s="820">
        <f>+BR28-BR29</f>
        <v>50.700000000000102</v>
      </c>
      <c r="BS30" s="817">
        <f>+BS28-BS29</f>
        <v>130.60000000000008</v>
      </c>
      <c r="BT30" s="818"/>
      <c r="BU30" s="821">
        <f>+BU28-BU29</f>
        <v>23.500000000000011</v>
      </c>
      <c r="BV30" s="819">
        <f>+BV28-BV29</f>
        <v>33.09999999999998</v>
      </c>
      <c r="BW30" s="819">
        <f>+BW28-BW29</f>
        <v>32.70000000000001</v>
      </c>
      <c r="BX30" s="820">
        <f>+BX28-BX29</f>
        <v>64.999999999999915</v>
      </c>
      <c r="BY30" s="817">
        <f>+BY28-BY29</f>
        <v>154.30000000000004</v>
      </c>
      <c r="BZ30" s="818"/>
      <c r="CA30" s="821">
        <f>+CA28-CA29</f>
        <v>34.30000000000004</v>
      </c>
      <c r="CB30" s="819">
        <f>+CB28-CB29</f>
        <v>32.900000000000055</v>
      </c>
      <c r="CC30" s="819">
        <f>+CC28-CC29</f>
        <v>52.199999999999967</v>
      </c>
      <c r="CD30" s="820">
        <f>+CD28-CD29</f>
        <v>73.79999999999994</v>
      </c>
      <c r="CE30" s="817">
        <f>+CE28-CE29</f>
        <v>193.20000000000007</v>
      </c>
      <c r="CF30" s="818"/>
      <c r="CG30" s="821">
        <f>+CG28-CG29</f>
        <v>29.999999999999989</v>
      </c>
      <c r="CH30" s="819">
        <f>+CH28-CH29</f>
        <v>36.699999999999989</v>
      </c>
      <c r="CI30" s="819">
        <f>+CI28-CI29</f>
        <v>46.999999999999943</v>
      </c>
      <c r="CJ30" s="820">
        <f>+CJ28-CJ29</f>
        <v>80.200000000000216</v>
      </c>
      <c r="CK30" s="817">
        <f>+CK28-CK29</f>
        <v>193.90000000000003</v>
      </c>
      <c r="CL30" s="818"/>
      <c r="CM30" s="821">
        <f>+CM28-CM29</f>
        <v>38.571035372468714</v>
      </c>
      <c r="CN30" s="819">
        <f>+CN28-CN29</f>
        <v>39.974398418900655</v>
      </c>
      <c r="CO30" s="819">
        <f>+CO28-CO29</f>
        <v>56.035798326680379</v>
      </c>
      <c r="CP30" s="820">
        <f>+CP28-CP29</f>
        <v>87.281600320252153</v>
      </c>
      <c r="CQ30" s="817">
        <f>+CQ28-CQ29</f>
        <v>221.86283243830195</v>
      </c>
      <c r="CR30" s="818"/>
      <c r="CS30" s="821">
        <f>+CS28-CS29</f>
        <v>54.10799769562982</v>
      </c>
      <c r="CT30" s="819">
        <f>+CT28-CT29</f>
        <v>56.788498578707042</v>
      </c>
      <c r="CU30" s="819">
        <f>+CU28-CU29</f>
        <v>57.827418535902318</v>
      </c>
      <c r="CV30" s="820">
        <f>+CV28-CV29</f>
        <v>75.181417116518716</v>
      </c>
      <c r="CW30" s="817">
        <f>+CW28-CW29</f>
        <v>243.90533192675767</v>
      </c>
      <c r="CX30" s="478"/>
      <c r="CY30" s="821">
        <f>+CY28-CY29</f>
        <v>59.2161906623774</v>
      </c>
      <c r="CZ30" s="819">
        <f>+CZ28-CZ29</f>
        <v>69.098634067847499</v>
      </c>
      <c r="DA30" s="819">
        <f>+DA28-DA29</f>
        <v>70.730037229501548</v>
      </c>
      <c r="DB30" s="820">
        <f>+DB28-DB29</f>
        <v>87.909925419343935</v>
      </c>
      <c r="DC30" s="817">
        <f>+DC28-DC29</f>
        <v>286.95478737907035</v>
      </c>
      <c r="DD30" s="478"/>
      <c r="DE30" s="821">
        <f>+DE28-DE29</f>
        <v>69.638758634370788</v>
      </c>
      <c r="DF30" s="819">
        <f>+DF28-DF29</f>
        <v>67.619012482739464</v>
      </c>
      <c r="DG30" s="819">
        <f>+DG28-DG29</f>
        <v>69.334654772254112</v>
      </c>
      <c r="DH30" s="820">
        <f>+DH28-DH29</f>
        <v>89.659392848001886</v>
      </c>
      <c r="DI30" s="817">
        <f>+DI28-DI29</f>
        <v>296.25181873736608</v>
      </c>
      <c r="DJ30"/>
      <c r="DK30"/>
      <c r="DL30"/>
      <c r="DM30"/>
      <c r="DN30"/>
      <c r="DO30"/>
      <c r="DU30" s="477"/>
      <c r="DV30" s="477"/>
      <c r="DW30" s="477"/>
    </row>
    <row r="31" spans="1:127" s="16" customFormat="1" ht="11.25" customHeight="1" collapsed="1">
      <c r="A31" s="1695" t="s">
        <v>19</v>
      </c>
      <c r="B31" s="1692"/>
      <c r="C31" s="1101">
        <v>0</v>
      </c>
      <c r="D31" s="13"/>
      <c r="E31" s="1101">
        <v>0</v>
      </c>
      <c r="F31" s="13"/>
      <c r="G31" s="1101">
        <v>0</v>
      </c>
      <c r="H31" s="13"/>
      <c r="I31" s="1101">
        <v>0</v>
      </c>
      <c r="J31" s="13"/>
      <c r="K31" s="24">
        <f>-0.212+(0.706+0.212)</f>
        <v>0.70599999999999996</v>
      </c>
      <c r="L31" s="13"/>
      <c r="M31" s="24">
        <f>-0.853+0.846</f>
        <v>-7.0000000000000062E-3</v>
      </c>
      <c r="N31" s="13"/>
      <c r="O31" s="1101">
        <v>6.9000000000000006E-2</v>
      </c>
      <c r="P31" s="13"/>
      <c r="Q31" s="1101">
        <v>0.04</v>
      </c>
      <c r="R31" s="13"/>
      <c r="S31" s="1108">
        <v>4.8000000000000001E-2</v>
      </c>
      <c r="T31" s="1108">
        <v>4.4999999999999998E-2</v>
      </c>
      <c r="U31" s="1108">
        <v>-1.7999999999999999E-2</v>
      </c>
      <c r="V31" s="12">
        <f>0.008-S31-T31-U31</f>
        <v>-6.699999999999999E-2</v>
      </c>
      <c r="W31" s="533">
        <f t="shared" si="9"/>
        <v>8.0000000000000071E-3</v>
      </c>
      <c r="X31" s="13"/>
      <c r="Y31" s="1108">
        <v>8.5999999999999993E-2</v>
      </c>
      <c r="Z31" s="1108">
        <v>0.06</v>
      </c>
      <c r="AA31" s="1108">
        <v>0.109</v>
      </c>
      <c r="AB31" s="12">
        <f>0.3-Y31-Z31-AA31</f>
        <v>4.4999999999999998E-2</v>
      </c>
      <c r="AC31" s="533">
        <f t="shared" si="10"/>
        <v>0.3</v>
      </c>
      <c r="AD31" s="13"/>
      <c r="AE31" s="1108">
        <v>0.2</v>
      </c>
      <c r="AF31" s="1108">
        <v>0</v>
      </c>
      <c r="AG31" s="1108">
        <v>0.1</v>
      </c>
      <c r="AH31" s="12">
        <f>0.3-AE31-AF31-AG31</f>
        <v>0</v>
      </c>
      <c r="AI31" s="533">
        <f t="shared" si="11"/>
        <v>0.30000000000000004</v>
      </c>
      <c r="AJ31" s="13"/>
      <c r="AK31" s="1108">
        <v>0.2</v>
      </c>
      <c r="AL31" s="1108">
        <v>-0.2</v>
      </c>
      <c r="AM31" s="1108">
        <v>-0.3</v>
      </c>
      <c r="AN31" s="12">
        <f>-0.2-SUM(AK31:AM31)</f>
        <v>9.9999999999999978E-2</v>
      </c>
      <c r="AO31" s="533">
        <f t="shared" si="12"/>
        <v>-0.2</v>
      </c>
      <c r="AP31" s="13"/>
      <c r="AQ31" s="1108">
        <v>-0.1</v>
      </c>
      <c r="AR31" s="1108">
        <v>0.3</v>
      </c>
      <c r="AS31" s="1108">
        <v>0.5</v>
      </c>
      <c r="AT31" s="12">
        <f>1.4-SUM(AQ31:AS31)</f>
        <v>0.7</v>
      </c>
      <c r="AU31" s="533">
        <f t="shared" si="13"/>
        <v>1.4</v>
      </c>
      <c r="AV31" s="13"/>
      <c r="AW31" s="1108">
        <v>0.4</v>
      </c>
      <c r="AX31" s="1108">
        <v>0.5</v>
      </c>
      <c r="AY31" s="1108">
        <v>0.3</v>
      </c>
      <c r="AZ31" s="12">
        <f>1.7-SUM(AW31:AY31)</f>
        <v>0.5</v>
      </c>
      <c r="BA31" s="533">
        <f t="shared" si="14"/>
        <v>1.7</v>
      </c>
      <c r="BB31" s="13"/>
      <c r="BC31" s="1108">
        <v>0</v>
      </c>
      <c r="BD31" s="1108">
        <v>0</v>
      </c>
      <c r="BE31" s="1108">
        <v>0.2</v>
      </c>
      <c r="BF31" s="12">
        <f>0.7-SUM(BC31:BE31)</f>
        <v>0.49999999999999994</v>
      </c>
      <c r="BG31" s="533">
        <f t="shared" si="15"/>
        <v>0.7</v>
      </c>
      <c r="BH31" s="13"/>
      <c r="BI31" s="1108">
        <v>0.3</v>
      </c>
      <c r="BJ31" s="1108">
        <v>0.4</v>
      </c>
      <c r="BK31" s="1108">
        <v>0.3</v>
      </c>
      <c r="BL31" s="1109">
        <f>1.7-SUM(BI31:BK31)</f>
        <v>0.7</v>
      </c>
      <c r="BM31" s="533">
        <f t="shared" si="16"/>
        <v>1.7</v>
      </c>
      <c r="BN31" s="13"/>
      <c r="BO31" s="1108">
        <v>1.3</v>
      </c>
      <c r="BP31" s="1108">
        <v>0.4</v>
      </c>
      <c r="BQ31" s="1108">
        <v>0.8</v>
      </c>
      <c r="BR31" s="1109">
        <f>2.9-SUM(BO31:BQ31)</f>
        <v>0.39999999999999991</v>
      </c>
      <c r="BS31" s="533">
        <f>SUM(BO31:BR31)</f>
        <v>2.9</v>
      </c>
      <c r="BT31" s="13"/>
      <c r="BU31" s="1832">
        <v>0.4</v>
      </c>
      <c r="BV31" s="1823">
        <v>1.2</v>
      </c>
      <c r="BW31" s="1823">
        <v>1.1000000000000001</v>
      </c>
      <c r="BX31" s="1109">
        <v>0.6</v>
      </c>
      <c r="BY31" s="533">
        <f>SUM(BU31:BX31)</f>
        <v>3.3000000000000003</v>
      </c>
      <c r="BZ31" s="13"/>
      <c r="CA31" s="1832">
        <v>0</v>
      </c>
      <c r="CB31" s="1108">
        <v>0.3</v>
      </c>
      <c r="CC31" s="1108">
        <v>0.5</v>
      </c>
      <c r="CD31" s="1109">
        <v>0.1</v>
      </c>
      <c r="CE31" s="533">
        <f>SUM(CA31:CD31)</f>
        <v>0.9</v>
      </c>
      <c r="CF31" s="13"/>
      <c r="CG31" s="1110">
        <v>0.1</v>
      </c>
      <c r="CH31" s="1823">
        <v>0.6</v>
      </c>
      <c r="CI31" s="1823">
        <v>0.6</v>
      </c>
      <c r="CJ31" s="1109">
        <v>0.4</v>
      </c>
      <c r="CK31" s="533">
        <f>SUM(CG31:CJ31)</f>
        <v>1.6999999999999997</v>
      </c>
      <c r="CL31" s="13"/>
      <c r="CM31" s="1110">
        <v>0.4</v>
      </c>
      <c r="CN31" s="1108">
        <v>0.4</v>
      </c>
      <c r="CO31" s="1108">
        <v>0.4</v>
      </c>
      <c r="CP31" s="1109">
        <v>0.4</v>
      </c>
      <c r="CQ31" s="533">
        <f>SUM(CM31:CP31)</f>
        <v>1.6</v>
      </c>
      <c r="CR31" s="13"/>
      <c r="CS31" s="1110">
        <v>0.4</v>
      </c>
      <c r="CT31" s="1108">
        <v>0.4</v>
      </c>
      <c r="CU31" s="1108">
        <v>0.4</v>
      </c>
      <c r="CV31" s="1109">
        <v>0.4</v>
      </c>
      <c r="CW31" s="533">
        <f>SUM(CS31:CV31)</f>
        <v>1.6</v>
      </c>
      <c r="CX31" s="477"/>
      <c r="CY31" s="1110">
        <v>0.4</v>
      </c>
      <c r="CZ31" s="1108">
        <v>0.4</v>
      </c>
      <c r="DA31" s="1108">
        <v>0.4</v>
      </c>
      <c r="DB31" s="1109">
        <v>0.4</v>
      </c>
      <c r="DC31" s="533">
        <f>SUM(CY31:DB31)</f>
        <v>1.6</v>
      </c>
      <c r="DD31" s="477"/>
      <c r="DE31" s="1110">
        <v>0.4</v>
      </c>
      <c r="DF31" s="1108">
        <v>0.4</v>
      </c>
      <c r="DG31" s="1108">
        <v>0.4</v>
      </c>
      <c r="DH31" s="1109">
        <v>0.4</v>
      </c>
      <c r="DI31" s="533">
        <f>SUM(DE31:DH31)</f>
        <v>1.6</v>
      </c>
      <c r="DJ31"/>
      <c r="DK31"/>
      <c r="DL31"/>
      <c r="DM31"/>
      <c r="DN31"/>
      <c r="DO31"/>
      <c r="DU31" s="478"/>
      <c r="DV31" s="478"/>
      <c r="DW31" s="478"/>
    </row>
    <row r="32" spans="1:127" s="1741" customFormat="1" ht="11.25" customHeight="1">
      <c r="A32" s="1694" t="s">
        <v>35</v>
      </c>
      <c r="B32" s="1731"/>
      <c r="C32" s="286">
        <f>+C30-C31</f>
        <v>-0.88800000000000501</v>
      </c>
      <c r="D32" s="287"/>
      <c r="E32" s="286">
        <f>+E30-E31</f>
        <v>1.2257000000000042</v>
      </c>
      <c r="F32" s="287"/>
      <c r="G32" s="286">
        <f>+G30-G31</f>
        <v>2.9662499999999996</v>
      </c>
      <c r="H32" s="287"/>
      <c r="I32" s="286">
        <f>+I30-I31</f>
        <v>3.4056000000000082</v>
      </c>
      <c r="J32" s="287"/>
      <c r="K32" s="286">
        <f>+K30-K31</f>
        <v>5.3949999999999854</v>
      </c>
      <c r="L32" s="287"/>
      <c r="M32" s="286">
        <f>+M30-M31</f>
        <v>2.2300000000000249</v>
      </c>
      <c r="N32" s="287"/>
      <c r="O32" s="286">
        <f>+O30-O31</f>
        <v>-7.8309999999999951</v>
      </c>
      <c r="P32" s="287"/>
      <c r="Q32" s="286">
        <f>+Q30-Q31</f>
        <v>9.7469999999999963</v>
      </c>
      <c r="R32" s="287"/>
      <c r="S32" s="1444">
        <f>+S30-S31</f>
        <v>4.2862536687630985</v>
      </c>
      <c r="T32" s="1444">
        <f>+T30-T31</f>
        <v>5.7630174703004782</v>
      </c>
      <c r="U32" s="1444">
        <f>+U30-U31</f>
        <v>3.8154479385045499</v>
      </c>
      <c r="V32" s="1444">
        <f>+V30-V31</f>
        <v>9.6162809224318835</v>
      </c>
      <c r="W32" s="286">
        <f>+W30-W31</f>
        <v>23.48099999999997</v>
      </c>
      <c r="X32" s="287"/>
      <c r="Y32" s="1444">
        <f>+Y30-Y31</f>
        <v>14.634000000000006</v>
      </c>
      <c r="Z32" s="1444">
        <f>+Z30-Z31</f>
        <v>17.946999999999985</v>
      </c>
      <c r="AA32" s="1444">
        <f>+AA30-AA31</f>
        <v>27.718999999999966</v>
      </c>
      <c r="AB32" s="1444">
        <f>+AB30-AB31</f>
        <v>47.600000000000072</v>
      </c>
      <c r="AC32" s="286">
        <f>+AC30-AC31</f>
        <v>107.90000000000005</v>
      </c>
      <c r="AD32" s="287"/>
      <c r="AE32" s="1444">
        <f>+AE30-AE31</f>
        <v>5.4999999999999973</v>
      </c>
      <c r="AF32" s="1444">
        <f>+AF30-AF31</f>
        <v>23</v>
      </c>
      <c r="AG32" s="1444">
        <f>+AG30-AG31</f>
        <v>18.900000000000002</v>
      </c>
      <c r="AH32" s="1444">
        <f>+AH30-AH31</f>
        <v>30.499999999999904</v>
      </c>
      <c r="AI32" s="286">
        <f>+AI30-AI31</f>
        <v>77.899999999999878</v>
      </c>
      <c r="AJ32" s="287"/>
      <c r="AK32" s="1444">
        <f>+AK30-AK31</f>
        <v>9.1999999999999815</v>
      </c>
      <c r="AL32" s="1444">
        <f>+AL30-AL31</f>
        <v>12.299999999999986</v>
      </c>
      <c r="AM32" s="1444">
        <f>+AM30-AM31</f>
        <v>16.799999999999951</v>
      </c>
      <c r="AN32" s="1444">
        <f>+AN30-AN31</f>
        <v>40.199999999999967</v>
      </c>
      <c r="AO32" s="286">
        <f>+AO30-AO31</f>
        <v>78.499999999999815</v>
      </c>
      <c r="AP32" s="287"/>
      <c r="AQ32" s="1444">
        <f>+AQ30-AQ31</f>
        <v>18.300000000000018</v>
      </c>
      <c r="AR32" s="1444">
        <f>+AR30-AR31</f>
        <v>26.499999999999968</v>
      </c>
      <c r="AS32" s="1444">
        <f>+AS30-AS31</f>
        <v>35.200000000000003</v>
      </c>
      <c r="AT32" s="1444">
        <f>+AT30-AT31</f>
        <v>46.999999999999943</v>
      </c>
      <c r="AU32" s="286">
        <f>+AU30-AU31</f>
        <v>127.00000000000009</v>
      </c>
      <c r="AV32" s="287"/>
      <c r="AW32" s="1444">
        <f>+AW30-AW31</f>
        <v>22.799999999999997</v>
      </c>
      <c r="AX32" s="1444">
        <f>+AX30-AX31</f>
        <v>33.900000000000105</v>
      </c>
      <c r="AY32" s="1444">
        <f>+AY30-AY31</f>
        <v>36.199999999999989</v>
      </c>
      <c r="AZ32" s="1444">
        <f>+AZ30-AZ31</f>
        <v>50.799999999999812</v>
      </c>
      <c r="BA32" s="286">
        <f>+BA30-BA31</f>
        <v>143.69999999999982</v>
      </c>
      <c r="BB32" s="287"/>
      <c r="BC32" s="1444">
        <f>+BC30-BC31</f>
        <v>23.799999999999965</v>
      </c>
      <c r="BD32" s="1444">
        <f>+BD30-BD31</f>
        <v>20.500000000000028</v>
      </c>
      <c r="BE32" s="1444">
        <f>+BE30-BE31</f>
        <v>47.100000000000016</v>
      </c>
      <c r="BF32" s="1444">
        <f>+BF30-BF31</f>
        <v>46.900000000000112</v>
      </c>
      <c r="BG32" s="286">
        <f>+BG30-BG31</f>
        <v>138.30000000000013</v>
      </c>
      <c r="BH32" s="287"/>
      <c r="BI32" s="1444">
        <f>+BI30-BI31</f>
        <v>13.40000000000005</v>
      </c>
      <c r="BJ32" s="1444">
        <f>+BJ30-BJ31</f>
        <v>29.899999999999981</v>
      </c>
      <c r="BK32" s="1444">
        <f>+BK30-BK31</f>
        <v>33.799999999999955</v>
      </c>
      <c r="BL32" s="1732">
        <f>+BL30-BL31</f>
        <v>52.200000000000088</v>
      </c>
      <c r="BM32" s="286">
        <f>+BM30-BM31</f>
        <v>129.30000000000001</v>
      </c>
      <c r="BN32" s="287"/>
      <c r="BO32" s="1444">
        <f>+BO30-BO31</f>
        <v>18.700000000000049</v>
      </c>
      <c r="BP32" s="1444">
        <f>+BP30-BP31</f>
        <v>34.899999999999956</v>
      </c>
      <c r="BQ32" s="1444">
        <f>+BQ30-BQ31</f>
        <v>23.799999999999972</v>
      </c>
      <c r="BR32" s="1732">
        <f>+BR30-BR31</f>
        <v>50.300000000000104</v>
      </c>
      <c r="BS32" s="286">
        <f>+BS30-BS31</f>
        <v>127.70000000000007</v>
      </c>
      <c r="BT32" s="287"/>
      <c r="BU32" s="1444">
        <f>+BU30-BU31</f>
        <v>23.100000000000012</v>
      </c>
      <c r="BV32" s="1444">
        <f>+BV30-BV31</f>
        <v>31.899999999999981</v>
      </c>
      <c r="BW32" s="1444">
        <f>+BW30-BW31</f>
        <v>31.600000000000009</v>
      </c>
      <c r="BX32" s="1732">
        <f>+BX30-BX31</f>
        <v>64.39999999999992</v>
      </c>
      <c r="BY32" s="286">
        <f>+BY30-BY31</f>
        <v>151.00000000000003</v>
      </c>
      <c r="BZ32" s="287"/>
      <c r="CA32" s="1444">
        <f>+CA30-CA31</f>
        <v>34.30000000000004</v>
      </c>
      <c r="CB32" s="1444">
        <f>+CB30-CB31</f>
        <v>32.600000000000058</v>
      </c>
      <c r="CC32" s="1444">
        <f>+CC30-CC31</f>
        <v>51.699999999999967</v>
      </c>
      <c r="CD32" s="1732">
        <f>+CD30-CD31</f>
        <v>73.699999999999946</v>
      </c>
      <c r="CE32" s="286">
        <f>+CE30-CE31</f>
        <v>192.30000000000007</v>
      </c>
      <c r="CF32" s="287"/>
      <c r="CG32" s="1733">
        <f>+CG30-CG31</f>
        <v>29.899999999999988</v>
      </c>
      <c r="CH32" s="1444">
        <f>+CH30-CH31</f>
        <v>36.099999999999987</v>
      </c>
      <c r="CI32" s="1444">
        <f>+CI30-CI31</f>
        <v>46.399999999999942</v>
      </c>
      <c r="CJ32" s="1732">
        <f>+CJ30-CJ31</f>
        <v>79.80000000000021</v>
      </c>
      <c r="CK32" s="286">
        <f>+CK30-CK31</f>
        <v>192.20000000000005</v>
      </c>
      <c r="CL32" s="287"/>
      <c r="CM32" s="1733">
        <f>+CM30-CM31</f>
        <v>38.171035372468715</v>
      </c>
      <c r="CN32" s="1444">
        <f>+CN30-CN31</f>
        <v>39.574398418900657</v>
      </c>
      <c r="CO32" s="1444">
        <f>+CO30-CO31</f>
        <v>55.63579832668038</v>
      </c>
      <c r="CP32" s="1732">
        <f>+CP30-CP31</f>
        <v>86.881600320252147</v>
      </c>
      <c r="CQ32" s="286">
        <f>+CQ30-CQ31</f>
        <v>220.26283243830196</v>
      </c>
      <c r="CR32" s="287"/>
      <c r="CS32" s="1733">
        <f>+CS30-CS31</f>
        <v>53.707997695629821</v>
      </c>
      <c r="CT32" s="1444">
        <f>+CT30-CT31</f>
        <v>56.388498578707043</v>
      </c>
      <c r="CU32" s="1444">
        <f>+CU30-CU31</f>
        <v>57.427418535902319</v>
      </c>
      <c r="CV32" s="1732">
        <f>+CV30-CV31</f>
        <v>74.78141711651871</v>
      </c>
      <c r="CW32" s="286">
        <f>+CW30-CW31</f>
        <v>242.30533192675767</v>
      </c>
      <c r="CX32" s="478"/>
      <c r="CY32" s="1733">
        <f>+CY30-CY31</f>
        <v>58.816190662377402</v>
      </c>
      <c r="CZ32" s="1444">
        <f>+CZ30-CZ31</f>
        <v>68.698634067847493</v>
      </c>
      <c r="DA32" s="1444">
        <f>+DA30-DA31</f>
        <v>70.330037229501542</v>
      </c>
      <c r="DB32" s="1732">
        <f>+DB30-DB31</f>
        <v>87.509925419343929</v>
      </c>
      <c r="DC32" s="286">
        <f>+DC30-DC31</f>
        <v>285.35478737907033</v>
      </c>
      <c r="DD32" s="478"/>
      <c r="DE32" s="1733">
        <f>+DE30-DE31</f>
        <v>69.238758634370782</v>
      </c>
      <c r="DF32" s="1444">
        <f>+DF30-DF31</f>
        <v>67.219012482739458</v>
      </c>
      <c r="DG32" s="1444">
        <f>+DG30-DG31</f>
        <v>68.934654772254106</v>
      </c>
      <c r="DH32" s="1732">
        <f>+DH30-DH31</f>
        <v>89.25939284800188</v>
      </c>
      <c r="DI32" s="286">
        <f>+DI30-DI31</f>
        <v>294.65181873736606</v>
      </c>
      <c r="DJ32"/>
      <c r="DK32"/>
      <c r="DL32"/>
      <c r="DM32"/>
      <c r="DN32"/>
      <c r="DO32"/>
      <c r="DU32" s="477"/>
      <c r="DV32" s="477"/>
      <c r="DW32" s="477"/>
    </row>
    <row r="33" spans="1:127" s="1737" customFormat="1" ht="11.25" customHeight="1">
      <c r="A33" s="13" t="s">
        <v>22</v>
      </c>
      <c r="B33" s="1692"/>
      <c r="C33" s="533">
        <f>-SUM(C104:C106)+C107</f>
        <v>0.38300000000000001</v>
      </c>
      <c r="D33" s="13"/>
      <c r="E33" s="533">
        <f>-SUM(E104:E106)+E107</f>
        <v>2.3299999999999987E-2</v>
      </c>
      <c r="F33" s="13"/>
      <c r="G33" s="533">
        <f>-SUM(G104:G106)+G107</f>
        <v>-0.71625000000000005</v>
      </c>
      <c r="H33" s="13"/>
      <c r="I33" s="533">
        <f>-SUM(I104:I106)+I107</f>
        <v>0.23139999999999994</v>
      </c>
      <c r="J33" s="13"/>
      <c r="K33" s="533">
        <f>-SUM(K104:K106)+K107</f>
        <v>-12.197000000000001</v>
      </c>
      <c r="L33" s="13"/>
      <c r="M33" s="533">
        <f>-SUM(M104:M106)+M107</f>
        <v>-19.783999999999999</v>
      </c>
      <c r="N33" s="13"/>
      <c r="O33" s="533">
        <f>-SUM(O104:O106)+O107</f>
        <v>0</v>
      </c>
      <c r="P33" s="13"/>
      <c r="Q33" s="533">
        <f>-SUM(Q104:Q106)+Q107</f>
        <v>0</v>
      </c>
      <c r="R33" s="13"/>
      <c r="S33" s="15">
        <f t="shared" ref="S33:CD33" si="17">-SUM(S104:S106)+S107</f>
        <v>-1.0272536687631029</v>
      </c>
      <c r="T33" s="477">
        <f t="shared" si="17"/>
        <v>-3.2250174703004895</v>
      </c>
      <c r="U33" s="477">
        <f t="shared" si="17"/>
        <v>-0.83944793850454247</v>
      </c>
      <c r="V33" s="14">
        <f t="shared" si="17"/>
        <v>9.1719077568139462E-2</v>
      </c>
      <c r="W33" s="533">
        <f t="shared" si="17"/>
        <v>-4.9999999999999956</v>
      </c>
      <c r="X33" s="13"/>
      <c r="Y33" s="15">
        <f t="shared" si="17"/>
        <v>-0.2839999999999997</v>
      </c>
      <c r="Z33" s="477">
        <f t="shared" si="17"/>
        <v>-0.28999999999999959</v>
      </c>
      <c r="AA33" s="477">
        <f t="shared" si="17"/>
        <v>-1.0480000000000003</v>
      </c>
      <c r="AB33" s="14">
        <f t="shared" si="17"/>
        <v>-7.3780000000000037</v>
      </c>
      <c r="AC33" s="533">
        <f t="shared" si="17"/>
        <v>-9.0000000000000036</v>
      </c>
      <c r="AD33" s="13"/>
      <c r="AE33" s="15">
        <f t="shared" si="17"/>
        <v>-6.3</v>
      </c>
      <c r="AF33" s="477">
        <f t="shared" si="17"/>
        <v>-1.3000000000000007</v>
      </c>
      <c r="AG33" s="477">
        <f t="shared" si="17"/>
        <v>-1.1000000000000001</v>
      </c>
      <c r="AH33" s="14">
        <f t="shared" si="17"/>
        <v>-4.299999999999998</v>
      </c>
      <c r="AI33" s="533">
        <f t="shared" si="17"/>
        <v>-12.999999999999998</v>
      </c>
      <c r="AJ33" s="13"/>
      <c r="AK33" s="15">
        <f t="shared" si="17"/>
        <v>-0.8</v>
      </c>
      <c r="AL33" s="477">
        <f t="shared" si="17"/>
        <v>0.59999999999999964</v>
      </c>
      <c r="AM33" s="477">
        <f t="shared" si="17"/>
        <v>-0.4</v>
      </c>
      <c r="AN33" s="14">
        <f t="shared" si="17"/>
        <v>3.3000000000000016</v>
      </c>
      <c r="AO33" s="533">
        <f t="shared" si="17"/>
        <v>2.7000000000000011</v>
      </c>
      <c r="AP33" s="13"/>
      <c r="AQ33" s="15">
        <f t="shared" si="17"/>
        <v>-2.1999999999999997</v>
      </c>
      <c r="AR33" s="477">
        <f t="shared" si="17"/>
        <v>-3.9000000000000004</v>
      </c>
      <c r="AS33" s="477">
        <f t="shared" si="17"/>
        <v>-7.8000000000000007</v>
      </c>
      <c r="AT33" s="14">
        <f t="shared" si="17"/>
        <v>-17.700000000000003</v>
      </c>
      <c r="AU33" s="533">
        <f t="shared" si="17"/>
        <v>-31.6</v>
      </c>
      <c r="AV33" s="13"/>
      <c r="AW33" s="15">
        <f t="shared" si="17"/>
        <v>-11.5</v>
      </c>
      <c r="AX33" s="477">
        <f t="shared" si="17"/>
        <v>-11.799999999999999</v>
      </c>
      <c r="AY33" s="477">
        <f t="shared" si="17"/>
        <v>-16.399999999999999</v>
      </c>
      <c r="AZ33" s="14">
        <f t="shared" si="17"/>
        <v>-11.699999999999998</v>
      </c>
      <c r="BA33" s="533">
        <f t="shared" si="17"/>
        <v>-51.400000000000006</v>
      </c>
      <c r="BB33" s="13"/>
      <c r="BC33" s="15">
        <f t="shared" si="17"/>
        <v>-8.6999999999999993</v>
      </c>
      <c r="BD33" s="477">
        <f t="shared" si="17"/>
        <v>-10.600000000000001</v>
      </c>
      <c r="BE33" s="477">
        <f t="shared" si="17"/>
        <v>-7.4</v>
      </c>
      <c r="BF33" s="14">
        <f t="shared" si="17"/>
        <v>-34.1</v>
      </c>
      <c r="BG33" s="533">
        <f t="shared" si="17"/>
        <v>-60.8</v>
      </c>
      <c r="BH33" s="13"/>
      <c r="BI33" s="15">
        <f t="shared" si="17"/>
        <v>-8</v>
      </c>
      <c r="BJ33" s="477">
        <f t="shared" si="17"/>
        <v>-7.0000000000000018</v>
      </c>
      <c r="BK33" s="477">
        <f t="shared" si="17"/>
        <v>-17.200000000000003</v>
      </c>
      <c r="BL33" s="14">
        <f t="shared" si="17"/>
        <v>-16.999999999999996</v>
      </c>
      <c r="BM33" s="533">
        <f t="shared" si="17"/>
        <v>-49.2</v>
      </c>
      <c r="BN33" s="13"/>
      <c r="BO33" s="15">
        <f t="shared" si="17"/>
        <v>-10</v>
      </c>
      <c r="BP33" s="477">
        <f t="shared" si="17"/>
        <v>-18.5</v>
      </c>
      <c r="BQ33" s="477">
        <f t="shared" si="17"/>
        <v>-18.299999999999997</v>
      </c>
      <c r="BR33" s="14">
        <f t="shared" si="17"/>
        <v>-24.200000000000003</v>
      </c>
      <c r="BS33" s="533">
        <f t="shared" si="17"/>
        <v>-71</v>
      </c>
      <c r="BT33" s="13"/>
      <c r="BU33" s="15">
        <f>-SUM(BU104:BU106)+BU107</f>
        <v>-16.600000000000001</v>
      </c>
      <c r="BV33" s="477">
        <f>-SUM(BV104:BV106)+BV107</f>
        <v>-10</v>
      </c>
      <c r="BW33" s="477">
        <f>-SUM(BW104:BW106)+BW107</f>
        <v>-19.8</v>
      </c>
      <c r="BX33" s="14">
        <f t="shared" si="17"/>
        <v>-3</v>
      </c>
      <c r="BY33" s="533">
        <f t="shared" si="17"/>
        <v>-49.400000000000006</v>
      </c>
      <c r="BZ33" s="13"/>
      <c r="CA33" s="15">
        <f t="shared" si="17"/>
        <v>-10.7</v>
      </c>
      <c r="CB33" s="477">
        <f>-SUM(CB104:CB106)+CB107</f>
        <v>-18.100000000000001</v>
      </c>
      <c r="CC33" s="477">
        <f t="shared" si="17"/>
        <v>-5.2000000000000011</v>
      </c>
      <c r="CD33" s="14">
        <f t="shared" si="17"/>
        <v>-4.7000000000000011</v>
      </c>
      <c r="CE33" s="533">
        <f>-SUM(CE104:CE106)+CE107</f>
        <v>-38.700000000000003</v>
      </c>
      <c r="CF33" s="13"/>
      <c r="CG33" s="15">
        <f>-SUM(CG104:CG106)+CG107</f>
        <v>-8.3000000000000025</v>
      </c>
      <c r="CH33" s="477">
        <f>-SUM(CH104:CH106)+CH107</f>
        <v>-12.7</v>
      </c>
      <c r="CI33" s="477">
        <f>-SUM(CI104:CI106)+CI107</f>
        <v>-9.3999999999999932</v>
      </c>
      <c r="CJ33" s="14">
        <f>-SUM(CJ104:CJ106)+CJ107</f>
        <v>-83.199999999999989</v>
      </c>
      <c r="CK33" s="533">
        <f>-SUM(CK104:CK106)+CK107</f>
        <v>-113.59999999999998</v>
      </c>
      <c r="CL33" s="13"/>
      <c r="CM33" s="15">
        <f>-SUM(CM104:CM106)+CM107</f>
        <v>-11.25</v>
      </c>
      <c r="CN33" s="477">
        <f>-SUM(CN104:CN106)+CN107</f>
        <v>-11.25</v>
      </c>
      <c r="CO33" s="477">
        <f>-SUM(CO104:CO106)+CO107</f>
        <v>-11.25</v>
      </c>
      <c r="CP33" s="14">
        <f>-SUM(CP104:CP106)+CP107</f>
        <v>-11.25</v>
      </c>
      <c r="CQ33" s="533">
        <f>-SUM(CQ104:CQ106)+CQ107</f>
        <v>-45</v>
      </c>
      <c r="CR33" s="13"/>
      <c r="CS33" s="15">
        <f>-SUM(CS104:CS106)+CS107</f>
        <v>-11.25</v>
      </c>
      <c r="CT33" s="477">
        <f>-SUM(CT104:CT106)+CT107</f>
        <v>-11.25</v>
      </c>
      <c r="CU33" s="477">
        <f>-SUM(CU104:CU106)+CU107</f>
        <v>-11.25</v>
      </c>
      <c r="CV33" s="14">
        <f>-SUM(CV104:CV106)+CV107</f>
        <v>-11.25</v>
      </c>
      <c r="CW33" s="533">
        <f>-SUM(CW104:CW106)+CW107</f>
        <v>-45</v>
      </c>
      <c r="CX33" s="477"/>
      <c r="CY33" s="15">
        <f>-SUM(CY104:CY106)+CY107</f>
        <v>-11.25</v>
      </c>
      <c r="CZ33" s="477">
        <f>-SUM(CZ104:CZ106)+CZ107</f>
        <v>-11.25</v>
      </c>
      <c r="DA33" s="477">
        <f>-SUM(DA104:DA106)+DA107</f>
        <v>-11.25</v>
      </c>
      <c r="DB33" s="14">
        <f>-SUM(DB104:DB106)+DB107</f>
        <v>-11.25</v>
      </c>
      <c r="DC33" s="533">
        <f>-SUM(DC104:DC106)+DC107</f>
        <v>-45</v>
      </c>
      <c r="DD33" s="477"/>
      <c r="DE33" s="15">
        <f>-SUM(DE104:DE106)+DE107</f>
        <v>-11.25</v>
      </c>
      <c r="DF33" s="477">
        <f>-SUM(DF104:DF106)+DF107</f>
        <v>-11.25</v>
      </c>
      <c r="DG33" s="477">
        <f>-SUM(DG104:DG106)+DG107</f>
        <v>-11.25</v>
      </c>
      <c r="DH33" s="14">
        <f>-SUM(DH104:DH106)+DH107</f>
        <v>-11.25</v>
      </c>
      <c r="DI33" s="533">
        <f>-SUM(DI104:DI106)+DI107</f>
        <v>-45</v>
      </c>
      <c r="DJ33"/>
      <c r="DK33"/>
      <c r="DL33"/>
      <c r="DM33"/>
      <c r="DN33"/>
      <c r="DO33"/>
      <c r="DU33" s="478"/>
      <c r="DV33" s="478"/>
      <c r="DW33" s="478"/>
    </row>
    <row r="34" spans="1:127" s="1741" customFormat="1" ht="11.25" customHeight="1">
      <c r="A34" s="1708" t="s">
        <v>36</v>
      </c>
      <c r="B34" s="1742"/>
      <c r="C34" s="1743">
        <f>C32+C33</f>
        <v>-0.505000000000005</v>
      </c>
      <c r="D34" s="1744"/>
      <c r="E34" s="1743">
        <f>E32+E33</f>
        <v>1.2490000000000041</v>
      </c>
      <c r="F34" s="1744"/>
      <c r="G34" s="1743">
        <f>G32+G33</f>
        <v>2.2499999999999996</v>
      </c>
      <c r="H34" s="1744"/>
      <c r="I34" s="1743">
        <f>I32+I33</f>
        <v>3.637000000000008</v>
      </c>
      <c r="J34" s="1744"/>
      <c r="K34" s="1743">
        <f>K32+K33</f>
        <v>-6.8020000000000156</v>
      </c>
      <c r="L34" s="1744"/>
      <c r="M34" s="1743">
        <f>M32+M33</f>
        <v>-17.553999999999974</v>
      </c>
      <c r="N34" s="1744"/>
      <c r="O34" s="1743">
        <f>O32+O33</f>
        <v>-7.8309999999999951</v>
      </c>
      <c r="P34" s="1744"/>
      <c r="Q34" s="1743">
        <f>Q32+Q33</f>
        <v>9.7469999999999963</v>
      </c>
      <c r="R34" s="1744"/>
      <c r="S34" s="1745">
        <f>S32+S33</f>
        <v>3.2589999999999959</v>
      </c>
      <c r="T34" s="1745">
        <f>T32+T33</f>
        <v>2.5379999999999887</v>
      </c>
      <c r="U34" s="1745">
        <f>U32+U33</f>
        <v>2.9760000000000075</v>
      </c>
      <c r="V34" s="1745">
        <f>V32+V33</f>
        <v>9.7080000000000233</v>
      </c>
      <c r="W34" s="1743">
        <f>W32+W33</f>
        <v>18.480999999999973</v>
      </c>
      <c r="X34" s="1744"/>
      <c r="Y34" s="1745">
        <f>Y32+Y33</f>
        <v>14.350000000000007</v>
      </c>
      <c r="Z34" s="1745">
        <f>Z32+Z33</f>
        <v>17.656999999999986</v>
      </c>
      <c r="AA34" s="1745">
        <f>AA32+AA33</f>
        <v>26.670999999999964</v>
      </c>
      <c r="AB34" s="1745">
        <f>AB32+AB33</f>
        <v>40.222000000000065</v>
      </c>
      <c r="AC34" s="1743">
        <f>AC32+AC33</f>
        <v>98.900000000000048</v>
      </c>
      <c r="AD34" s="1744"/>
      <c r="AE34" s="1745">
        <f>AE32+AE33</f>
        <v>-0.80000000000000249</v>
      </c>
      <c r="AF34" s="1745">
        <f>AF32+AF33</f>
        <v>21.7</v>
      </c>
      <c r="AG34" s="1745">
        <f>AG32+AG33</f>
        <v>17.8</v>
      </c>
      <c r="AH34" s="1745">
        <f>AH32+AH33</f>
        <v>26.199999999999907</v>
      </c>
      <c r="AI34" s="1743">
        <f>AI32+AI33</f>
        <v>64.899999999999878</v>
      </c>
      <c r="AJ34" s="1744"/>
      <c r="AK34" s="1745">
        <f>AK32+AK33</f>
        <v>8.3999999999999808</v>
      </c>
      <c r="AL34" s="1745">
        <f>AL32+AL33</f>
        <v>12.899999999999986</v>
      </c>
      <c r="AM34" s="1745">
        <f>AM32+AM33</f>
        <v>16.399999999999952</v>
      </c>
      <c r="AN34" s="1745">
        <f>AN32+AN33</f>
        <v>43.499999999999972</v>
      </c>
      <c r="AO34" s="1743">
        <f>AO32+AO33</f>
        <v>81.199999999999818</v>
      </c>
      <c r="AP34" s="1744"/>
      <c r="AQ34" s="1745">
        <f>AQ32+AQ33</f>
        <v>16.100000000000019</v>
      </c>
      <c r="AR34" s="1745">
        <f>AR32+AR33</f>
        <v>22.599999999999966</v>
      </c>
      <c r="AS34" s="1745">
        <f>AS32+AS33</f>
        <v>27.400000000000002</v>
      </c>
      <c r="AT34" s="1745">
        <f>AT32+AT33</f>
        <v>29.29999999999994</v>
      </c>
      <c r="AU34" s="1743">
        <f>AU32+AU33</f>
        <v>95.400000000000091</v>
      </c>
      <c r="AV34" s="1744"/>
      <c r="AW34" s="1745">
        <f>AW32+AW33</f>
        <v>11.299999999999997</v>
      </c>
      <c r="AX34" s="1745">
        <f>AX32+AX33</f>
        <v>22.100000000000108</v>
      </c>
      <c r="AY34" s="1745">
        <f>AY32+AY33</f>
        <v>19.79999999999999</v>
      </c>
      <c r="AZ34" s="1745">
        <f>AZ32+AZ33</f>
        <v>39.099999999999817</v>
      </c>
      <c r="BA34" s="1743">
        <f>BA32+BA33</f>
        <v>92.299999999999812</v>
      </c>
      <c r="BB34" s="1744"/>
      <c r="BC34" s="1745">
        <f>BC32+BC33</f>
        <v>15.099999999999966</v>
      </c>
      <c r="BD34" s="1745">
        <f>BD32+BD33</f>
        <v>9.900000000000027</v>
      </c>
      <c r="BE34" s="1745">
        <f>BE32+BE33</f>
        <v>39.700000000000017</v>
      </c>
      <c r="BF34" s="1745">
        <f>BF32+BF33</f>
        <v>12.800000000000111</v>
      </c>
      <c r="BG34" s="1743">
        <f>BG32+BG33</f>
        <v>77.500000000000128</v>
      </c>
      <c r="BH34" s="1744"/>
      <c r="BI34" s="1745">
        <f>BI32+BI33</f>
        <v>5.4000000000000501</v>
      </c>
      <c r="BJ34" s="1745">
        <f>BJ32+BJ33</f>
        <v>22.899999999999977</v>
      </c>
      <c r="BK34" s="1745">
        <f>BK32+BK33</f>
        <v>16.599999999999952</v>
      </c>
      <c r="BL34" s="1746">
        <f>BL32+BL33</f>
        <v>35.200000000000088</v>
      </c>
      <c r="BM34" s="1743">
        <f>BM32+BM33</f>
        <v>80.100000000000009</v>
      </c>
      <c r="BN34" s="1744"/>
      <c r="BO34" s="1745">
        <f>BO32+BO33</f>
        <v>8.700000000000049</v>
      </c>
      <c r="BP34" s="1745">
        <f>BP32+BP33</f>
        <v>16.399999999999956</v>
      </c>
      <c r="BQ34" s="1745">
        <f>BQ32+BQ33</f>
        <v>5.4999999999999751</v>
      </c>
      <c r="BR34" s="1746">
        <f>BR32+BR33</f>
        <v>26.100000000000101</v>
      </c>
      <c r="BS34" s="1743">
        <f>BS32+BS33</f>
        <v>56.700000000000074</v>
      </c>
      <c r="BT34" s="1744"/>
      <c r="BU34" s="1745">
        <f>BU32+BU33</f>
        <v>6.5000000000000107</v>
      </c>
      <c r="BV34" s="1745">
        <f>BV32+BV33</f>
        <v>21.899999999999981</v>
      </c>
      <c r="BW34" s="1745">
        <f>BW32+BW33</f>
        <v>11.800000000000008</v>
      </c>
      <c r="BX34" s="1746">
        <f>BX32+BX33</f>
        <v>61.39999999999992</v>
      </c>
      <c r="BY34" s="1743">
        <f>BY32+BY33</f>
        <v>101.60000000000002</v>
      </c>
      <c r="BZ34" s="1744"/>
      <c r="CA34" s="1745">
        <f>CA32+CA33</f>
        <v>23.600000000000041</v>
      </c>
      <c r="CB34" s="1745">
        <f>CB32+CB33</f>
        <v>14.500000000000057</v>
      </c>
      <c r="CC34" s="1745">
        <f>CC32+CC33</f>
        <v>46.499999999999964</v>
      </c>
      <c r="CD34" s="1746">
        <f>CD32+CD33</f>
        <v>68.999999999999943</v>
      </c>
      <c r="CE34" s="1743">
        <f>CE32+CE33</f>
        <v>153.60000000000008</v>
      </c>
      <c r="CF34" s="1744"/>
      <c r="CG34" s="1747">
        <f>CG32+CG33</f>
        <v>21.599999999999987</v>
      </c>
      <c r="CH34" s="1745">
        <f>CH32+CH33</f>
        <v>23.399999999999988</v>
      </c>
      <c r="CI34" s="1745">
        <f>CI32+CI33</f>
        <v>36.99999999999995</v>
      </c>
      <c r="CJ34" s="1746">
        <f>CJ32+CJ33</f>
        <v>-3.3999999999997783</v>
      </c>
      <c r="CK34" s="1743">
        <f>CK32+CK33</f>
        <v>78.600000000000065</v>
      </c>
      <c r="CL34" s="1744"/>
      <c r="CM34" s="1747">
        <f>CM32+CM33</f>
        <v>26.921035372468715</v>
      </c>
      <c r="CN34" s="1745">
        <f>CN32+CN33</f>
        <v>28.324398418900657</v>
      </c>
      <c r="CO34" s="1745">
        <f>CO32+CO33</f>
        <v>44.38579832668038</v>
      </c>
      <c r="CP34" s="1746">
        <f>CP32+CP33</f>
        <v>75.631600320252147</v>
      </c>
      <c r="CQ34" s="1743">
        <f>CQ32+CQ33</f>
        <v>175.26283243830196</v>
      </c>
      <c r="CR34" s="1744"/>
      <c r="CS34" s="1747">
        <f>CS32+CS33</f>
        <v>42.457997695629821</v>
      </c>
      <c r="CT34" s="1745">
        <f>CT32+CT33</f>
        <v>45.138498578707043</v>
      </c>
      <c r="CU34" s="1745">
        <f>CU32+CU33</f>
        <v>46.177418535902319</v>
      </c>
      <c r="CV34" s="1746">
        <f>CV32+CV33</f>
        <v>63.53141711651871</v>
      </c>
      <c r="CW34" s="1743">
        <f>CW32+CW33</f>
        <v>197.30533192675767</v>
      </c>
      <c r="CX34" s="478"/>
      <c r="CY34" s="1747">
        <f>CY32+CY33</f>
        <v>47.566190662377402</v>
      </c>
      <c r="CZ34" s="1745">
        <f>CZ32+CZ33</f>
        <v>57.448634067847493</v>
      </c>
      <c r="DA34" s="1745">
        <f>DA32+DA33</f>
        <v>59.080037229501542</v>
      </c>
      <c r="DB34" s="1746">
        <f>DB32+DB33</f>
        <v>76.259925419343929</v>
      </c>
      <c r="DC34" s="1743">
        <f>DC32+DC33</f>
        <v>240.35478737907033</v>
      </c>
      <c r="DD34" s="478"/>
      <c r="DE34" s="1747">
        <f>DE32+DE33</f>
        <v>57.988758634370782</v>
      </c>
      <c r="DF34" s="1745">
        <f>DF32+DF33</f>
        <v>55.969012482739458</v>
      </c>
      <c r="DG34" s="1745">
        <f>DG32+DG33</f>
        <v>57.684654772254106</v>
      </c>
      <c r="DH34" s="1746">
        <f>DH32+DH33</f>
        <v>78.00939284800188</v>
      </c>
      <c r="DI34" s="1743">
        <f>DI32+DI33</f>
        <v>249.65181873736606</v>
      </c>
      <c r="DJ34"/>
      <c r="DK34"/>
      <c r="DL34"/>
      <c r="DM34"/>
      <c r="DN34"/>
      <c r="DO34"/>
      <c r="DU34" s="477"/>
      <c r="DV34" s="477"/>
      <c r="DW34" s="477"/>
    </row>
    <row r="35" spans="1:127" s="1721" customFormat="1" ht="11.25" hidden="1" customHeight="1" outlineLevel="1">
      <c r="A35" s="1693"/>
      <c r="B35" s="1692"/>
      <c r="C35" s="533"/>
      <c r="D35" s="13"/>
      <c r="E35" s="533"/>
      <c r="F35" s="13"/>
      <c r="G35" s="533"/>
      <c r="H35" s="13"/>
      <c r="I35" s="533"/>
      <c r="J35" s="13"/>
      <c r="K35" s="533"/>
      <c r="L35" s="13"/>
      <c r="M35" s="533"/>
      <c r="N35" s="13"/>
      <c r="O35" s="533"/>
      <c r="P35" s="13"/>
      <c r="Q35" s="533"/>
      <c r="R35" s="13"/>
      <c r="S35" s="15"/>
      <c r="T35" s="1736"/>
      <c r="U35" s="1736"/>
      <c r="V35" s="15"/>
      <c r="W35" s="533"/>
      <c r="X35" s="13"/>
      <c r="Y35" s="15"/>
      <c r="Z35" s="1736"/>
      <c r="AA35" s="1736"/>
      <c r="AB35" s="15"/>
      <c r="AC35" s="533"/>
      <c r="AD35" s="13"/>
      <c r="AE35" s="15"/>
      <c r="AF35" s="1736"/>
      <c r="AG35" s="1736"/>
      <c r="AH35" s="15"/>
      <c r="AI35" s="533"/>
      <c r="AJ35" s="13"/>
      <c r="AK35" s="15"/>
      <c r="AL35" s="1736"/>
      <c r="AM35" s="1736"/>
      <c r="AN35" s="15"/>
      <c r="AO35" s="533"/>
      <c r="AP35" s="13"/>
      <c r="AQ35" s="15"/>
      <c r="AR35" s="1736"/>
      <c r="AS35" s="1736"/>
      <c r="AT35" s="15"/>
      <c r="AU35" s="533"/>
      <c r="AV35" s="13"/>
      <c r="AW35" s="15"/>
      <c r="AX35" s="1736"/>
      <c r="AY35" s="1736"/>
      <c r="AZ35" s="15"/>
      <c r="BA35" s="533"/>
      <c r="BB35" s="13"/>
      <c r="BC35" s="15"/>
      <c r="BD35" s="1736"/>
      <c r="BE35" s="1736"/>
      <c r="BF35" s="15"/>
      <c r="BG35" s="533"/>
      <c r="BH35" s="13"/>
      <c r="BI35" s="15"/>
      <c r="BJ35" s="1736"/>
      <c r="BK35" s="15"/>
      <c r="BL35" s="1692"/>
      <c r="BM35" s="533"/>
      <c r="BN35" s="13"/>
      <c r="BO35" s="15"/>
      <c r="BP35" s="15"/>
      <c r="BQ35" s="15"/>
      <c r="BR35" s="1692"/>
      <c r="BS35" s="533"/>
      <c r="BT35" s="13"/>
      <c r="BU35" s="822"/>
      <c r="BV35" s="15"/>
      <c r="BW35" s="15"/>
      <c r="BX35" s="1692"/>
      <c r="BY35" s="533"/>
      <c r="BZ35" s="13"/>
      <c r="CA35" s="822"/>
      <c r="CB35" s="15"/>
      <c r="CC35" s="15"/>
      <c r="CD35" s="1692"/>
      <c r="CE35" s="533"/>
      <c r="CF35" s="13"/>
      <c r="CG35" s="822"/>
      <c r="CH35" s="15"/>
      <c r="CI35" s="15"/>
      <c r="CJ35" s="1692"/>
      <c r="CK35" s="533"/>
      <c r="CL35" s="13"/>
      <c r="CM35" s="822"/>
      <c r="CN35" s="15"/>
      <c r="CO35" s="15"/>
      <c r="CP35" s="1692"/>
      <c r="CQ35" s="533"/>
      <c r="CR35" s="13"/>
      <c r="CS35" s="822"/>
      <c r="CT35" s="15"/>
      <c r="CU35" s="15"/>
      <c r="CV35" s="1692"/>
      <c r="CW35" s="533"/>
      <c r="CX35" s="477"/>
      <c r="CY35" s="822"/>
      <c r="CZ35" s="15"/>
      <c r="DA35" s="15"/>
      <c r="DB35" s="1692"/>
      <c r="DC35" s="533"/>
      <c r="DD35" s="477"/>
      <c r="DE35" s="822"/>
      <c r="DF35" s="15"/>
      <c r="DG35" s="15"/>
      <c r="DH35" s="1692"/>
      <c r="DI35" s="533"/>
      <c r="DJ35"/>
      <c r="DK35"/>
      <c r="DL35"/>
      <c r="DM35"/>
      <c r="DN35"/>
      <c r="DO35"/>
      <c r="DP35" s="1737"/>
      <c r="DU35" s="8"/>
      <c r="DV35" s="8"/>
      <c r="DW35" s="8"/>
    </row>
    <row r="36" spans="1:127" ht="11.25" hidden="1" customHeight="1" outlineLevel="1" collapsed="1">
      <c r="A36" s="1687" t="s">
        <v>33</v>
      </c>
      <c r="B36" s="1681"/>
      <c r="C36" s="1682">
        <f>C34/C42</f>
        <v>-1.1098901098901208E-2</v>
      </c>
      <c r="D36" s="1683"/>
      <c r="E36" s="1682">
        <f>E34/E42</f>
        <v>2.745054945054954E-2</v>
      </c>
      <c r="F36" s="1683"/>
      <c r="G36" s="1682">
        <f>G34/G42</f>
        <v>4.5070309683105637E-2</v>
      </c>
      <c r="H36" s="1683"/>
      <c r="I36" s="1682">
        <f>I34/I42</f>
        <v>6.5913951212439884E-2</v>
      </c>
      <c r="J36" s="1683"/>
      <c r="K36" s="1682">
        <f>K34/K42</f>
        <v>-8.778699843836732E-2</v>
      </c>
      <c r="L36" s="1683"/>
      <c r="M36" s="1682">
        <f>M34/M42</f>
        <v>-0.21596948818897604</v>
      </c>
      <c r="N36" s="1683"/>
      <c r="O36" s="1682">
        <f>O34/O42</f>
        <v>-8.8490875190688684E-2</v>
      </c>
      <c r="P36" s="1683"/>
      <c r="Q36" s="1682">
        <f>Q34/Q42</f>
        <v>9.6380895876594444E-2</v>
      </c>
      <c r="R36" s="1683"/>
      <c r="S36" s="1684">
        <f>S34/S42</f>
        <v>3.2114702404414622E-2</v>
      </c>
      <c r="T36" s="1685">
        <f>T34/T42</f>
        <v>2.4914350783849737E-2</v>
      </c>
      <c r="U36" s="1685">
        <f>U34/U42</f>
        <v>2.8976476086617929E-2</v>
      </c>
      <c r="V36" s="1685">
        <f>V34/V42</f>
        <v>9.3915062397214116E-2</v>
      </c>
      <c r="W36" s="1682">
        <f>W34/W42</f>
        <v>0.1801952009048271</v>
      </c>
      <c r="X36" s="1683"/>
      <c r="Y36" s="1684">
        <f>Y34/Y42</f>
        <v>8.8087608805077808E-2</v>
      </c>
      <c r="Z36" s="1685">
        <f>Z34/Z42</f>
        <v>0.1074399274687695</v>
      </c>
      <c r="AA36" s="1685">
        <f>AA34/AA42</f>
        <v>0.16240622564302395</v>
      </c>
      <c r="AB36" s="1685">
        <f>AB34/AB42</f>
        <v>0.24421372191864035</v>
      </c>
      <c r="AC36" s="1682">
        <f>AC34/AC42</f>
        <v>0.60194765672550243</v>
      </c>
      <c r="AD36" s="1683"/>
      <c r="AE36" s="1684">
        <f>AE34/AE42</f>
        <v>-4.929143561306238E-3</v>
      </c>
      <c r="AF36" s="1685">
        <f>AF34/AF42</f>
        <v>0.13111782477341388</v>
      </c>
      <c r="AG36" s="1685">
        <f>AG34/AG42</f>
        <v>0.10729355033152502</v>
      </c>
      <c r="AH36" s="1685">
        <f>AH34/AH42</f>
        <v>0.15917375455650004</v>
      </c>
      <c r="AI36" s="1682">
        <f>AI34/AI42</f>
        <v>0.39190821256038577</v>
      </c>
      <c r="AJ36" s="1683"/>
      <c r="AK36" s="1684">
        <f>AK34/AK42</f>
        <v>5.1125989044430796E-2</v>
      </c>
      <c r="AL36" s="1685">
        <f>AL34/AL42</f>
        <v>7.8324225865209388E-2</v>
      </c>
      <c r="AM36" s="1685">
        <f>AM34/AM42</f>
        <v>9.9393939393939104E-2</v>
      </c>
      <c r="AN36" s="1685">
        <f>AN34/AN42</f>
        <v>0.26331719128329284</v>
      </c>
      <c r="AO36" s="1682">
        <f>AO34/AO42</f>
        <v>0.49241964827167867</v>
      </c>
      <c r="AP36" s="1683"/>
      <c r="AQ36" s="1684">
        <f>AQ34/AQ42</f>
        <v>9.7222222222222335E-2</v>
      </c>
      <c r="AR36" s="1685">
        <f>AR34/AR42</f>
        <v>0.13630880579010834</v>
      </c>
      <c r="AS36" s="1685">
        <f>AS34/AS42</f>
        <v>0.16535908267954136</v>
      </c>
      <c r="AT36" s="1685">
        <f>AT34/AT42</f>
        <v>0.17639975918121578</v>
      </c>
      <c r="AU36" s="1682">
        <f>AU34/AU42</f>
        <v>0.57573928786964457</v>
      </c>
      <c r="AV36" s="1683"/>
      <c r="AW36" s="1684">
        <f>AW34/AW42</f>
        <v>6.7786442711457701E-2</v>
      </c>
      <c r="AX36" s="1685">
        <f>AX34/AX42</f>
        <v>0.13209802749551766</v>
      </c>
      <c r="AY36" s="1685">
        <f>AY34/AY42</f>
        <v>0.11863391252246848</v>
      </c>
      <c r="AZ36" s="1685">
        <f>AZ34/AZ42</f>
        <v>0.23455308938212249</v>
      </c>
      <c r="BA36" s="1682">
        <f>BA34/BA42</f>
        <v>0.55302576393049618</v>
      </c>
      <c r="BB36" s="1686"/>
      <c r="BC36" s="1684">
        <f>BC34/BC42</f>
        <v>9.047333732774096E-2</v>
      </c>
      <c r="BD36" s="1685">
        <f>BD34/BD42</f>
        <v>5.9245960502693165E-2</v>
      </c>
      <c r="BE36" s="1685">
        <f>BE34/BE42</f>
        <v>0.23729826658696959</v>
      </c>
      <c r="BF36" s="1685">
        <f>BF34/BF42</f>
        <v>7.6326774001193268E-2</v>
      </c>
      <c r="BG36" s="1682">
        <f>BG34/BG42</f>
        <v>0.46296296296296369</v>
      </c>
      <c r="BH36" s="1686"/>
      <c r="BI36" s="1684">
        <f>BI34/BI42</f>
        <v>3.2123735871505354E-2</v>
      </c>
      <c r="BJ36" s="1685">
        <f>BJ34/BJ42</f>
        <v>0.13598574821852719</v>
      </c>
      <c r="BK36" s="1685">
        <f>BK34/BK42</f>
        <v>9.8399525785417621E-2</v>
      </c>
      <c r="BL36" s="1685">
        <f>BL34/BL42</f>
        <v>0.20828402366863957</v>
      </c>
      <c r="BM36" s="1682">
        <f>BM34/BM42</f>
        <v>0.4753709198813057</v>
      </c>
      <c r="BN36" s="1686"/>
      <c r="BO36" s="1684">
        <f>BO34/BO42</f>
        <v>5.1357733175915285E-2</v>
      </c>
      <c r="BP36" s="1685">
        <f>BP34/BP42</f>
        <v>9.6755162241887641E-2</v>
      </c>
      <c r="BQ36" s="1685">
        <f>BQ34/BQ42</f>
        <v>3.2429245283018722E-2</v>
      </c>
      <c r="BR36" s="1685">
        <f>BR34/BR42</f>
        <v>0.15389150943396288</v>
      </c>
      <c r="BS36" s="1682">
        <f>BS34/BS42</f>
        <v>0.33451327433628364</v>
      </c>
      <c r="BT36" s="1686"/>
      <c r="BU36" s="1684">
        <f>BU34/BU42</f>
        <v>3.8302887448438488E-2</v>
      </c>
      <c r="BV36" s="1685">
        <f>BV34/BV42</f>
        <v>0.12905126694166166</v>
      </c>
      <c r="BW36" s="1685">
        <f>BW34/BW42</f>
        <v>6.9946650859513987E-2</v>
      </c>
      <c r="BX36" s="1685">
        <f>BX34/BX42</f>
        <v>0.36395969176052118</v>
      </c>
      <c r="BY36" s="1682">
        <f>BY34/BY42</f>
        <v>0.60082791247782397</v>
      </c>
      <c r="BZ36" s="1686"/>
      <c r="CA36" s="1684">
        <f>CA34/CA42</f>
        <v>0.14363968350578235</v>
      </c>
      <c r="CB36" s="1685">
        <f>CB34/CB42</f>
        <v>8.9285714285714635E-2</v>
      </c>
      <c r="CC36" s="1685">
        <f>CC34/CC42</f>
        <v>0.28792569659442702</v>
      </c>
      <c r="CD36" s="2014">
        <f>CD34/CD42</f>
        <v>0.4293714996888609</v>
      </c>
      <c r="CE36" s="1682">
        <f>CE34/CE42</f>
        <v>0.94697903822441487</v>
      </c>
      <c r="CF36" s="1687"/>
      <c r="CG36" s="1684">
        <f>CG34/CG42</f>
        <v>0.13457943925233637</v>
      </c>
      <c r="CH36" s="1685">
        <f>CH34/CH42</f>
        <v>0.1458852867830423</v>
      </c>
      <c r="CI36" s="1685">
        <f>CI34/CI42</f>
        <v>0.23314429741650883</v>
      </c>
      <c r="CJ36" s="1685">
        <f>CJ34/CJ42</f>
        <v>-2.1836865767500182E-2</v>
      </c>
      <c r="CK36" s="1682">
        <f>CK34/CK42</f>
        <v>0.49402891263356424</v>
      </c>
      <c r="CL36" s="1687"/>
      <c r="CM36" s="1684">
        <f>CM34/CM42</f>
        <v>0.17025613205635157</v>
      </c>
      <c r="CN36" s="1685">
        <f>CN34/CN42</f>
        <v>0.1804004580107394</v>
      </c>
      <c r="CO36" s="1685">
        <f>CO34/CO42</f>
        <v>0.28466933815360213</v>
      </c>
      <c r="CP36" s="1685">
        <f>CP34/CP42</f>
        <v>0.48839793651966606</v>
      </c>
      <c r="CQ36" s="1682">
        <f>CQ34/CQ42</f>
        <v>1.1200579272242317</v>
      </c>
      <c r="CR36" s="1687"/>
      <c r="CS36" s="1684">
        <f>CS34/CS42</f>
        <v>0.27340648450288108</v>
      </c>
      <c r="CT36" s="1685">
        <f>CT34/CT42</f>
        <v>0.29314017890965954</v>
      </c>
      <c r="CU36" s="1685">
        <f>CU34/CU42</f>
        <v>0.3024032574198886</v>
      </c>
      <c r="CV36" s="1685">
        <f>CV34/CV42</f>
        <v>0.41949215587660404</v>
      </c>
      <c r="CW36" s="1682">
        <f>CW34/CW42</f>
        <v>1.2865814498066621</v>
      </c>
      <c r="CX36" s="1898"/>
      <c r="CY36" s="1684">
        <f>CY34/CY42</f>
        <v>0.31235678942322503</v>
      </c>
      <c r="CZ36" s="1685">
        <f>CZ34/CZ42</f>
        <v>0.38024863072143017</v>
      </c>
      <c r="DA36" s="1685">
        <f>DA34/DA42</f>
        <v>0.39410792044055082</v>
      </c>
      <c r="DB36" s="1685">
        <f>DB34/DB42</f>
        <v>0.51263544244651749</v>
      </c>
      <c r="DC36" s="1682">
        <f>DC34/DC42</f>
        <v>1.5969564287131834</v>
      </c>
      <c r="DD36" s="1898"/>
      <c r="DE36" s="1684">
        <f>DE34/DE42</f>
        <v>0.38779774129970468</v>
      </c>
      <c r="DF36" s="1685">
        <f>DF34/DF42</f>
        <v>0.37706193792943898</v>
      </c>
      <c r="DG36" s="1685">
        <f>DG34/DG42</f>
        <v>0.39145481143139044</v>
      </c>
      <c r="DH36" s="1685">
        <f>DH34/DH42</f>
        <v>0.53318458122549095</v>
      </c>
      <c r="DI36" s="1682">
        <f>DI34/DI42</f>
        <v>1.6878740237115017</v>
      </c>
      <c r="DU36" s="1638"/>
      <c r="DV36" s="8"/>
      <c r="DW36" s="8"/>
    </row>
    <row r="37" spans="1:127" s="18" customFormat="1" ht="11.25" customHeight="1" collapsed="1">
      <c r="A37" s="1687" t="s">
        <v>34</v>
      </c>
      <c r="B37" s="1683"/>
      <c r="C37" s="1682">
        <f>C32/C42</f>
        <v>-1.9516483516483628E-2</v>
      </c>
      <c r="D37" s="1683"/>
      <c r="E37" s="1682">
        <f>E32/E42</f>
        <v>2.693846153846163E-2</v>
      </c>
      <c r="F37" s="1683"/>
      <c r="G37" s="1682">
        <f>G32/G42</f>
        <v>5.9417691598894269E-2</v>
      </c>
      <c r="H37" s="1683"/>
      <c r="I37" s="1682">
        <f>I32/I42</f>
        <v>6.172025082460416E-2</v>
      </c>
      <c r="J37" s="1683"/>
      <c r="K37" s="1682">
        <f>K32/K42</f>
        <v>6.9628176503232775E-2</v>
      </c>
      <c r="L37" s="1683"/>
      <c r="M37" s="1682">
        <f>M32/M42</f>
        <v>2.7436023622047549E-2</v>
      </c>
      <c r="N37" s="1683"/>
      <c r="O37" s="1682">
        <f>O32/O42</f>
        <v>-8.8490875190688684E-2</v>
      </c>
      <c r="P37" s="1683"/>
      <c r="Q37" s="1682">
        <f>Q32/Q42</f>
        <v>9.6380895876594444E-2</v>
      </c>
      <c r="R37" s="1683"/>
      <c r="S37" s="1684">
        <f>S32/S42</f>
        <v>4.2237422829750675E-2</v>
      </c>
      <c r="T37" s="1685">
        <f>T32/T42</f>
        <v>5.6572828537636358E-2</v>
      </c>
      <c r="U37" s="1685">
        <f>U32/U42</f>
        <v>3.7149944875609034E-2</v>
      </c>
      <c r="V37" s="1685">
        <f>V32/V42</f>
        <v>9.3027773265278932E-2</v>
      </c>
      <c r="W37" s="1682">
        <f>W32/W42</f>
        <v>0.22894667563693771</v>
      </c>
      <c r="X37" s="1683"/>
      <c r="Y37" s="1684">
        <f>Y32/Y42</f>
        <v>8.9830945453206176E-2</v>
      </c>
      <c r="Z37" s="1685">
        <f>Z32/Z42</f>
        <v>0.10920452955099996</v>
      </c>
      <c r="AA37" s="1685">
        <f>AA32/AA42</f>
        <v>0.16878775331254853</v>
      </c>
      <c r="AB37" s="1685">
        <f>AB32/AB42</f>
        <v>0.28901032179720748</v>
      </c>
      <c r="AC37" s="1682">
        <f>AC32/AC42</f>
        <v>0.65672550213024983</v>
      </c>
      <c r="AD37" s="1683"/>
      <c r="AE37" s="1684">
        <f>AE32/AE42</f>
        <v>3.3887861983980264E-2</v>
      </c>
      <c r="AF37" s="1685">
        <f>AF32/AF42</f>
        <v>0.13897280966767372</v>
      </c>
      <c r="AG37" s="1685">
        <f>AG32/AG42</f>
        <v>0.1139240506329114</v>
      </c>
      <c r="AH37" s="1685">
        <f>AH32/AH42</f>
        <v>0.18529769137302493</v>
      </c>
      <c r="AI37" s="1682">
        <f>AI32/AI42</f>
        <v>0.47041062801932293</v>
      </c>
      <c r="AJ37" s="1683"/>
      <c r="AK37" s="1684">
        <f>AK32/AK42</f>
        <v>5.599513085818613E-2</v>
      </c>
      <c r="AL37" s="1685">
        <f>AL32/AL42</f>
        <v>7.4681238615664766E-2</v>
      </c>
      <c r="AM37" s="1685">
        <f>AM32/AM42</f>
        <v>0.10181818181818152</v>
      </c>
      <c r="AN37" s="1685">
        <f>AN32/AN42</f>
        <v>0.24334140435835333</v>
      </c>
      <c r="AO37" s="1682">
        <f>AO32/AO42</f>
        <v>0.47604608853850705</v>
      </c>
      <c r="AP37" s="1683"/>
      <c r="AQ37" s="1684">
        <f>AQ32/AQ42</f>
        <v>0.11050724637681171</v>
      </c>
      <c r="AR37" s="1685">
        <f>AR32/AR42</f>
        <v>0.15983112183353418</v>
      </c>
      <c r="AS37" s="1685">
        <f>AS32/AS42</f>
        <v>0.21243210621605313</v>
      </c>
      <c r="AT37" s="1685">
        <f>AT32/AT42</f>
        <v>0.28296207104154092</v>
      </c>
      <c r="AU37" s="1682">
        <f>AU32/AU42</f>
        <v>0.76644538322269218</v>
      </c>
      <c r="AV37" s="1683"/>
      <c r="AW37" s="1684">
        <f>AW32/AW42</f>
        <v>0.13677264547090581</v>
      </c>
      <c r="AX37" s="1685">
        <f>AX32/AX42</f>
        <v>0.20263000597728692</v>
      </c>
      <c r="AY37" s="1685">
        <f>AY32/AY42</f>
        <v>0.21689634511683636</v>
      </c>
      <c r="AZ37" s="1685">
        <f>AZ32/AZ42</f>
        <v>0.30473905218956099</v>
      </c>
      <c r="BA37" s="1682">
        <f>BA32/BA42</f>
        <v>0.86099460754942969</v>
      </c>
      <c r="BB37" s="1686"/>
      <c r="BC37" s="1684">
        <f>BC32/BC42</f>
        <v>0.14260035949670441</v>
      </c>
      <c r="BD37" s="1685">
        <f>BD32/BD42</f>
        <v>0.12268102932375841</v>
      </c>
      <c r="BE37" s="1685">
        <f>BE32/BE42</f>
        <v>0.28153018529587576</v>
      </c>
      <c r="BF37" s="1685">
        <f>BF32/BF42</f>
        <v>0.27966607036374547</v>
      </c>
      <c r="BG37" s="1682">
        <f>BG32/BG42</f>
        <v>0.82616487455197207</v>
      </c>
      <c r="BH37" s="1686"/>
      <c r="BI37" s="1684">
        <f>BI32/BI42</f>
        <v>7.9714455681142479E-2</v>
      </c>
      <c r="BJ37" s="1685">
        <f>BJ32/BJ42</f>
        <v>0.17755344418052244</v>
      </c>
      <c r="BK37" s="1688">
        <f>BK32/BK42</f>
        <v>0.20035566093657353</v>
      </c>
      <c r="BL37" s="1688">
        <f>BL32/BL42</f>
        <v>0.30887573964497095</v>
      </c>
      <c r="BM37" s="1689">
        <f>BM32/BM42</f>
        <v>0.76735905044510389</v>
      </c>
      <c r="BN37" s="1686"/>
      <c r="BO37" s="1684">
        <f>BO32/BO42</f>
        <v>0.11038961038961068</v>
      </c>
      <c r="BP37" s="1685">
        <f>BP32/BP42</f>
        <v>0.205899705014749</v>
      </c>
      <c r="BQ37" s="1685">
        <f>BQ32/BQ42</f>
        <v>0.14033018867924513</v>
      </c>
      <c r="BR37" s="1688">
        <f>BR32/BR42</f>
        <v>0.2965801886792459</v>
      </c>
      <c r="BS37" s="1689">
        <f>BS32/BS42</f>
        <v>0.7533923303834813</v>
      </c>
      <c r="BT37" s="1686"/>
      <c r="BU37" s="1684">
        <f>BU32/BU42</f>
        <v>0.1361225692398351</v>
      </c>
      <c r="BV37" s="1685">
        <f>BV32/BV42</f>
        <v>0.18797878609310539</v>
      </c>
      <c r="BW37" s="1685">
        <f>BW32/BW42</f>
        <v>0.18731475992886787</v>
      </c>
      <c r="BX37" s="1685">
        <f>BX32/BX42</f>
        <v>0.38174273858921115</v>
      </c>
      <c r="BY37" s="1682">
        <f>BY32/BY42</f>
        <v>0.89296274393849817</v>
      </c>
      <c r="BZ37" s="1686"/>
      <c r="CA37" s="1684">
        <f>CA32/CA42</f>
        <v>0.20876445526475981</v>
      </c>
      <c r="CB37" s="1685">
        <f>CB32/CB42</f>
        <v>0.200738916256158</v>
      </c>
      <c r="CC37" s="1685">
        <f>CC32/CC42</f>
        <v>0.3201238390092877</v>
      </c>
      <c r="CD37" s="1685">
        <f>CD32/CD42</f>
        <v>0.45861854387056594</v>
      </c>
      <c r="CE37" s="1682">
        <f>CE32/CE42</f>
        <v>1.1855733662145505</v>
      </c>
      <c r="CF37" s="1687"/>
      <c r="CG37" s="1684">
        <f>CG32/CG42</f>
        <v>0.18629283489096565</v>
      </c>
      <c r="CH37" s="1685">
        <f>CH32/CH42</f>
        <v>0.22506234413965079</v>
      </c>
      <c r="CI37" s="1685">
        <f>CI32/CI42</f>
        <v>0.29237555135475707</v>
      </c>
      <c r="CJ37" s="1685">
        <f>CJ32/CJ42</f>
        <v>0.51252408477842137</v>
      </c>
      <c r="CK37" s="1682">
        <f>CK32/CK42</f>
        <v>1.2080452545568827</v>
      </c>
      <c r="CL37" s="1687"/>
      <c r="CM37" s="1684">
        <f>CM32/CM42</f>
        <v>0.2414042680449382</v>
      </c>
      <c r="CN37" s="1685">
        <f>CN32/CN42</f>
        <v>0.25205264714484449</v>
      </c>
      <c r="CO37" s="1685">
        <f>CO32/CO42</f>
        <v>0.35682147183062501</v>
      </c>
      <c r="CP37" s="1685">
        <f>CP32/CP42</f>
        <v>0.56104583452236068</v>
      </c>
      <c r="CQ37" s="1682">
        <f>CQ32/CQ42</f>
        <v>1.4076409020277099</v>
      </c>
      <c r="CR37" s="1687"/>
      <c r="CS37" s="1684">
        <f>CS32/CS42</f>
        <v>0.3458503847712634</v>
      </c>
      <c r="CT37" s="1685">
        <f>CT32/CT42</f>
        <v>0.36620036293379848</v>
      </c>
      <c r="CU37" s="1685">
        <f>CU32/CU42</f>
        <v>0.37607642395536112</v>
      </c>
      <c r="CV37" s="1685">
        <f>CV32/CV42</f>
        <v>0.49377488035851613</v>
      </c>
      <c r="CW37" s="1682">
        <f>CW32/CW42</f>
        <v>1.5800158171191054</v>
      </c>
      <c r="CX37" s="482"/>
      <c r="CY37" s="1684">
        <f>CY32/CY42</f>
        <v>0.38623308332183859</v>
      </c>
      <c r="CZ37" s="1685">
        <f>CZ32/CZ42</f>
        <v>0.45471162126989062</v>
      </c>
      <c r="DA37" s="1685">
        <f>DA32/DA42</f>
        <v>0.46915381263816486</v>
      </c>
      <c r="DB37" s="1685">
        <f>DB32/DB42</f>
        <v>0.58826033580709292</v>
      </c>
      <c r="DC37" s="1682">
        <f>DC32/DC42</f>
        <v>1.8959437718641896</v>
      </c>
      <c r="DD37" s="482"/>
      <c r="DE37" s="1684">
        <f>DE32/DE42</f>
        <v>0.46303171237208818</v>
      </c>
      <c r="DF37" s="1685">
        <f>DF32/DF42</f>
        <v>0.45285292679161304</v>
      </c>
      <c r="DG37" s="1685">
        <f>DG32/DG42</f>
        <v>0.46779862671450395</v>
      </c>
      <c r="DH37" s="1685">
        <f>DH32/DH42</f>
        <v>0.6100769440525452</v>
      </c>
      <c r="DI37" s="1682">
        <f>DI32/DI42</f>
        <v>1.9921150721090766</v>
      </c>
      <c r="DJ37"/>
      <c r="DK37"/>
      <c r="DL37"/>
      <c r="DM37"/>
      <c r="DN37"/>
      <c r="DO37"/>
      <c r="DP37" s="1737"/>
      <c r="DQ37" s="2381"/>
      <c r="DR37" s="2282"/>
      <c r="DU37" s="1720"/>
      <c r="DV37" s="1720"/>
      <c r="DW37" s="1720"/>
    </row>
    <row r="38" spans="1:127" s="16" customFormat="1" ht="11.25" hidden="1" customHeight="1" outlineLevel="1">
      <c r="A38" s="1748" t="s">
        <v>37</v>
      </c>
      <c r="B38" s="23"/>
      <c r="C38" s="1101">
        <v>45.5</v>
      </c>
      <c r="D38" s="23"/>
      <c r="E38" s="1101">
        <v>45.5</v>
      </c>
      <c r="F38" s="23"/>
      <c r="G38" s="1101">
        <v>49.268999999999998</v>
      </c>
      <c r="H38" s="23"/>
      <c r="I38" s="1101">
        <v>54.825000000000003</v>
      </c>
      <c r="J38" s="23"/>
      <c r="K38" s="1101">
        <v>77.483000000000004</v>
      </c>
      <c r="L38" s="23"/>
      <c r="M38" s="1101">
        <v>81.28</v>
      </c>
      <c r="N38" s="23"/>
      <c r="O38" s="1101">
        <v>88.495000000000005</v>
      </c>
      <c r="P38" s="23"/>
      <c r="Q38" s="1101">
        <v>100.82299999999999</v>
      </c>
      <c r="R38" s="23"/>
      <c r="S38" s="1107">
        <v>101.18600000000001</v>
      </c>
      <c r="T38" s="1104">
        <v>101.456</v>
      </c>
      <c r="U38" s="1104">
        <v>102.038</v>
      </c>
      <c r="V38" s="1105">
        <v>101.501</v>
      </c>
      <c r="W38" s="1101">
        <v>101.512</v>
      </c>
      <c r="X38" s="23"/>
      <c r="Y38" s="1107">
        <v>160.36500000000001</v>
      </c>
      <c r="Z38" s="1104">
        <v>161.72800000000001</v>
      </c>
      <c r="AA38" s="1104">
        <v>161.922</v>
      </c>
      <c r="AB38" s="1105">
        <v>162</v>
      </c>
      <c r="AC38" s="1101">
        <v>161.19999999999999</v>
      </c>
      <c r="AD38" s="23"/>
      <c r="AE38" s="1107">
        <v>162.30000000000001</v>
      </c>
      <c r="AF38" s="1104">
        <v>162.4</v>
      </c>
      <c r="AG38" s="1104">
        <v>162.80000000000001</v>
      </c>
      <c r="AH38" s="1105">
        <v>163.1</v>
      </c>
      <c r="AI38" s="1101">
        <v>162.69999999999999</v>
      </c>
      <c r="AJ38" s="23"/>
      <c r="AK38" s="1107">
        <v>163.30000000000001</v>
      </c>
      <c r="AL38" s="1104">
        <v>163.30000000000001</v>
      </c>
      <c r="AM38" s="1104">
        <v>163.5</v>
      </c>
      <c r="AN38" s="1105">
        <v>163.80000000000001</v>
      </c>
      <c r="AO38" s="1101">
        <v>163.5</v>
      </c>
      <c r="AP38" s="23"/>
      <c r="AQ38" s="1107">
        <v>164.1</v>
      </c>
      <c r="AR38" s="1104">
        <v>164.3</v>
      </c>
      <c r="AS38" s="1104">
        <v>164.5</v>
      </c>
      <c r="AT38" s="1105">
        <v>164.7</v>
      </c>
      <c r="AU38" s="1101">
        <v>164.4</v>
      </c>
      <c r="AV38" s="23"/>
      <c r="AW38" s="1107">
        <v>165.1</v>
      </c>
      <c r="AX38" s="1104">
        <v>165.4</v>
      </c>
      <c r="AY38" s="1104">
        <v>165.6</v>
      </c>
      <c r="AZ38" s="1105">
        <v>165.6</v>
      </c>
      <c r="BA38" s="1101">
        <v>165.4</v>
      </c>
      <c r="BB38" s="23"/>
      <c r="BC38" s="1107">
        <v>165.7</v>
      </c>
      <c r="BD38" s="1104">
        <v>166</v>
      </c>
      <c r="BE38" s="1104">
        <v>166</v>
      </c>
      <c r="BF38" s="1104">
        <v>166.2</v>
      </c>
      <c r="BG38" s="1101">
        <v>166</v>
      </c>
      <c r="BH38" s="23"/>
      <c r="BI38" s="1107">
        <v>166.4</v>
      </c>
      <c r="BJ38" s="1104">
        <v>166.8</v>
      </c>
      <c r="BK38" s="1104">
        <v>167</v>
      </c>
      <c r="BL38" s="23">
        <v>167.2</v>
      </c>
      <c r="BM38" s="24">
        <v>166.5</v>
      </c>
      <c r="BN38" s="15"/>
      <c r="BO38" s="1107">
        <v>167.3</v>
      </c>
      <c r="BP38" s="1104">
        <v>167.6</v>
      </c>
      <c r="BQ38" s="1104">
        <v>168</v>
      </c>
      <c r="BR38" s="23">
        <v>168.2</v>
      </c>
      <c r="BS38" s="24">
        <v>167.8</v>
      </c>
      <c r="BT38" s="15"/>
      <c r="BU38" s="1457">
        <v>168.3</v>
      </c>
      <c r="BV38" s="1824">
        <v>168.3</v>
      </c>
      <c r="BW38" s="1824">
        <v>167.8</v>
      </c>
      <c r="BX38" s="23">
        <v>167.8</v>
      </c>
      <c r="BY38" s="24">
        <v>168.2</v>
      </c>
      <c r="BZ38" s="15"/>
      <c r="CA38" s="1457">
        <v>163.30000000000001</v>
      </c>
      <c r="CB38" s="1824">
        <v>161.4</v>
      </c>
      <c r="CC38" s="1824">
        <v>160.80000000000001</v>
      </c>
      <c r="CD38" s="1824">
        <v>160.1</v>
      </c>
      <c r="CE38" s="24">
        <v>161.4</v>
      </c>
      <c r="CF38" s="13"/>
      <c r="CG38" s="1457">
        <v>159.69999999999999</v>
      </c>
      <c r="CH38" s="1824">
        <v>159.5</v>
      </c>
      <c r="CI38" s="1824">
        <v>157.5</v>
      </c>
      <c r="CJ38" s="1824">
        <v>155.69999999999999</v>
      </c>
      <c r="CK38" s="24">
        <v>158.1</v>
      </c>
      <c r="CL38" s="13"/>
      <c r="CM38" s="822">
        <f>CK38-CF!CM83</f>
        <v>156.97096774193548</v>
      </c>
      <c r="CN38" s="15">
        <f>CM38-CF!CN83</f>
        <v>155.86672080961469</v>
      </c>
      <c r="CO38" s="15">
        <f>CN38-CF!CO83</f>
        <v>154.78671509779366</v>
      </c>
      <c r="CP38" s="15">
        <f>CO38-CF!CP83</f>
        <v>153.73041844581692</v>
      </c>
      <c r="CQ38" s="13">
        <f>AVERAGE(CM38:CP38)</f>
        <v>155.3387055237902</v>
      </c>
      <c r="CR38" s="13"/>
      <c r="CS38" s="822">
        <f>CQ38-CF!CS83</f>
        <v>154.01042371897012</v>
      </c>
      <c r="CT38" s="15">
        <f>CS38-CF!CT83</f>
        <v>152.71130130882347</v>
      </c>
      <c r="CU38" s="15">
        <f>CT38-CF!CU83</f>
        <v>151.44069816540855</v>
      </c>
      <c r="CV38" s="15">
        <f>CU38-CF!CV83</f>
        <v>150.19798821333126</v>
      </c>
      <c r="CW38" s="13">
        <f>AVERAGE(CS38:CV38)</f>
        <v>152.09010285163333</v>
      </c>
      <c r="CX38" s="1876"/>
      <c r="CY38" s="822">
        <f>CW38-CF!CY83</f>
        <v>150.87467375955558</v>
      </c>
      <c r="CZ38" s="15">
        <f>CY38-CF!CZ83</f>
        <v>149.68592663847588</v>
      </c>
      <c r="DA38" s="15">
        <f>CZ38-CF!DA83</f>
        <v>148.5232757466336</v>
      </c>
      <c r="DB38" s="15">
        <f>DA38-CF!DB83</f>
        <v>147.38614820089126</v>
      </c>
      <c r="DC38" s="13">
        <f>AVERAGE(CY38:DB38)</f>
        <v>149.11750608638908</v>
      </c>
      <c r="DD38" s="1876"/>
      <c r="DE38" s="822">
        <f>DC38-CF!DE83</f>
        <v>148.0053415799506</v>
      </c>
      <c r="DF38" s="15">
        <f>DE38-CF!DF83</f>
        <v>146.91759210627649</v>
      </c>
      <c r="DG38" s="15">
        <f>DF38-CF!DG83</f>
        <v>145.85372168905982</v>
      </c>
      <c r="DH38" s="15">
        <f>DG38-CF!DH83</f>
        <v>144.81320611812987</v>
      </c>
      <c r="DI38" s="13">
        <f>AVERAGE(DE38:DH38)</f>
        <v>146.39746537335421</v>
      </c>
      <c r="DJ38"/>
      <c r="DK38"/>
      <c r="DL38"/>
      <c r="DM38"/>
      <c r="DN38"/>
      <c r="DO38"/>
      <c r="DQ38" s="2209"/>
      <c r="DU38" s="1720"/>
      <c r="DV38" s="1720"/>
      <c r="DW38" s="1720"/>
    </row>
    <row r="39" spans="1:127" s="16" customFormat="1" ht="11.25" hidden="1" customHeight="1" outlineLevel="1">
      <c r="A39" s="1749" t="s">
        <v>38</v>
      </c>
      <c r="B39" s="23"/>
      <c r="C39" s="1101">
        <v>0</v>
      </c>
      <c r="D39" s="23"/>
      <c r="E39" s="1101">
        <v>0</v>
      </c>
      <c r="F39" s="23"/>
      <c r="G39" s="1101">
        <v>0</v>
      </c>
      <c r="H39" s="23"/>
      <c r="I39" s="1101">
        <v>0</v>
      </c>
      <c r="J39" s="23"/>
      <c r="K39" s="1101">
        <v>0</v>
      </c>
      <c r="L39" s="23"/>
      <c r="M39" s="1101">
        <v>0</v>
      </c>
      <c r="N39" s="23"/>
      <c r="O39" s="1101">
        <v>0</v>
      </c>
      <c r="P39" s="23"/>
      <c r="Q39" s="1101">
        <v>0</v>
      </c>
      <c r="R39" s="23"/>
      <c r="S39" s="1107">
        <v>0</v>
      </c>
      <c r="T39" s="1104">
        <v>0</v>
      </c>
      <c r="U39" s="1104">
        <v>0</v>
      </c>
      <c r="V39" s="1105">
        <v>0</v>
      </c>
      <c r="W39" s="1101">
        <v>0</v>
      </c>
      <c r="X39" s="23"/>
      <c r="Y39" s="1107">
        <v>0</v>
      </c>
      <c r="Z39" s="1104">
        <v>0</v>
      </c>
      <c r="AA39" s="1104">
        <v>0</v>
      </c>
      <c r="AB39" s="1105">
        <v>0</v>
      </c>
      <c r="AC39" s="1101">
        <v>0</v>
      </c>
      <c r="AD39" s="23"/>
      <c r="AE39" s="1107">
        <v>0</v>
      </c>
      <c r="AF39" s="1104">
        <v>0</v>
      </c>
      <c r="AG39" s="1104">
        <v>0</v>
      </c>
      <c r="AH39" s="1105">
        <v>0</v>
      </c>
      <c r="AI39" s="1101">
        <v>0</v>
      </c>
      <c r="AJ39" s="23"/>
      <c r="AK39" s="1107">
        <v>0</v>
      </c>
      <c r="AL39" s="1104">
        <v>0</v>
      </c>
      <c r="AM39" s="1104">
        <v>0</v>
      </c>
      <c r="AN39" s="1105">
        <v>0</v>
      </c>
      <c r="AO39" s="1101">
        <v>0</v>
      </c>
      <c r="AP39" s="23"/>
      <c r="AQ39" s="1107">
        <v>0</v>
      </c>
      <c r="AR39" s="1104">
        <v>0</v>
      </c>
      <c r="AS39" s="1104">
        <v>0</v>
      </c>
      <c r="AT39" s="1105">
        <v>0</v>
      </c>
      <c r="AU39" s="1101">
        <v>0</v>
      </c>
      <c r="AV39" s="23"/>
      <c r="AW39" s="1107">
        <v>0</v>
      </c>
      <c r="AX39" s="1104">
        <v>0</v>
      </c>
      <c r="AY39" s="1104">
        <v>0</v>
      </c>
      <c r="AZ39" s="1105">
        <v>0</v>
      </c>
      <c r="BA39" s="1101">
        <v>0</v>
      </c>
      <c r="BB39" s="23"/>
      <c r="BC39" s="1107">
        <v>0</v>
      </c>
      <c r="BD39" s="1104">
        <v>0</v>
      </c>
      <c r="BE39" s="1104">
        <v>0</v>
      </c>
      <c r="BF39" s="1105">
        <v>0</v>
      </c>
      <c r="BG39" s="1101">
        <v>0</v>
      </c>
      <c r="BH39" s="23"/>
      <c r="BI39" s="1107">
        <v>0</v>
      </c>
      <c r="BJ39" s="1104">
        <v>0</v>
      </c>
      <c r="BK39" s="1104">
        <v>0</v>
      </c>
      <c r="BL39" s="1105">
        <v>0</v>
      </c>
      <c r="BM39" s="1101">
        <v>0</v>
      </c>
      <c r="BN39" s="15"/>
      <c r="BO39" s="1107">
        <v>0</v>
      </c>
      <c r="BP39" s="1104">
        <v>0</v>
      </c>
      <c r="BQ39" s="1104">
        <v>0</v>
      </c>
      <c r="BR39" s="1105">
        <v>0</v>
      </c>
      <c r="BS39" s="1101">
        <v>0</v>
      </c>
      <c r="BT39" s="15"/>
      <c r="BU39" s="1457">
        <v>0</v>
      </c>
      <c r="BV39" s="1824">
        <v>0</v>
      </c>
      <c r="BW39" s="1824">
        <v>0</v>
      </c>
      <c r="BX39" s="1105">
        <v>0</v>
      </c>
      <c r="BY39" s="1101">
        <v>0</v>
      </c>
      <c r="BZ39" s="15"/>
      <c r="CA39" s="1457">
        <v>0</v>
      </c>
      <c r="CB39" s="1824">
        <v>0</v>
      </c>
      <c r="CC39" s="1824">
        <v>0</v>
      </c>
      <c r="CD39" s="1105">
        <v>0</v>
      </c>
      <c r="CE39" s="1101">
        <v>0</v>
      </c>
      <c r="CF39" s="13"/>
      <c r="CG39" s="1457">
        <v>0</v>
      </c>
      <c r="CH39" s="1824">
        <v>0</v>
      </c>
      <c r="CI39" s="1824">
        <v>0</v>
      </c>
      <c r="CJ39" s="1105">
        <v>0</v>
      </c>
      <c r="CK39" s="1101">
        <v>0</v>
      </c>
      <c r="CL39" s="13"/>
      <c r="CM39" s="822"/>
      <c r="CN39" s="15"/>
      <c r="CO39" s="734"/>
      <c r="CP39" s="815"/>
      <c r="CQ39" s="816"/>
      <c r="CR39" s="13"/>
      <c r="CS39" s="822"/>
      <c r="CT39" s="15"/>
      <c r="CU39" s="734"/>
      <c r="CV39" s="815"/>
      <c r="CW39" s="816"/>
      <c r="CX39" s="1720"/>
      <c r="CY39" s="822"/>
      <c r="CZ39" s="15"/>
      <c r="DA39" s="734"/>
      <c r="DB39" s="815"/>
      <c r="DC39" s="816"/>
      <c r="DD39" s="1720"/>
      <c r="DE39" s="822"/>
      <c r="DF39" s="15"/>
      <c r="DG39" s="734"/>
      <c r="DH39" s="815"/>
      <c r="DI39" s="816"/>
      <c r="DJ39"/>
      <c r="DK39"/>
      <c r="DL39"/>
      <c r="DM39"/>
      <c r="DN39"/>
      <c r="DO39"/>
      <c r="DU39" s="1750"/>
      <c r="DV39" s="1720"/>
      <c r="DW39" s="1720"/>
    </row>
    <row r="40" spans="1:127" s="16" customFormat="1" ht="11.25" hidden="1" customHeight="1" outlineLevel="1">
      <c r="A40" s="1749" t="s">
        <v>39</v>
      </c>
      <c r="B40" s="23"/>
      <c r="C40" s="1101">
        <v>0</v>
      </c>
      <c r="D40" s="23"/>
      <c r="E40" s="1101">
        <v>0</v>
      </c>
      <c r="F40" s="23"/>
      <c r="G40" s="1101">
        <v>0.65300000000000002</v>
      </c>
      <c r="H40" s="23"/>
      <c r="I40" s="1101">
        <v>0.35299999999999998</v>
      </c>
      <c r="J40" s="23"/>
      <c r="K40" s="1101">
        <v>0</v>
      </c>
      <c r="L40" s="23"/>
      <c r="M40" s="1101">
        <v>0</v>
      </c>
      <c r="N40" s="23"/>
      <c r="O40" s="1101">
        <v>0</v>
      </c>
      <c r="P40" s="23"/>
      <c r="Q40" s="1101">
        <v>0.307</v>
      </c>
      <c r="R40" s="23"/>
      <c r="S40" s="1107">
        <v>0.29399999999999998</v>
      </c>
      <c r="T40" s="1104">
        <v>0.41299999999999998</v>
      </c>
      <c r="U40" s="1104">
        <v>0.66600000000000004</v>
      </c>
      <c r="V40" s="1692">
        <f>V42-V38-V39</f>
        <v>1.8689999999999998</v>
      </c>
      <c r="W40" s="1101">
        <v>1.0489999999999999</v>
      </c>
      <c r="X40" s="23"/>
      <c r="Y40" s="1107">
        <v>2.5409999999999999</v>
      </c>
      <c r="Z40" s="1104">
        <v>2.6150000000000002</v>
      </c>
      <c r="AA40" s="1104">
        <v>2.302</v>
      </c>
      <c r="AB40" s="1692">
        <f>AB42-AB38-AB39</f>
        <v>2.6999999999999886</v>
      </c>
      <c r="AC40" s="1101">
        <v>3.1</v>
      </c>
      <c r="AD40" s="23"/>
      <c r="AE40" s="1107">
        <v>0</v>
      </c>
      <c r="AF40" s="1104">
        <v>3.1</v>
      </c>
      <c r="AG40" s="1104">
        <v>3.1</v>
      </c>
      <c r="AH40" s="1692">
        <f>AH42-AH38-AH39</f>
        <v>1.5</v>
      </c>
      <c r="AI40" s="1101">
        <v>2.9</v>
      </c>
      <c r="AJ40" s="23"/>
      <c r="AK40" s="1107">
        <v>1</v>
      </c>
      <c r="AL40" s="1104">
        <v>1.4</v>
      </c>
      <c r="AM40" s="1104">
        <v>1.5</v>
      </c>
      <c r="AN40" s="1692">
        <f>AN42-AN38-AN39</f>
        <v>1.3999999999999773</v>
      </c>
      <c r="AO40" s="1101">
        <v>1.4</v>
      </c>
      <c r="AP40" s="23"/>
      <c r="AQ40" s="1107">
        <v>1.5</v>
      </c>
      <c r="AR40" s="1104">
        <v>1.5</v>
      </c>
      <c r="AS40" s="1104">
        <v>1.2</v>
      </c>
      <c r="AT40" s="1692">
        <f>AT42-AT38-AT39</f>
        <v>1.4000000000000057</v>
      </c>
      <c r="AU40" s="1101">
        <v>1.3</v>
      </c>
      <c r="AV40" s="23"/>
      <c r="AW40" s="1107">
        <v>1.6</v>
      </c>
      <c r="AX40" s="1104">
        <v>1.9</v>
      </c>
      <c r="AY40" s="1104">
        <v>1.3</v>
      </c>
      <c r="AZ40" s="1692">
        <f>AZ42-AZ38-AZ39</f>
        <v>1.0999999999999943</v>
      </c>
      <c r="BA40" s="1101">
        <v>1.5</v>
      </c>
      <c r="BB40" s="23"/>
      <c r="BC40" s="1107">
        <v>1.2</v>
      </c>
      <c r="BD40" s="1104">
        <v>1.1000000000000001</v>
      </c>
      <c r="BE40" s="1104">
        <v>1.3</v>
      </c>
      <c r="BF40" s="1722">
        <f>BF42-BF38</f>
        <v>1.5</v>
      </c>
      <c r="BG40" s="24">
        <f>BG42-BG38</f>
        <v>1.4000000000000057</v>
      </c>
      <c r="BH40" s="23"/>
      <c r="BI40" s="1107">
        <v>1.7</v>
      </c>
      <c r="BJ40" s="1104">
        <v>1.6</v>
      </c>
      <c r="BK40" s="1104">
        <v>1.7</v>
      </c>
      <c r="BL40" s="15">
        <f>BL42-BL38</f>
        <v>1.8000000000000114</v>
      </c>
      <c r="BM40" s="24">
        <v>2</v>
      </c>
      <c r="BN40" s="15"/>
      <c r="BO40" s="1107">
        <v>2.1</v>
      </c>
      <c r="BP40" s="1104">
        <v>1.9</v>
      </c>
      <c r="BQ40" s="1104">
        <v>1.6</v>
      </c>
      <c r="BR40" s="15">
        <f>BR42-BR38</f>
        <v>1.4000000000000057</v>
      </c>
      <c r="BS40" s="1101">
        <v>1.7</v>
      </c>
      <c r="BT40" s="15"/>
      <c r="BU40" s="1457">
        <v>1.4</v>
      </c>
      <c r="BV40" s="1824">
        <v>1.4</v>
      </c>
      <c r="BW40" s="1824">
        <v>0.9</v>
      </c>
      <c r="BX40" s="15">
        <f>BX42-BX38</f>
        <v>0.89999999999997726</v>
      </c>
      <c r="BY40" s="1101">
        <v>0.9</v>
      </c>
      <c r="BZ40" s="15"/>
      <c r="CA40" s="1457">
        <v>1</v>
      </c>
      <c r="CB40" s="1824">
        <v>1</v>
      </c>
      <c r="CC40" s="1824">
        <v>0.7</v>
      </c>
      <c r="CD40" s="15">
        <f>CD42-CD38</f>
        <v>0.59999999999999432</v>
      </c>
      <c r="CE40" s="1101">
        <v>0.8</v>
      </c>
      <c r="CF40" s="13"/>
      <c r="CG40" s="1457">
        <v>0.8</v>
      </c>
      <c r="CH40" s="1824">
        <v>0.9</v>
      </c>
      <c r="CI40" s="1824">
        <v>1.2</v>
      </c>
      <c r="CJ40" s="15">
        <f>CJ42-CJ38</f>
        <v>0</v>
      </c>
      <c r="CK40" s="1101">
        <v>1</v>
      </c>
      <c r="CL40" s="13"/>
      <c r="CM40" s="822"/>
      <c r="CN40" s="15"/>
      <c r="CO40" s="734"/>
      <c r="CP40" s="815"/>
      <c r="CQ40" s="816"/>
      <c r="CR40" s="13"/>
      <c r="CS40" s="822"/>
      <c r="CT40" s="15"/>
      <c r="CU40" s="734"/>
      <c r="CV40" s="815"/>
      <c r="CW40" s="816"/>
      <c r="CX40" s="1720"/>
      <c r="CY40" s="822"/>
      <c r="CZ40" s="15"/>
      <c r="DA40" s="734"/>
      <c r="DB40" s="815"/>
      <c r="DC40" s="816"/>
      <c r="DD40" s="1720"/>
      <c r="DE40" s="822"/>
      <c r="DF40" s="15"/>
      <c r="DG40" s="734"/>
      <c r="DH40" s="815"/>
      <c r="DI40" s="816"/>
      <c r="DJ40"/>
      <c r="DK40"/>
      <c r="DL40"/>
      <c r="DM40"/>
      <c r="DN40"/>
      <c r="DO40"/>
      <c r="DU40" s="1720"/>
      <c r="DV40" s="1720"/>
      <c r="DW40" s="1720"/>
    </row>
    <row r="41" spans="1:127" s="16" customFormat="1" ht="11.25" hidden="1" customHeight="1" outlineLevel="1">
      <c r="A41" s="1696" t="s">
        <v>40</v>
      </c>
      <c r="B41" s="23"/>
      <c r="C41" s="1120" t="str">
        <f>CF!C65</f>
        <v>N/A</v>
      </c>
      <c r="D41" s="1121"/>
      <c r="E41" s="1120" t="str">
        <f>CF!E65</f>
        <v>N/A</v>
      </c>
      <c r="F41" s="1121"/>
      <c r="G41" s="1120" t="str">
        <f>CF!G65</f>
        <v>N/A</v>
      </c>
      <c r="H41" s="1121"/>
      <c r="I41" s="1120">
        <f>CF!I65</f>
        <v>17.058478532258057</v>
      </c>
      <c r="J41" s="1121"/>
      <c r="K41" s="1120">
        <f>CF!K65</f>
        <v>7.3013513650793698</v>
      </c>
      <c r="L41" s="592"/>
      <c r="M41" s="1120">
        <f>CF!M65</f>
        <v>4.3947456269841272</v>
      </c>
      <c r="N41" s="1121"/>
      <c r="O41" s="1120">
        <f>CF!O65</f>
        <v>4.5355511309523822</v>
      </c>
      <c r="P41" s="1121"/>
      <c r="Q41" s="1120">
        <f>CF!Q65</f>
        <v>4.1162098452380924</v>
      </c>
      <c r="R41" s="1121"/>
      <c r="S41" s="1125">
        <f>CF!S65</f>
        <v>4.7543947258064509</v>
      </c>
      <c r="T41" s="1121">
        <f>CF!T65</f>
        <v>5.3287298253968265</v>
      </c>
      <c r="U41" s="1121">
        <f>CF!U65</f>
        <v>6.2830154603174604</v>
      </c>
      <c r="V41" s="1126">
        <f>CF!V65</f>
        <v>7.7530154920634935</v>
      </c>
      <c r="W41" s="1127">
        <f>CF!W65</f>
        <v>6.0348701274900405</v>
      </c>
      <c r="X41" s="592"/>
      <c r="Y41" s="1125">
        <f>CF!Y65</f>
        <v>8.5768848049180324</v>
      </c>
      <c r="Z41" s="1121">
        <f>CF!Z65</f>
        <v>9.5509520857142878</v>
      </c>
      <c r="AA41" s="1121">
        <f>CF!AA65</f>
        <v>7.9882535920634963</v>
      </c>
      <c r="AB41" s="1126">
        <f>CF!AB65</f>
        <v>10.212966960937502</v>
      </c>
      <c r="AC41" s="1127">
        <f>CF!AC65</f>
        <v>9.0907960808764869</v>
      </c>
      <c r="AD41" s="592"/>
      <c r="AE41" s="1125">
        <f>CF!AE65</f>
        <v>12.36098336557377</v>
      </c>
      <c r="AF41" s="1121">
        <f>CF!AF65</f>
        <v>12.927030937499993</v>
      </c>
      <c r="AG41" s="1121">
        <f>CF!AG65</f>
        <v>14.039686921874999</v>
      </c>
      <c r="AH41" s="1126">
        <f>CF!AH65</f>
        <v>5.9979683750000028</v>
      </c>
      <c r="AI41" s="1127">
        <f>CF!AI65</f>
        <v>11.319209107905131</v>
      </c>
      <c r="AJ41" s="592"/>
      <c r="AK41" s="1125">
        <f>CF!AK65</f>
        <v>4.555737275409836</v>
      </c>
      <c r="AL41" s="1121">
        <f>CF!AL65</f>
        <v>7.2517456666666691</v>
      </c>
      <c r="AM41" s="1121">
        <f>CF!AM65</f>
        <v>9.6823435562500002</v>
      </c>
      <c r="AN41" s="1126">
        <f>CF!AN65</f>
        <v>11.286875</v>
      </c>
      <c r="AO41" s="1127">
        <f>CF!AO65</f>
        <v>8.2412299142857108</v>
      </c>
      <c r="AP41" s="592"/>
      <c r="AQ41" s="1125">
        <f>CF!AQ65</f>
        <v>13.3877868852459</v>
      </c>
      <c r="AR41" s="1121">
        <f>CF!AR65</f>
        <v>13.773888888888891</v>
      </c>
      <c r="AS41" s="1121">
        <f>CF!AS65</f>
        <v>12.793749999999999</v>
      </c>
      <c r="AT41" s="1126">
        <f>CF!AT65</f>
        <v>15.656637890624998</v>
      </c>
      <c r="AU41" s="1127">
        <f>CF!AU65</f>
        <v>13.909662003968256</v>
      </c>
      <c r="AV41" s="1121"/>
      <c r="AW41" s="1125">
        <f>CF!AW65</f>
        <v>18.303540903225805</v>
      </c>
      <c r="AX41" s="1121">
        <f>CF!AX65</f>
        <v>19.340786333333337</v>
      </c>
      <c r="AY41" s="1121">
        <f>CF!AY65</f>
        <v>15.609451218750003</v>
      </c>
      <c r="AZ41" s="1126">
        <f>CF!AZ65</f>
        <v>13.046349206349205</v>
      </c>
      <c r="BA41" s="1127">
        <f>CF!BA65</f>
        <v>16.564341083333343</v>
      </c>
      <c r="BB41" s="1121"/>
      <c r="BC41" s="1125">
        <f>CF!BC65</f>
        <v>14.842902306451606</v>
      </c>
      <c r="BD41" s="1121">
        <f>CF!BD65</f>
        <v>14.794126777777782</v>
      </c>
      <c r="BE41" s="1121">
        <f>CF!BE65</f>
        <v>12.64111111111111</v>
      </c>
      <c r="BF41" s="1126">
        <f>CF!BF65</f>
        <v>13.807883870967737</v>
      </c>
      <c r="BG41" s="1127">
        <f>CF!BG65</f>
        <v>14.021506016577058</v>
      </c>
      <c r="BH41" s="1121"/>
      <c r="BI41" s="1125">
        <f>CF!BI65</f>
        <v>17.465409866666665</v>
      </c>
      <c r="BJ41" s="1121">
        <f>CF!BJ65</f>
        <v>17.285931609375005</v>
      </c>
      <c r="BK41" s="1121">
        <f>CF!BK65</f>
        <v>19.114383843750005</v>
      </c>
      <c r="BL41" s="1126">
        <f>CF!BL65</f>
        <v>19.608742937500004</v>
      </c>
      <c r="BM41" s="1127">
        <f>CF!BM65</f>
        <v>18.382953686507957</v>
      </c>
      <c r="BN41" s="592"/>
      <c r="BO41" s="1639">
        <f>CF!BO65</f>
        <v>21.810157622950815</v>
      </c>
      <c r="BP41" s="1640">
        <f>CF!BP65</f>
        <v>21.703088634920629</v>
      </c>
      <c r="BQ41" s="1640">
        <f>CF!BQ65</f>
        <v>21.372572781250007</v>
      </c>
      <c r="BR41" s="1641">
        <f>CF!BR65</f>
        <v>19.244607453124996</v>
      </c>
      <c r="BS41" s="1120">
        <f>CF!BS65</f>
        <v>21.020689420634945</v>
      </c>
      <c r="BT41" s="1642"/>
      <c r="BU41" s="1639">
        <f>CF!BU65</f>
        <v>18.946721540983603</v>
      </c>
      <c r="BV41" s="1640">
        <f>CF!BV65</f>
        <v>20.200555444444447</v>
      </c>
      <c r="BW41" s="1640" t="str">
        <f>CF!BW65</f>
        <v xml:space="preserve">$19.43 </v>
      </c>
      <c r="BX41" s="1641">
        <f>CF!BX65</f>
        <v>20.761328968750004</v>
      </c>
      <c r="BY41" s="1120">
        <f>CF!BY65</f>
        <v>19.969535318059354</v>
      </c>
      <c r="BZ41" s="592"/>
      <c r="CA41" s="1125">
        <f>CF!CA65</f>
        <v>24.929836786885247</v>
      </c>
      <c r="CB41" s="1121">
        <f>CF!CB65</f>
        <v>26.701093671874993</v>
      </c>
      <c r="CC41" s="1640">
        <f>CF!CC65</f>
        <v>22.910625937500001</v>
      </c>
      <c r="CD41" s="1641">
        <f>CF!CD65</f>
        <v>21.862063968253967</v>
      </c>
      <c r="CE41" s="1120">
        <f>CF!CE65</f>
        <v>24.100905091128549</v>
      </c>
      <c r="CF41" s="593"/>
      <c r="CG41" s="1125">
        <f>CF!CG65</f>
        <v>23.487177419354829</v>
      </c>
      <c r="CH41" s="1121">
        <f>CF!CH65</f>
        <v>25.749444571428569</v>
      </c>
      <c r="CI41" s="1121">
        <f>CF!CI65</f>
        <v>28.792380698412696</v>
      </c>
      <c r="CJ41" s="1641">
        <f>CF!CJ65</f>
        <v>21.862063968253967</v>
      </c>
      <c r="CK41" s="1120">
        <f>CF!CK65</f>
        <v>24.972766664362513</v>
      </c>
      <c r="CL41" s="593"/>
      <c r="CM41" s="1125">
        <f>CF!CM65</f>
        <v>31</v>
      </c>
      <c r="CN41" s="1121">
        <f>CF!CN65</f>
        <v>31.695809130699541</v>
      </c>
      <c r="CO41" s="1121">
        <f>CF!CO65</f>
        <v>32.407236014507625</v>
      </c>
      <c r="CP41" s="1126">
        <f>CF!CP65</f>
        <v>33.1346311990118</v>
      </c>
      <c r="CQ41" s="1127">
        <f>CF!CQ65</f>
        <v>32.059419086054746</v>
      </c>
      <c r="CR41" s="593"/>
      <c r="CS41" s="1125">
        <f>CF!CS65</f>
        <v>33.878353100000005</v>
      </c>
      <c r="CT41" s="1121">
        <f>CF!CT65</f>
        <v>34.638768178065909</v>
      </c>
      <c r="CU41" s="1121">
        <f>CF!CU65</f>
        <v>35.416251119178263</v>
      </c>
      <c r="CV41" s="1126">
        <f>CF!CV65</f>
        <v>36.211185019303166</v>
      </c>
      <c r="CW41" s="1127">
        <f>CF!CW65</f>
        <v>35.036139354136836</v>
      </c>
      <c r="CX41" s="1720"/>
      <c r="CY41" s="1125">
        <f>CF!CY65</f>
        <v>37.023961573170311</v>
      </c>
      <c r="CZ41" s="1121">
        <f>CF!CZ65</f>
        <v>37.854981267276145</v>
      </c>
      <c r="DA41" s="1121">
        <f>CF!DA65</f>
        <v>38.704653577219077</v>
      </c>
      <c r="DB41" s="1126">
        <f>CF!DB65</f>
        <v>39.573397169463973</v>
      </c>
      <c r="DC41" s="1127">
        <f>CF!DC65</f>
        <v>38.289248396782376</v>
      </c>
      <c r="DD41" s="1720"/>
      <c r="DE41" s="1125">
        <f>CF!DE65</f>
        <v>40.46164010763534</v>
      </c>
      <c r="DF41" s="1121">
        <f>CF!DF65</f>
        <v>41.369820063440869</v>
      </c>
      <c r="DG41" s="1121">
        <f>CF!DG65</f>
        <v>42.29838453232923</v>
      </c>
      <c r="DH41" s="1126">
        <f>CF!DH65</f>
        <v>43.247791053988422</v>
      </c>
      <c r="DI41" s="1127">
        <f>CF!DI65</f>
        <v>41.844408939348469</v>
      </c>
      <c r="DJ41"/>
      <c r="DK41"/>
      <c r="DL41"/>
      <c r="DM41"/>
      <c r="DN41"/>
      <c r="DO41"/>
      <c r="DU41" s="1720"/>
      <c r="DV41" s="1720"/>
      <c r="DW41" s="1720"/>
    </row>
    <row r="42" spans="1:127" s="16" customFormat="1" ht="11.25" customHeight="1" collapsed="1">
      <c r="A42" s="732" t="s">
        <v>41</v>
      </c>
      <c r="B42" s="23"/>
      <c r="C42" s="1101">
        <v>45.5</v>
      </c>
      <c r="D42" s="23"/>
      <c r="E42" s="1101">
        <v>45.5</v>
      </c>
      <c r="F42" s="23"/>
      <c r="G42" s="1101">
        <v>49.921999999999997</v>
      </c>
      <c r="H42" s="23"/>
      <c r="I42" s="1101">
        <v>55.177999999999997</v>
      </c>
      <c r="J42" s="23"/>
      <c r="K42" s="1101">
        <v>77.483000000000004</v>
      </c>
      <c r="L42" s="23"/>
      <c r="M42" s="1101">
        <v>81.28</v>
      </c>
      <c r="N42" s="23"/>
      <c r="O42" s="1101">
        <v>88.495000000000005</v>
      </c>
      <c r="P42" s="23"/>
      <c r="Q42" s="1101">
        <v>101.13</v>
      </c>
      <c r="R42" s="23"/>
      <c r="S42" s="1107">
        <v>101.48</v>
      </c>
      <c r="T42" s="1104">
        <v>101.869</v>
      </c>
      <c r="U42" s="1104">
        <v>102.70399999999999</v>
      </c>
      <c r="V42" s="1105">
        <v>103.37</v>
      </c>
      <c r="W42" s="1101">
        <v>102.56100000000001</v>
      </c>
      <c r="X42" s="23"/>
      <c r="Y42" s="1107">
        <v>162.90600000000001</v>
      </c>
      <c r="Z42" s="1104">
        <v>164.34299999999999</v>
      </c>
      <c r="AA42" s="1104">
        <v>164.22399999999999</v>
      </c>
      <c r="AB42" s="1105">
        <v>164.7</v>
      </c>
      <c r="AC42" s="1101">
        <v>164.3</v>
      </c>
      <c r="AD42" s="23"/>
      <c r="AE42" s="1107">
        <v>162.30000000000001</v>
      </c>
      <c r="AF42" s="1104">
        <v>165.5</v>
      </c>
      <c r="AG42" s="1104">
        <v>165.9</v>
      </c>
      <c r="AH42" s="1105">
        <v>164.6</v>
      </c>
      <c r="AI42" s="1101">
        <v>165.6</v>
      </c>
      <c r="AJ42" s="23"/>
      <c r="AK42" s="1107">
        <v>164.3</v>
      </c>
      <c r="AL42" s="1104">
        <v>164.7</v>
      </c>
      <c r="AM42" s="1104">
        <v>165</v>
      </c>
      <c r="AN42" s="1105">
        <v>165.2</v>
      </c>
      <c r="AO42" s="1101">
        <v>164.9</v>
      </c>
      <c r="AP42" s="23"/>
      <c r="AQ42" s="1107">
        <v>165.6</v>
      </c>
      <c r="AR42" s="1104">
        <v>165.8</v>
      </c>
      <c r="AS42" s="1104">
        <v>165.7</v>
      </c>
      <c r="AT42" s="1105">
        <v>166.1</v>
      </c>
      <c r="AU42" s="1101">
        <v>165.7</v>
      </c>
      <c r="AV42" s="23"/>
      <c r="AW42" s="1107">
        <v>166.7</v>
      </c>
      <c r="AX42" s="1104">
        <v>167.3</v>
      </c>
      <c r="AY42" s="1104">
        <v>166.9</v>
      </c>
      <c r="AZ42" s="1105">
        <v>166.7</v>
      </c>
      <c r="BA42" s="1101">
        <v>166.9</v>
      </c>
      <c r="BB42" s="23"/>
      <c r="BC42" s="1107">
        <v>166.9</v>
      </c>
      <c r="BD42" s="1104">
        <v>167.1</v>
      </c>
      <c r="BE42" s="1104">
        <v>167.3</v>
      </c>
      <c r="BF42" s="1104">
        <v>167.7</v>
      </c>
      <c r="BG42" s="1101">
        <v>167.4</v>
      </c>
      <c r="BH42" s="23"/>
      <c r="BI42" s="1107">
        <v>168.1</v>
      </c>
      <c r="BJ42" s="1104">
        <v>168.4</v>
      </c>
      <c r="BK42" s="1104">
        <v>168.7</v>
      </c>
      <c r="BL42" s="1722">
        <v>169</v>
      </c>
      <c r="BM42" s="24">
        <v>168.5</v>
      </c>
      <c r="BN42" s="15"/>
      <c r="BO42" s="1107">
        <v>169.4</v>
      </c>
      <c r="BP42" s="1104">
        <v>169.5</v>
      </c>
      <c r="BQ42" s="1104">
        <v>169.6</v>
      </c>
      <c r="BR42" s="1722">
        <v>169.6</v>
      </c>
      <c r="BS42" s="24">
        <v>169.5</v>
      </c>
      <c r="BT42" s="15"/>
      <c r="BU42" s="1457">
        <v>169.7</v>
      </c>
      <c r="BV42" s="1824">
        <v>169.7</v>
      </c>
      <c r="BW42" s="1824">
        <v>168.7</v>
      </c>
      <c r="BX42" s="1722">
        <v>168.7</v>
      </c>
      <c r="BY42" s="24">
        <v>169.1</v>
      </c>
      <c r="BZ42" s="15"/>
      <c r="CA42" s="1457">
        <v>164.3</v>
      </c>
      <c r="CB42" s="1824">
        <v>162.4</v>
      </c>
      <c r="CC42" s="1824">
        <v>161.5</v>
      </c>
      <c r="CD42" s="1877">
        <v>160.69999999999999</v>
      </c>
      <c r="CE42" s="24">
        <v>162.19999999999999</v>
      </c>
      <c r="CF42" s="13"/>
      <c r="CG42" s="1457">
        <v>160.5</v>
      </c>
      <c r="CH42" s="1824">
        <v>160.4</v>
      </c>
      <c r="CI42" s="1824">
        <v>158.69999999999999</v>
      </c>
      <c r="CJ42" s="1877">
        <v>155.69999999999999</v>
      </c>
      <c r="CK42" s="24">
        <v>159.1</v>
      </c>
      <c r="CL42" s="13"/>
      <c r="CM42" s="822">
        <f>CM38*CM43</f>
        <v>158.1207974556732</v>
      </c>
      <c r="CN42" s="15">
        <f>CN38*CN43</f>
        <v>157.00846179234469</v>
      </c>
      <c r="CO42" s="15">
        <f>CO38*CO43</f>
        <v>155.92054491913933</v>
      </c>
      <c r="CP42" s="1692">
        <f>CP38*CP43</f>
        <v>154.85651077726601</v>
      </c>
      <c r="CQ42" s="13">
        <f>AVERAGE(CM42:CP42)</f>
        <v>156.47657873610581</v>
      </c>
      <c r="CR42" s="13"/>
      <c r="CS42" s="822">
        <f>CS38*CS43</f>
        <v>155.2925775437576</v>
      </c>
      <c r="CT42" s="15">
        <f>CT38*CT43</f>
        <v>153.98263979574736</v>
      </c>
      <c r="CU42" s="15">
        <f>CU38*CU43</f>
        <v>152.70145874052116</v>
      </c>
      <c r="CV42" s="1692">
        <f>CV38*CV43</f>
        <v>151.44840309053797</v>
      </c>
      <c r="CW42" s="13">
        <f>AVERAGE(CS42:CV42)</f>
        <v>153.356269792641</v>
      </c>
      <c r="CX42" s="1720"/>
      <c r="CY42" s="822">
        <f>CY38*CY43</f>
        <v>152.2815967925961</v>
      </c>
      <c r="CZ42" s="15">
        <f>CZ38*CZ43</f>
        <v>151.08176447303057</v>
      </c>
      <c r="DA42" s="15">
        <f>DA38*DA43</f>
        <v>149.90827173292871</v>
      </c>
      <c r="DB42" s="1692">
        <f>DB38*DB43</f>
        <v>148.76054034695429</v>
      </c>
      <c r="DC42" s="13">
        <f>AVERAGE(CY42:DB42)</f>
        <v>150.50804333637743</v>
      </c>
      <c r="DD42" s="1720"/>
      <c r="DE42" s="822">
        <f>DE38*DE43</f>
        <v>149.53351311439147</v>
      </c>
      <c r="DF42" s="15">
        <f>DF38*DF43</f>
        <v>148.43453250699929</v>
      </c>
      <c r="DG42" s="15">
        <f>DG38*DG43</f>
        <v>147.35967750996565</v>
      </c>
      <c r="DH42" s="1692">
        <f>DH38*DH43</f>
        <v>146.30841850059176</v>
      </c>
      <c r="DI42" s="13">
        <f>AVERAGE(DE42:DH42)</f>
        <v>147.90903540798703</v>
      </c>
      <c r="DJ42"/>
      <c r="DK42"/>
      <c r="DL42"/>
      <c r="DM42"/>
      <c r="DN42"/>
      <c r="DO42"/>
      <c r="DU42" s="1759"/>
      <c r="DV42" s="1759"/>
      <c r="DW42" s="1759"/>
    </row>
    <row r="43" spans="1:127" s="16" customFormat="1" ht="11.25" hidden="1" customHeight="1" outlineLevel="1">
      <c r="A43" s="1751" t="s">
        <v>42</v>
      </c>
      <c r="B43" s="1752"/>
      <c r="C43" s="1753">
        <f>C42/C38</f>
        <v>1</v>
      </c>
      <c r="D43" s="1752"/>
      <c r="E43" s="1753">
        <f>E42/E38</f>
        <v>1</v>
      </c>
      <c r="F43" s="1752"/>
      <c r="G43" s="1753">
        <f>G42/G38</f>
        <v>1.0132537701191418</v>
      </c>
      <c r="H43" s="1752"/>
      <c r="I43" s="1753">
        <f>I42/I38</f>
        <v>1.0064386684906519</v>
      </c>
      <c r="J43" s="1752"/>
      <c r="K43" s="1753">
        <f>K42/K38</f>
        <v>1</v>
      </c>
      <c r="L43" s="1752"/>
      <c r="M43" s="1753">
        <f>M42/M38</f>
        <v>1</v>
      </c>
      <c r="N43" s="1752"/>
      <c r="O43" s="1753">
        <f>O42/O38</f>
        <v>1</v>
      </c>
      <c r="P43" s="1752"/>
      <c r="Q43" s="1753">
        <f>Q42/Q38</f>
        <v>1.0030449401426262</v>
      </c>
      <c r="R43" s="1752"/>
      <c r="S43" s="1754">
        <f>S42/S38</f>
        <v>1.0029055402921352</v>
      </c>
      <c r="T43" s="1755">
        <f>T42/T38</f>
        <v>1.004070730168743</v>
      </c>
      <c r="U43" s="1755">
        <f>U42/U38</f>
        <v>1.0065269801446519</v>
      </c>
      <c r="V43" s="1756">
        <f>V42/V38</f>
        <v>1.0184136116885547</v>
      </c>
      <c r="W43" s="1753">
        <f>W42/W38</f>
        <v>1.0103337536448893</v>
      </c>
      <c r="X43" s="1752"/>
      <c r="Y43" s="1754">
        <f>Y42/Y38</f>
        <v>1.0158451033579645</v>
      </c>
      <c r="Z43" s="1755">
        <f>Z42/Z38</f>
        <v>1.0161691234665611</v>
      </c>
      <c r="AA43" s="1755">
        <f>AA42/AA38</f>
        <v>1.0142167216314026</v>
      </c>
      <c r="AB43" s="1756">
        <f>AB42/AB38</f>
        <v>1.0166666666666666</v>
      </c>
      <c r="AC43" s="1753">
        <f>AC42/AC38</f>
        <v>1.0192307692307694</v>
      </c>
      <c r="AD43" s="1752"/>
      <c r="AE43" s="1754">
        <f>AE42/AE38</f>
        <v>1</v>
      </c>
      <c r="AF43" s="1755">
        <f>AF42/AF38</f>
        <v>1.0190886699507389</v>
      </c>
      <c r="AG43" s="1755">
        <f>AG42/AG38</f>
        <v>1.019041769041769</v>
      </c>
      <c r="AH43" s="1756">
        <f>AH42/AH38</f>
        <v>1.009196811771919</v>
      </c>
      <c r="AI43" s="1753">
        <f>AI42/AI38</f>
        <v>1.0178242163491089</v>
      </c>
      <c r="AJ43" s="1752"/>
      <c r="AK43" s="1754">
        <f>AK42/AK38</f>
        <v>1.0061236987140232</v>
      </c>
      <c r="AL43" s="1755">
        <f>AL42/AL38</f>
        <v>1.0085731781996325</v>
      </c>
      <c r="AM43" s="1755">
        <f>AM42/AM38</f>
        <v>1.0091743119266054</v>
      </c>
      <c r="AN43" s="1756">
        <f>AN42/AN38</f>
        <v>1.0085470085470085</v>
      </c>
      <c r="AO43" s="1753">
        <f>AO42/AO38</f>
        <v>1.0085626911314984</v>
      </c>
      <c r="AP43" s="1752"/>
      <c r="AQ43" s="1754">
        <f>AQ42/AQ38</f>
        <v>1.0091407678244972</v>
      </c>
      <c r="AR43" s="1755">
        <f>AR42/AR38</f>
        <v>1.0091296409007913</v>
      </c>
      <c r="AS43" s="1755">
        <f>AS42/AS38</f>
        <v>1.0072948328267477</v>
      </c>
      <c r="AT43" s="1756">
        <f>AT42/AT38</f>
        <v>1.0085003035822708</v>
      </c>
      <c r="AU43" s="1753">
        <f>AU42/AU38</f>
        <v>1.0079075425790753</v>
      </c>
      <c r="AV43" s="1752"/>
      <c r="AW43" s="1754">
        <f>AW42/AW38</f>
        <v>1.0096910963052694</v>
      </c>
      <c r="AX43" s="1755">
        <f>AX42/AX38</f>
        <v>1.0114873035066505</v>
      </c>
      <c r="AY43" s="1755">
        <f>AY42/AY38</f>
        <v>1.0078502415458939</v>
      </c>
      <c r="AZ43" s="1756">
        <f>AZ42/AZ38</f>
        <v>1.0066425120772946</v>
      </c>
      <c r="BA43" s="1753">
        <f>BA42/BA38</f>
        <v>1.00906892382104</v>
      </c>
      <c r="BB43" s="1752"/>
      <c r="BC43" s="1754">
        <f>BC42/BC38</f>
        <v>1.0072420036210019</v>
      </c>
      <c r="BD43" s="1755">
        <f>BD42/BD38</f>
        <v>1.0066265060240964</v>
      </c>
      <c r="BE43" s="1755">
        <f>BE42/BE38</f>
        <v>1.0078313253012048</v>
      </c>
      <c r="BF43" s="1757">
        <f>BF42/BF38</f>
        <v>1.0090252707581226</v>
      </c>
      <c r="BG43" s="1758">
        <f>BG42/BG38</f>
        <v>1.008433734939759</v>
      </c>
      <c r="BH43" s="1752"/>
      <c r="BI43" s="1754">
        <f>BI42/BI38</f>
        <v>1.010216346153846</v>
      </c>
      <c r="BJ43" s="1755">
        <f>BJ42/BJ38</f>
        <v>1.0095923261390887</v>
      </c>
      <c r="BK43" s="1755">
        <f>BK42/BK38</f>
        <v>1.0101796407185628</v>
      </c>
      <c r="BL43" s="1755">
        <f>BL42/BL38</f>
        <v>1.0107655502392345</v>
      </c>
      <c r="BM43" s="1758">
        <f>BM42/BM38</f>
        <v>1.012012012012012</v>
      </c>
      <c r="BN43" s="1752"/>
      <c r="BO43" s="1754">
        <f>BO42/BO38</f>
        <v>1.01255230125523</v>
      </c>
      <c r="BP43" s="1755">
        <f>BP42/BP38</f>
        <v>1.0113365155131264</v>
      </c>
      <c r="BQ43" s="1755">
        <f>BQ42/BQ38</f>
        <v>1.0095238095238095</v>
      </c>
      <c r="BR43" s="1755">
        <f>BR42/BR38</f>
        <v>1.0083234244946493</v>
      </c>
      <c r="BS43" s="1758">
        <f>BS42/BS38</f>
        <v>1.0101311084624551</v>
      </c>
      <c r="BT43" s="1752"/>
      <c r="BU43" s="1754">
        <f>BU42/BU38</f>
        <v>1.0083184789067141</v>
      </c>
      <c r="BV43" s="1755">
        <f>BV42/BV38</f>
        <v>1.0083184789067141</v>
      </c>
      <c r="BW43" s="1755">
        <f>BW42/BW38</f>
        <v>1.005363528009535</v>
      </c>
      <c r="BX43" s="1755">
        <f>BX42/BX38</f>
        <v>1.005363528009535</v>
      </c>
      <c r="BY43" s="1758">
        <f>BY42/BY38</f>
        <v>1.0053507728894173</v>
      </c>
      <c r="BZ43" s="1752"/>
      <c r="CA43" s="1754">
        <f>CA42/CA38</f>
        <v>1.0061236987140232</v>
      </c>
      <c r="CB43" s="1755">
        <f>CB42/CB38</f>
        <v>1.0061957868649318</v>
      </c>
      <c r="CC43" s="1755">
        <f>CC42/CC38</f>
        <v>1.0043532338308456</v>
      </c>
      <c r="CD43" s="1755">
        <f>CD42/CD38</f>
        <v>1.0037476577139288</v>
      </c>
      <c r="CE43" s="1758">
        <f>CE42/CE38</f>
        <v>1.0049566294919454</v>
      </c>
      <c r="CF43" s="1694"/>
      <c r="CG43" s="1754">
        <f>CG42/CG38</f>
        <v>1.0050093926111461</v>
      </c>
      <c r="CH43" s="1755">
        <f>CH42/CH38</f>
        <v>1.0056426332288402</v>
      </c>
      <c r="CI43" s="1755">
        <f>CI42/CI38</f>
        <v>1.0076190476190476</v>
      </c>
      <c r="CJ43" s="1755">
        <f>CI43</f>
        <v>1.0076190476190476</v>
      </c>
      <c r="CK43" s="1758">
        <f>CK42/CK38</f>
        <v>1.0063251106894371</v>
      </c>
      <c r="CL43" s="1694"/>
      <c r="CM43" s="1100">
        <f>CK43+0.001</f>
        <v>1.007325110689437</v>
      </c>
      <c r="CN43" s="1098">
        <f>CM43</f>
        <v>1.007325110689437</v>
      </c>
      <c r="CO43" s="1098">
        <f>CN43</f>
        <v>1.007325110689437</v>
      </c>
      <c r="CP43" s="1099">
        <f>CO43</f>
        <v>1.007325110689437</v>
      </c>
      <c r="CQ43" s="1758">
        <f>CQ42/CQ38</f>
        <v>1.007325110689437</v>
      </c>
      <c r="CR43" s="1694"/>
      <c r="CS43" s="1100">
        <f>CQ43+0.001</f>
        <v>1.0083251106894369</v>
      </c>
      <c r="CT43" s="1098">
        <f>CS43</f>
        <v>1.0083251106894369</v>
      </c>
      <c r="CU43" s="1098">
        <f>CT43</f>
        <v>1.0083251106894369</v>
      </c>
      <c r="CV43" s="1099">
        <f>CU43</f>
        <v>1.0083251106894369</v>
      </c>
      <c r="CW43" s="1758">
        <f>CW42/CW38</f>
        <v>1.0083251106894369</v>
      </c>
      <c r="CX43" s="1759"/>
      <c r="CY43" s="1100">
        <f>CW43+0.001</f>
        <v>1.0093251106894368</v>
      </c>
      <c r="CZ43" s="1098">
        <f>CY43</f>
        <v>1.0093251106894368</v>
      </c>
      <c r="DA43" s="1098">
        <f>CZ43</f>
        <v>1.0093251106894368</v>
      </c>
      <c r="DB43" s="1099">
        <f>DA43</f>
        <v>1.0093251106894368</v>
      </c>
      <c r="DC43" s="1758">
        <f>DC42/DC38</f>
        <v>1.0093251106894368</v>
      </c>
      <c r="DD43" s="1759"/>
      <c r="DE43" s="1100">
        <f>DC43+0.001</f>
        <v>1.0103251106894366</v>
      </c>
      <c r="DF43" s="1098">
        <f>DE43</f>
        <v>1.0103251106894366</v>
      </c>
      <c r="DG43" s="1098">
        <f>DF43</f>
        <v>1.0103251106894366</v>
      </c>
      <c r="DH43" s="1099">
        <f>DG43</f>
        <v>1.0103251106894366</v>
      </c>
      <c r="DI43" s="1758">
        <f>DI42/DI38</f>
        <v>1.0103251106894364</v>
      </c>
      <c r="DJ43"/>
      <c r="DK43"/>
      <c r="DL43"/>
      <c r="DM43"/>
      <c r="DN43"/>
      <c r="DO43"/>
      <c r="DU43" s="1720"/>
      <c r="DV43" s="1720"/>
      <c r="DW43" s="1720"/>
    </row>
    <row r="44" spans="1:127" s="16" customFormat="1" ht="11.25" customHeight="1" collapsed="1">
      <c r="A44" s="1760"/>
      <c r="B44" s="1761"/>
      <c r="C44" s="1762"/>
      <c r="D44" s="1761"/>
      <c r="E44" s="1762"/>
      <c r="F44" s="1761"/>
      <c r="G44" s="1762"/>
      <c r="H44" s="1761"/>
      <c r="I44" s="1762"/>
      <c r="J44" s="1761"/>
      <c r="K44" s="1762"/>
      <c r="L44" s="1761"/>
      <c r="M44" s="1762"/>
      <c r="N44" s="1761"/>
      <c r="O44" s="1762"/>
      <c r="P44" s="1761"/>
      <c r="Q44" s="1762"/>
      <c r="R44" s="1761"/>
      <c r="S44" s="1762"/>
      <c r="T44" s="1762"/>
      <c r="U44" s="1762"/>
      <c r="V44" s="1762"/>
      <c r="W44" s="1762"/>
      <c r="X44" s="1761"/>
      <c r="Y44" s="1762"/>
      <c r="Z44" s="1762"/>
      <c r="AA44" s="1762"/>
      <c r="AB44" s="1762"/>
      <c r="AC44" s="1762"/>
      <c r="AD44" s="1761"/>
      <c r="AE44" s="1762"/>
      <c r="AF44" s="1762"/>
      <c r="AG44" s="1762"/>
      <c r="AH44" s="1762"/>
      <c r="AI44" s="1762"/>
      <c r="AJ44" s="1761"/>
      <c r="AK44" s="1762"/>
      <c r="AL44" s="1762"/>
      <c r="AM44" s="1762"/>
      <c r="AN44" s="1762"/>
      <c r="AO44" s="1762"/>
      <c r="AP44" s="1761"/>
      <c r="AQ44" s="1762"/>
      <c r="AR44" s="1762"/>
      <c r="AS44" s="1762"/>
      <c r="AT44" s="1762"/>
      <c r="AU44" s="1762"/>
      <c r="AV44" s="1761"/>
      <c r="AW44" s="1762"/>
      <c r="AX44" s="1762"/>
      <c r="AY44" s="1762"/>
      <c r="AZ44" s="1762"/>
      <c r="BA44" s="1762"/>
      <c r="BB44" s="1761"/>
      <c r="BC44" s="1762"/>
      <c r="BD44" s="1762"/>
      <c r="BE44" s="1763"/>
      <c r="BF44" s="1761"/>
      <c r="BG44" s="1761"/>
      <c r="BH44" s="1761"/>
      <c r="BI44" s="1764"/>
      <c r="BJ44" s="1761"/>
      <c r="BK44" s="1761"/>
      <c r="BL44" s="1765"/>
      <c r="BM44" s="1761"/>
      <c r="BN44" s="1761"/>
      <c r="BO44" s="1761"/>
      <c r="BP44" s="1761"/>
      <c r="BQ44" s="1761"/>
      <c r="BR44" s="1761"/>
      <c r="BS44" s="1765"/>
      <c r="BT44" s="1761"/>
      <c r="BU44" s="1765"/>
      <c r="BV44" s="1761"/>
      <c r="BW44" s="1761"/>
      <c r="BX44" s="1761"/>
      <c r="BY44" s="1875"/>
      <c r="BZ44" s="1761"/>
      <c r="CA44" s="1875"/>
      <c r="CB44" s="1875"/>
      <c r="CC44" s="1875"/>
      <c r="CD44" s="1875"/>
      <c r="CE44" s="1875"/>
      <c r="CF44" s="1875"/>
      <c r="CG44" s="1875"/>
      <c r="CH44" s="1875"/>
      <c r="CI44" s="1875"/>
      <c r="CJ44" s="1875"/>
      <c r="CK44" s="1875"/>
      <c r="CL44" s="1875"/>
      <c r="CM44" s="1875"/>
      <c r="CN44" s="1875"/>
      <c r="CO44" s="1875"/>
      <c r="CP44" s="1875"/>
      <c r="CQ44" s="1765"/>
      <c r="CR44" s="1761"/>
      <c r="CS44" s="1761"/>
      <c r="CT44" s="1761"/>
      <c r="CU44" s="1761"/>
      <c r="CV44" s="1761"/>
      <c r="CW44" s="1765"/>
      <c r="CX44" s="1720"/>
      <c r="CY44" s="1761"/>
      <c r="CZ44" s="1761"/>
      <c r="DA44" s="1761"/>
      <c r="DB44" s="1761"/>
      <c r="DC44" s="1765"/>
      <c r="DD44" s="1720"/>
      <c r="DE44" s="1761"/>
      <c r="DF44" s="1761"/>
      <c r="DG44" s="1761"/>
      <c r="DH44" s="1761"/>
      <c r="DI44" s="1765"/>
      <c r="DJ44"/>
      <c r="DK44"/>
      <c r="DL44"/>
      <c r="DM44"/>
      <c r="DN44"/>
      <c r="DO44"/>
      <c r="DQ44" s="1822"/>
      <c r="DR44" s="1822"/>
      <c r="DS44" s="1822"/>
      <c r="DT44" s="1822"/>
      <c r="DU44" s="483"/>
      <c r="DV44" s="483"/>
      <c r="DW44" s="483"/>
    </row>
    <row r="45" spans="1:127" s="10" customFormat="1" ht="11.25" customHeight="1">
      <c r="A45" s="506" t="s">
        <v>70</v>
      </c>
      <c r="B45" s="467"/>
      <c r="C45" s="468"/>
      <c r="D45" s="467"/>
      <c r="E45" s="468"/>
      <c r="F45" s="467"/>
      <c r="G45" s="468"/>
      <c r="H45" s="467"/>
      <c r="I45" s="468"/>
      <c r="J45" s="467"/>
      <c r="K45" s="468"/>
      <c r="L45" s="467"/>
      <c r="M45" s="468"/>
      <c r="N45" s="467"/>
      <c r="O45" s="468"/>
      <c r="P45" s="467"/>
      <c r="Q45" s="468"/>
      <c r="R45" s="467"/>
      <c r="S45" s="469"/>
      <c r="T45" s="467"/>
      <c r="U45" s="467"/>
      <c r="V45" s="467"/>
      <c r="W45" s="468"/>
      <c r="X45" s="467"/>
      <c r="Y45" s="469"/>
      <c r="Z45" s="467"/>
      <c r="AA45" s="467"/>
      <c r="AB45" s="467"/>
      <c r="AC45" s="468"/>
      <c r="AD45" s="467"/>
      <c r="AE45" s="469"/>
      <c r="AF45" s="467"/>
      <c r="AG45" s="467"/>
      <c r="AH45" s="467"/>
      <c r="AI45" s="468"/>
      <c r="AJ45" s="467"/>
      <c r="AK45" s="469"/>
      <c r="AL45" s="467"/>
      <c r="AM45" s="467"/>
      <c r="AN45" s="467"/>
      <c r="AO45" s="468"/>
      <c r="AP45" s="467"/>
      <c r="AQ45" s="469"/>
      <c r="AR45" s="467"/>
      <c r="AS45" s="467"/>
      <c r="AT45" s="470"/>
      <c r="AU45" s="468"/>
      <c r="AV45" s="467"/>
      <c r="AW45" s="469"/>
      <c r="AX45" s="467"/>
      <c r="AY45" s="467"/>
      <c r="AZ45" s="470"/>
      <c r="BA45" s="468"/>
      <c r="BB45" s="467"/>
      <c r="BC45" s="469"/>
      <c r="BD45" s="467"/>
      <c r="BE45" s="464"/>
      <c r="BF45" s="466"/>
      <c r="BG45" s="466"/>
      <c r="BH45" s="467"/>
      <c r="BI45" s="469"/>
      <c r="BJ45" s="464"/>
      <c r="BK45" s="464"/>
      <c r="BL45" s="466"/>
      <c r="BM45" s="466"/>
      <c r="BN45" s="464"/>
      <c r="BO45" s="465"/>
      <c r="BP45" s="464"/>
      <c r="BQ45" s="464"/>
      <c r="BR45" s="466"/>
      <c r="BS45" s="466"/>
      <c r="BT45" s="464"/>
      <c r="BU45" s="465"/>
      <c r="BV45" s="464"/>
      <c r="BW45" s="464"/>
      <c r="BX45" s="466"/>
      <c r="BY45" s="466"/>
      <c r="BZ45" s="464"/>
      <c r="CA45" s="465"/>
      <c r="CB45" s="464"/>
      <c r="CC45" s="464"/>
      <c r="CD45" s="466"/>
      <c r="CE45" s="466"/>
      <c r="CF45" s="464"/>
      <c r="CG45" s="465"/>
      <c r="CH45" s="464"/>
      <c r="CI45" s="464"/>
      <c r="CJ45" s="466"/>
      <c r="CK45" s="466"/>
      <c r="CL45" s="464"/>
      <c r="CM45" s="465"/>
      <c r="CN45" s="464"/>
      <c r="CO45" s="464"/>
      <c r="CP45" s="466"/>
      <c r="CQ45" s="466"/>
      <c r="CR45" s="464"/>
      <c r="CS45" s="465"/>
      <c r="CT45" s="464"/>
      <c r="CU45" s="464"/>
      <c r="CV45" s="466"/>
      <c r="CW45" s="466"/>
      <c r="CX45" s="483"/>
      <c r="CY45" s="465"/>
      <c r="CZ45" s="464"/>
      <c r="DA45" s="464"/>
      <c r="DB45" s="466"/>
      <c r="DC45" s="466"/>
      <c r="DD45" s="483"/>
      <c r="DE45" s="465"/>
      <c r="DF45" s="464"/>
      <c r="DG45" s="464"/>
      <c r="DH45" s="466"/>
      <c r="DI45" s="466"/>
      <c r="DJ45"/>
      <c r="DK45"/>
      <c r="DL45"/>
      <c r="DM45"/>
      <c r="DN45"/>
      <c r="DO45"/>
      <c r="DU45" s="26" t="s">
        <v>474</v>
      </c>
      <c r="DV45" s="26"/>
      <c r="DW45" s="26"/>
    </row>
    <row r="46" spans="1:127" s="10" customFormat="1" ht="11.25" customHeight="1">
      <c r="A46" s="1435" t="s">
        <v>44</v>
      </c>
      <c r="B46" s="734"/>
      <c r="C46" s="1773">
        <f>C12/C9</f>
        <v>0.46608382495794543</v>
      </c>
      <c r="D46" s="734"/>
      <c r="E46" s="1773">
        <f>E12/E9</f>
        <v>0.48876178698407791</v>
      </c>
      <c r="F46" s="734"/>
      <c r="G46" s="1773">
        <f>G12/G9</f>
        <v>0.46457011566277645</v>
      </c>
      <c r="H46" s="734"/>
      <c r="I46" s="1773">
        <f>I12/I9</f>
        <v>0.4702506176435684</v>
      </c>
      <c r="J46" s="734"/>
      <c r="K46" s="1773">
        <f>K12/K9</f>
        <v>0.53606032865339126</v>
      </c>
      <c r="L46" s="734"/>
      <c r="M46" s="1773">
        <f>M12/M9</f>
        <v>0.58807959214205974</v>
      </c>
      <c r="N46" s="734"/>
      <c r="O46" s="1773">
        <f>O12/O9</f>
        <v>0.58344115661566154</v>
      </c>
      <c r="P46" s="734"/>
      <c r="Q46" s="1773">
        <f>Q12/Q9</f>
        <v>0.55412313668392199</v>
      </c>
      <c r="R46" s="734"/>
      <c r="S46" s="1774">
        <f>S12/S9</f>
        <v>0.53871130977481663</v>
      </c>
      <c r="T46" s="1766">
        <f>T12/T9</f>
        <v>0.53999183941562268</v>
      </c>
      <c r="U46" s="1766">
        <f>U12/U9</f>
        <v>0.55961666825593592</v>
      </c>
      <c r="V46" s="1766">
        <f>V12/V9</f>
        <v>0.53421566820276478</v>
      </c>
      <c r="W46" s="1773">
        <f>W12/W9</f>
        <v>0.54263779328827033</v>
      </c>
      <c r="X46" s="734"/>
      <c r="Y46" s="1774">
        <f>Y12/Y9</f>
        <v>0.54442602729165057</v>
      </c>
      <c r="Z46" s="1766">
        <f>Z12/Z9</f>
        <v>0.58079146772285206</v>
      </c>
      <c r="AA46" s="1766">
        <f>AA12/AA9</f>
        <v>0.54042025148908013</v>
      </c>
      <c r="AB46" s="1766">
        <f>AB12/AB9</f>
        <v>0.50682209756295626</v>
      </c>
      <c r="AC46" s="1773">
        <f>AC12/AC9</f>
        <v>0.5393258426966292</v>
      </c>
      <c r="AD46" s="734"/>
      <c r="AE46" s="1774">
        <f>AE12/AE9</f>
        <v>0.52161141418380197</v>
      </c>
      <c r="AF46" s="1766">
        <f>AF12/AF9</f>
        <v>0.58394863563402888</v>
      </c>
      <c r="AG46" s="1766">
        <f>AG12/AG9</f>
        <v>0.5410987195373812</v>
      </c>
      <c r="AH46" s="1766">
        <f>AH12/AH9</f>
        <v>0.52315989847715749</v>
      </c>
      <c r="AI46" s="1773">
        <f>AI12/AI9</f>
        <v>0.54385331045072716</v>
      </c>
      <c r="AJ46" s="734"/>
      <c r="AK46" s="1774">
        <f>AK12/AK9</f>
        <v>0.55444685466377441</v>
      </c>
      <c r="AL46" s="1766">
        <f>AL12/AL9</f>
        <v>0.55960396039603966</v>
      </c>
      <c r="AM46" s="1766">
        <f>AM12/AM9</f>
        <v>0.55035835533760857</v>
      </c>
      <c r="AN46" s="1766">
        <f>AN12/AN9</f>
        <v>0.51200873362445432</v>
      </c>
      <c r="AO46" s="1773">
        <f>AO12/AO9</f>
        <v>0.5406908927770302</v>
      </c>
      <c r="AP46" s="734"/>
      <c r="AQ46" s="1774">
        <f>AQ12/AQ9</f>
        <v>0.54447245228664021</v>
      </c>
      <c r="AR46" s="1766">
        <f>AR12/AR9</f>
        <v>0.5476902625456963</v>
      </c>
      <c r="AS46" s="1766">
        <f>AS12/AS9</f>
        <v>0.50999355254674406</v>
      </c>
      <c r="AT46" s="1766">
        <f>AT12/AT9</f>
        <v>0.51213650564768098</v>
      </c>
      <c r="AU46" s="1773">
        <f>AU12/AU9</f>
        <v>0.52670702735841823</v>
      </c>
      <c r="AV46" s="734"/>
      <c r="AW46" s="1774">
        <f>AW12/AW9</f>
        <v>0.52521008403361347</v>
      </c>
      <c r="AX46" s="1766">
        <f>AX12/AX9</f>
        <v>0.5204386839481554</v>
      </c>
      <c r="AY46" s="1766">
        <f>AY12/AY9</f>
        <v>0.53369980879541112</v>
      </c>
      <c r="AZ46" s="1766">
        <f>AZ12/AZ9</f>
        <v>0.5348347716270262</v>
      </c>
      <c r="BA46" s="1773">
        <f>BA12/BA9</f>
        <v>0.52897015196464259</v>
      </c>
      <c r="BB46" s="734"/>
      <c r="BC46" s="1774">
        <f>BC12/BC9</f>
        <v>0.51824457593688367</v>
      </c>
      <c r="BD46" s="1766">
        <f>BD12/BD9</f>
        <v>0.53743760399334439</v>
      </c>
      <c r="BE46" s="1766">
        <f>BE12/BE9</f>
        <v>0.51674854845913354</v>
      </c>
      <c r="BF46" s="1766">
        <f>BF12/BF9</f>
        <v>0.52271409240286093</v>
      </c>
      <c r="BG46" s="1773">
        <f>BG12/BG9</f>
        <v>0.52366863905325445</v>
      </c>
      <c r="BH46" s="734"/>
      <c r="BI46" s="1774">
        <f>BI12/BI9</f>
        <v>0.54372140315200812</v>
      </c>
      <c r="BJ46" s="1766">
        <f>BJ12/BJ9</f>
        <v>0.54605407781930093</v>
      </c>
      <c r="BK46" s="1766">
        <f>BK12/BK9</f>
        <v>0.54851936218678821</v>
      </c>
      <c r="BL46" s="1766">
        <f>BL12/BL9</f>
        <v>0.55026263358087302</v>
      </c>
      <c r="BM46" s="1773">
        <f>BM12/BM9</f>
        <v>0.54740676307491576</v>
      </c>
      <c r="BN46" s="816"/>
      <c r="BO46" s="1774">
        <f>BO12/BO9</f>
        <v>0.55817795610101484</v>
      </c>
      <c r="BP46" s="1766">
        <f>BP12/BP9</f>
        <v>0.53694796676869272</v>
      </c>
      <c r="BQ46" s="1766">
        <f>BQ12/BQ9</f>
        <v>0.55812291567413053</v>
      </c>
      <c r="BR46" s="1766">
        <f>BR12/BR9</f>
        <v>0.56062992125984235</v>
      </c>
      <c r="BS46" s="1773">
        <f>BS12/BS9</f>
        <v>0.55348554370059155</v>
      </c>
      <c r="BT46" s="734"/>
      <c r="BU46" s="1774">
        <f>BU12/BU9</f>
        <v>0.52729844413012728</v>
      </c>
      <c r="BV46" s="1766">
        <f>BV12/BV9</f>
        <v>0.54949494949494959</v>
      </c>
      <c r="BW46" s="1766">
        <f>BW12/BW9</f>
        <v>0.53875284019187075</v>
      </c>
      <c r="BX46" s="1766">
        <f>BX12/BX9</f>
        <v>0.53408615641990798</v>
      </c>
      <c r="BY46" s="1773">
        <f>BY12/BY9</f>
        <v>0.53750461879541811</v>
      </c>
      <c r="BZ46" s="734"/>
      <c r="CA46" s="1774">
        <f>CA12/CA9</f>
        <v>0.53276505061267976</v>
      </c>
      <c r="CB46" s="1766">
        <f>CB12/CB9</f>
        <v>0.52407855797686298</v>
      </c>
      <c r="CC46" s="1766">
        <f>CC12/CC9</f>
        <v>0.51104341203351111</v>
      </c>
      <c r="CD46" s="1766">
        <f>CD12/CD9</f>
        <v>0.51201360833510534</v>
      </c>
      <c r="CE46" s="1773">
        <f>CE12/CE9</f>
        <v>0.5193942779122448</v>
      </c>
      <c r="CF46" s="734"/>
      <c r="CG46" s="1774">
        <f>CG12/CG9</f>
        <v>0.52351260067550021</v>
      </c>
      <c r="CH46" s="1766">
        <f>CH12/CH9</f>
        <v>0.5341046035189202</v>
      </c>
      <c r="CI46" s="1766">
        <f>CI12/CI9</f>
        <v>0.52387511478420568</v>
      </c>
      <c r="CJ46" s="1766">
        <f>CJ12/CJ9</f>
        <v>0.50047125353440125</v>
      </c>
      <c r="CK46" s="1773">
        <f>CK12/CK9</f>
        <v>0.51916869584914205</v>
      </c>
      <c r="CL46" s="734"/>
      <c r="CM46" s="1774">
        <f>CM12/CM9</f>
        <v>0.54600000000000004</v>
      </c>
      <c r="CN46" s="1766">
        <f>CN12/CN9</f>
        <v>0.54600000000000004</v>
      </c>
      <c r="CO46" s="1766">
        <f>CO12/CO9</f>
        <v>0.502</v>
      </c>
      <c r="CP46" s="1766">
        <f>CP12/CP9</f>
        <v>0.46199999999999997</v>
      </c>
      <c r="CQ46" s="1773">
        <f>CQ12/CQ9</f>
        <v>0.51027041973973886</v>
      </c>
      <c r="CR46" s="734"/>
      <c r="CS46" s="1774">
        <f>CS12/CS9</f>
        <v>0.504</v>
      </c>
      <c r="CT46" s="1766">
        <f>CT12/CT9</f>
        <v>0.504</v>
      </c>
      <c r="CU46" s="1766">
        <f>CU12/CU9</f>
        <v>0.504</v>
      </c>
      <c r="CV46" s="1766">
        <f>CV12/CV9</f>
        <v>0.504</v>
      </c>
      <c r="CW46" s="1773">
        <f>CW12/CW9</f>
        <v>0.50400000000000011</v>
      </c>
      <c r="CX46" s="1766"/>
      <c r="CY46" s="1774">
        <f>CY12/CY9</f>
        <v>0.498</v>
      </c>
      <c r="CZ46" s="1766">
        <f>CZ12/CZ9</f>
        <v>0.498</v>
      </c>
      <c r="DA46" s="1766">
        <f>DA12/DA9</f>
        <v>0.498</v>
      </c>
      <c r="DB46" s="1766">
        <f>DB12/DB9</f>
        <v>0.498</v>
      </c>
      <c r="DC46" s="1773">
        <f>DC12/DC9</f>
        <v>0.498</v>
      </c>
      <c r="DD46" s="1766"/>
      <c r="DE46" s="1774">
        <f>DE12/DE9</f>
        <v>0.49099999999999999</v>
      </c>
      <c r="DF46" s="1766">
        <f>DF12/DF9</f>
        <v>0.49099999999999999</v>
      </c>
      <c r="DG46" s="1766">
        <f>DG12/DG9</f>
        <v>0.49099999999999999</v>
      </c>
      <c r="DH46" s="1766">
        <f>DH12/DH9</f>
        <v>0.49099999999999999</v>
      </c>
      <c r="DI46" s="1773">
        <f>DI12/DI9</f>
        <v>0.49099999999999999</v>
      </c>
      <c r="DJ46"/>
      <c r="DK46"/>
      <c r="DL46"/>
      <c r="DM46"/>
      <c r="DN46"/>
      <c r="DO46"/>
      <c r="DU46" s="1677">
        <v>100</v>
      </c>
      <c r="DV46" s="1677">
        <v>106</v>
      </c>
      <c r="DW46" s="1678"/>
    </row>
    <row r="47" spans="1:127" s="10" customFormat="1" ht="11.25" customHeight="1">
      <c r="A47" s="1435" t="s">
        <v>259</v>
      </c>
      <c r="B47" s="734"/>
      <c r="C47" s="1773">
        <f>1-(C13/C10)</f>
        <v>0.51012276813506974</v>
      </c>
      <c r="D47" s="734"/>
      <c r="E47" s="1773">
        <f>1-(E13/E10)</f>
        <v>0.47842296271857476</v>
      </c>
      <c r="F47" s="734"/>
      <c r="G47" s="1773">
        <f>1-(G13/G10)</f>
        <v>0.52405980848445943</v>
      </c>
      <c r="H47" s="734"/>
      <c r="I47" s="1773">
        <f>1-(I13/I10)</f>
        <v>0.52500408652536368</v>
      </c>
      <c r="J47" s="734"/>
      <c r="K47" s="1773">
        <f>1-(K13/K10)</f>
        <v>0.46340954454726913</v>
      </c>
      <c r="L47" s="734"/>
      <c r="M47" s="1773">
        <f>1-(M13/M10)</f>
        <v>0.41617026972759519</v>
      </c>
      <c r="N47" s="734"/>
      <c r="O47" s="1773">
        <f>1-(O13/O10)</f>
        <v>0.41908301957756011</v>
      </c>
      <c r="P47" s="734"/>
      <c r="Q47" s="1773">
        <f>1-(Q13/Q10)</f>
        <v>0.45718647936573464</v>
      </c>
      <c r="R47" s="734"/>
      <c r="S47" s="1774">
        <f t="shared" ref="S47:W48" si="18">1-(S13/S10)</f>
        <v>0.46669290681170306</v>
      </c>
      <c r="T47" s="1766">
        <f t="shared" si="18"/>
        <v>0.45613856342333159</v>
      </c>
      <c r="U47" s="1766">
        <f t="shared" si="18"/>
        <v>0.4489274214602732</v>
      </c>
      <c r="V47" s="1766">
        <f t="shared" si="18"/>
        <v>0.47515857992095922</v>
      </c>
      <c r="W47" s="1773">
        <f t="shared" si="18"/>
        <v>0.46267306032016808</v>
      </c>
      <c r="X47" s="734"/>
      <c r="Y47" s="1774">
        <f t="shared" ref="Y47:AC48" si="19">1-(Y13/Y10)</f>
        <v>0.4678182248677103</v>
      </c>
      <c r="Z47" s="1766">
        <f t="shared" si="19"/>
        <v>0.42519876104426269</v>
      </c>
      <c r="AA47" s="1766">
        <f t="shared" si="19"/>
        <v>0.46522855104291172</v>
      </c>
      <c r="AB47" s="1766">
        <f t="shared" si="19"/>
        <v>0.5080863680393749</v>
      </c>
      <c r="AC47" s="1773">
        <f t="shared" si="19"/>
        <v>0.47087166009636439</v>
      </c>
      <c r="AD47" s="734"/>
      <c r="AE47" s="1774">
        <f t="shared" ref="AE47:AI48" si="20">1-(AE13/AE10)</f>
        <v>0.49495919347095541</v>
      </c>
      <c r="AF47" s="1766">
        <f t="shared" si="20"/>
        <v>0.42026400285408494</v>
      </c>
      <c r="AG47" s="1766">
        <f t="shared" si="20"/>
        <v>0.45892351274787546</v>
      </c>
      <c r="AH47" s="1766">
        <f t="shared" si="20"/>
        <v>0.47103825136611999</v>
      </c>
      <c r="AI47" s="1773">
        <f t="shared" si="20"/>
        <v>0.45891886347317667</v>
      </c>
      <c r="AJ47" s="734"/>
      <c r="AK47" s="1774">
        <f t="shared" ref="AK47:AO48" si="21">1-(AK13/AK10)</f>
        <v>0.44757665677546976</v>
      </c>
      <c r="AL47" s="1766">
        <f t="shared" si="21"/>
        <v>0.43831314490803053</v>
      </c>
      <c r="AM47" s="1766">
        <f t="shared" si="21"/>
        <v>0.44560034677069782</v>
      </c>
      <c r="AN47" s="1766">
        <f t="shared" si="21"/>
        <v>0.49286798179059155</v>
      </c>
      <c r="AO47" s="1773">
        <f t="shared" si="21"/>
        <v>0.46016441692885401</v>
      </c>
      <c r="AP47" s="734"/>
      <c r="AQ47" s="1774">
        <f t="shared" ref="AQ47:AU48" si="22">1-(AQ13/AQ10)</f>
        <v>0.45081967213114749</v>
      </c>
      <c r="AR47" s="1766">
        <f t="shared" si="22"/>
        <v>0.44269662921348307</v>
      </c>
      <c r="AS47" s="1766">
        <f t="shared" si="22"/>
        <v>0.48683722654801642</v>
      </c>
      <c r="AT47" s="1766">
        <f t="shared" si="22"/>
        <v>0.49355634768302714</v>
      </c>
      <c r="AU47" s="1773">
        <f t="shared" si="22"/>
        <v>0.47101449275362328</v>
      </c>
      <c r="AV47" s="734"/>
      <c r="AW47" s="1774">
        <f t="shared" ref="AW47:BA48" si="23">1-(AW13/AW10)</f>
        <v>0.47773149631528355</v>
      </c>
      <c r="AX47" s="1766">
        <f t="shared" si="23"/>
        <v>0.48026128940641877</v>
      </c>
      <c r="AY47" s="1766">
        <f t="shared" si="23"/>
        <v>0.46248294679399726</v>
      </c>
      <c r="AZ47" s="1766">
        <f t="shared" si="23"/>
        <v>0.4593878042901901</v>
      </c>
      <c r="BA47" s="1773">
        <f t="shared" si="23"/>
        <v>0.46921693414499166</v>
      </c>
      <c r="BB47" s="734"/>
      <c r="BC47" s="1774">
        <f t="shared" ref="BC47:BG48" si="24">1-(BC13/BC10)</f>
        <v>0.4843661171119954</v>
      </c>
      <c r="BD47" s="1766">
        <f t="shared" si="24"/>
        <v>0.45143011332973559</v>
      </c>
      <c r="BE47" s="1766">
        <f t="shared" si="24"/>
        <v>0.47226624405705231</v>
      </c>
      <c r="BF47" s="1766">
        <f t="shared" si="24"/>
        <v>0.48930845225027464</v>
      </c>
      <c r="BG47" s="1773">
        <f t="shared" si="24"/>
        <v>0.47502730485062639</v>
      </c>
      <c r="BH47" s="734"/>
      <c r="BI47" s="1774">
        <f t="shared" ref="BI47:BM48" si="25">1-(BI13/BI10)</f>
        <v>0.46861184792219268</v>
      </c>
      <c r="BJ47" s="1766">
        <f t="shared" si="25"/>
        <v>0.46385237613751262</v>
      </c>
      <c r="BK47" s="1766">
        <f t="shared" si="25"/>
        <v>0.47116883116883124</v>
      </c>
      <c r="BL47" s="1766">
        <f t="shared" si="25"/>
        <v>0.45391658189216688</v>
      </c>
      <c r="BM47" s="1773">
        <f t="shared" si="25"/>
        <v>0.46357204914980754</v>
      </c>
      <c r="BN47" s="816"/>
      <c r="BO47" s="1774">
        <f t="shared" ref="BO47:BS48" si="26">1-(BO13/BO10)</f>
        <v>0.45479377219338979</v>
      </c>
      <c r="BP47" s="1766">
        <f t="shared" si="26"/>
        <v>0.48383053396841313</v>
      </c>
      <c r="BQ47" s="1766">
        <f t="shared" si="26"/>
        <v>0.45775814467145215</v>
      </c>
      <c r="BR47" s="1766">
        <f t="shared" si="26"/>
        <v>0.43849786372835631</v>
      </c>
      <c r="BS47" s="1773">
        <f t="shared" si="26"/>
        <v>0.45823525669571863</v>
      </c>
      <c r="BT47" s="734"/>
      <c r="BU47" s="1774">
        <f t="shared" ref="BU47:BY48" si="27">1-(BU13/BU10)</f>
        <v>0.48221476510067107</v>
      </c>
      <c r="BV47" s="1766">
        <f t="shared" si="27"/>
        <v>0.45716835217132645</v>
      </c>
      <c r="BW47" s="1766">
        <f t="shared" si="27"/>
        <v>0.46832038254632402</v>
      </c>
      <c r="BX47" s="1766">
        <f t="shared" si="27"/>
        <v>0.47344166868784865</v>
      </c>
      <c r="BY47" s="1773">
        <f t="shared" si="27"/>
        <v>0.47013250307725729</v>
      </c>
      <c r="BZ47" s="734"/>
      <c r="CA47" s="1774">
        <f t="shared" ref="CA47:CE48" si="28">1-(CA13/CA10)</f>
        <v>0.48254883125200132</v>
      </c>
      <c r="CB47" s="1766">
        <f t="shared" si="28"/>
        <v>0.49116492146596857</v>
      </c>
      <c r="CC47" s="1766">
        <f t="shared" si="28"/>
        <v>0.49786715417428395</v>
      </c>
      <c r="CD47" s="1766">
        <f t="shared" si="28"/>
        <v>0.49812171299774588</v>
      </c>
      <c r="CE47" s="1773">
        <f t="shared" si="28"/>
        <v>0.49286457559090235</v>
      </c>
      <c r="CF47" s="734"/>
      <c r="CG47" s="1774">
        <f t="shared" ref="CG47:CK47" si="29">1-(CG13/CG10)</f>
        <v>0.48040137974286612</v>
      </c>
      <c r="CH47" s="1766">
        <f t="shared" si="29"/>
        <v>0.47181266261925414</v>
      </c>
      <c r="CI47" s="1766">
        <f t="shared" si="29"/>
        <v>0.48655323819978047</v>
      </c>
      <c r="CJ47" s="1766">
        <f t="shared" si="29"/>
        <v>0.51343548745280931</v>
      </c>
      <c r="CK47" s="1773">
        <f t="shared" si="29"/>
        <v>0.48996282527881041</v>
      </c>
      <c r="CL47" s="734"/>
      <c r="CM47" s="1776"/>
      <c r="CN47" s="1775"/>
      <c r="CO47" s="1775"/>
      <c r="CP47" s="1777"/>
      <c r="CQ47" s="1773"/>
      <c r="CR47" s="734"/>
      <c r="CS47" s="1776"/>
      <c r="CT47" s="1775"/>
      <c r="CU47" s="1775"/>
      <c r="CV47" s="1777"/>
      <c r="CW47" s="1773"/>
      <c r="CX47" s="1766"/>
      <c r="CY47" s="1776"/>
      <c r="CZ47" s="1775"/>
      <c r="DA47" s="1775"/>
      <c r="DB47" s="1777"/>
      <c r="DC47" s="1773"/>
      <c r="DD47" s="1766"/>
      <c r="DE47" s="1776"/>
      <c r="DF47" s="1775"/>
      <c r="DG47" s="1775"/>
      <c r="DH47" s="1777"/>
      <c r="DI47" s="1773"/>
      <c r="DJ47"/>
      <c r="DK47"/>
      <c r="DL47"/>
      <c r="DM47"/>
      <c r="DN47"/>
      <c r="DO47"/>
      <c r="DU47" s="1679">
        <v>0.4</v>
      </c>
      <c r="DV47" s="1679">
        <f>+(DV46-DV49)/DV46</f>
        <v>0.43396226415094341</v>
      </c>
      <c r="DW47" s="1679">
        <f>+DV47*0.3</f>
        <v>0.13018867924528302</v>
      </c>
    </row>
    <row r="48" spans="1:127" s="10" customFormat="1" ht="11.25" customHeight="1">
      <c r="A48" s="1435" t="s">
        <v>260</v>
      </c>
      <c r="B48" s="734"/>
      <c r="C48" s="1773">
        <f>1-(C14/C11)</f>
        <v>1</v>
      </c>
      <c r="D48" s="734"/>
      <c r="E48" s="1773">
        <f>1-(E14/E11)</f>
        <v>1</v>
      </c>
      <c r="F48" s="734"/>
      <c r="G48" s="1773">
        <f>1-(G14/G11)</f>
        <v>1</v>
      </c>
      <c r="H48" s="734"/>
      <c r="I48" s="1773">
        <f>1-(I14/I11)</f>
        <v>1</v>
      </c>
      <c r="J48" s="734"/>
      <c r="K48" s="1773">
        <f>1-(K14/K11)</f>
        <v>1</v>
      </c>
      <c r="L48" s="734"/>
      <c r="M48" s="1773">
        <f>1-(M14/M11)</f>
        <v>0.36493548536280807</v>
      </c>
      <c r="N48" s="734"/>
      <c r="O48" s="1773">
        <f>1-(O14/O11)</f>
        <v>0.39826601328036659</v>
      </c>
      <c r="P48" s="734"/>
      <c r="Q48" s="1773">
        <f>1-(Q14/Q11)</f>
        <v>0.35882339197682289</v>
      </c>
      <c r="R48" s="734"/>
      <c r="S48" s="1774">
        <f t="shared" si="18"/>
        <v>0.42015433499773047</v>
      </c>
      <c r="T48" s="1766">
        <f t="shared" si="18"/>
        <v>0.48814619690484029</v>
      </c>
      <c r="U48" s="1766">
        <f t="shared" si="18"/>
        <v>0.37969401947148818</v>
      </c>
      <c r="V48" s="1766">
        <f t="shared" si="18"/>
        <v>0.39141031552598649</v>
      </c>
      <c r="W48" s="1773">
        <f t="shared" si="18"/>
        <v>0.41754084935459967</v>
      </c>
      <c r="X48" s="734"/>
      <c r="Y48" s="1774">
        <f t="shared" si="19"/>
        <v>0.36980753654491461</v>
      </c>
      <c r="Z48" s="1766">
        <f t="shared" si="19"/>
        <v>0.37450736729984013</v>
      </c>
      <c r="AA48" s="1766">
        <f t="shared" si="19"/>
        <v>0.41254532829257007</v>
      </c>
      <c r="AB48" s="1766">
        <f t="shared" si="19"/>
        <v>0.37692032868881786</v>
      </c>
      <c r="AC48" s="1773">
        <f t="shared" si="19"/>
        <v>0.38255033557046991</v>
      </c>
      <c r="AD48" s="734"/>
      <c r="AE48" s="1774">
        <f t="shared" si="20"/>
        <v>0.36333333333333329</v>
      </c>
      <c r="AF48" s="1766">
        <f t="shared" si="20"/>
        <v>0.37820512820512819</v>
      </c>
      <c r="AG48" s="1766">
        <f t="shared" si="20"/>
        <v>0.45874587458745886</v>
      </c>
      <c r="AH48" s="1766">
        <f t="shared" si="20"/>
        <v>0.51597051597051635</v>
      </c>
      <c r="AI48" s="1773">
        <f t="shared" si="20"/>
        <v>0.43570347957639954</v>
      </c>
      <c r="AJ48" s="734"/>
      <c r="AK48" s="1774">
        <f t="shared" si="21"/>
        <v>0.43109540636042387</v>
      </c>
      <c r="AL48" s="1766">
        <f t="shared" si="21"/>
        <v>0.45608108108108103</v>
      </c>
      <c r="AM48" s="1766">
        <f t="shared" si="21"/>
        <v>0.47674418604651159</v>
      </c>
      <c r="AN48" s="1766">
        <f t="shared" si="21"/>
        <v>0.44444444444444475</v>
      </c>
      <c r="AO48" s="1773">
        <f t="shared" si="21"/>
        <v>0.45278637770897834</v>
      </c>
      <c r="AP48" s="734"/>
      <c r="AQ48" s="1774">
        <f t="shared" si="22"/>
        <v>0.48961424332344217</v>
      </c>
      <c r="AR48" s="1766">
        <f t="shared" si="22"/>
        <v>0.528023598820059</v>
      </c>
      <c r="AS48" s="1766">
        <f t="shared" si="22"/>
        <v>0.51111111111111107</v>
      </c>
      <c r="AT48" s="1766">
        <f t="shared" si="22"/>
        <v>0.44747081712062187</v>
      </c>
      <c r="AU48" s="1773">
        <f t="shared" si="22"/>
        <v>0.48965517241379286</v>
      </c>
      <c r="AV48" s="734"/>
      <c r="AW48" s="1774">
        <f t="shared" si="23"/>
        <v>0.45434298440979959</v>
      </c>
      <c r="AX48" s="1766">
        <f t="shared" si="23"/>
        <v>0.47454175152749489</v>
      </c>
      <c r="AY48" s="1766">
        <f t="shared" si="23"/>
        <v>0.49325626204238926</v>
      </c>
      <c r="AZ48" s="1766">
        <f t="shared" si="23"/>
        <v>0.50498338870431891</v>
      </c>
      <c r="BA48" s="1773">
        <f t="shared" si="23"/>
        <v>0.48374575448811263</v>
      </c>
      <c r="BB48" s="734"/>
      <c r="BC48" s="1774">
        <f t="shared" si="24"/>
        <v>0.46468401486988853</v>
      </c>
      <c r="BD48" s="1766">
        <f t="shared" si="24"/>
        <v>0.54491017964071864</v>
      </c>
      <c r="BE48" s="1766">
        <f t="shared" si="24"/>
        <v>0.54335260115606943</v>
      </c>
      <c r="BF48" s="1766">
        <f t="shared" si="24"/>
        <v>0.38867313915857571</v>
      </c>
      <c r="BG48" s="1773">
        <f t="shared" si="24"/>
        <v>0.48497232865048956</v>
      </c>
      <c r="BH48" s="734"/>
      <c r="BI48" s="1774">
        <f t="shared" si="25"/>
        <v>0.37892791127541592</v>
      </c>
      <c r="BJ48" s="1766">
        <f t="shared" si="25"/>
        <v>0.38785834738617209</v>
      </c>
      <c r="BK48" s="1766">
        <f t="shared" si="25"/>
        <v>0.31111111111111101</v>
      </c>
      <c r="BL48" s="1766">
        <f t="shared" si="25"/>
        <v>0.41584158415841588</v>
      </c>
      <c r="BM48" s="1773">
        <f t="shared" si="25"/>
        <v>0.375</v>
      </c>
      <c r="BN48" s="816"/>
      <c r="BO48" s="1774">
        <f t="shared" si="26"/>
        <v>0.359375</v>
      </c>
      <c r="BP48" s="1766">
        <f t="shared" si="26"/>
        <v>0.32136752136752134</v>
      </c>
      <c r="BQ48" s="1766">
        <f t="shared" si="26"/>
        <v>0.34201388888888895</v>
      </c>
      <c r="BR48" s="1766">
        <f t="shared" si="26"/>
        <v>0.44549763033175371</v>
      </c>
      <c r="BS48" s="1773">
        <f t="shared" si="26"/>
        <v>0.36877637130801688</v>
      </c>
      <c r="BT48" s="734"/>
      <c r="BU48" s="1774">
        <f t="shared" si="27"/>
        <v>0.42162162162162165</v>
      </c>
      <c r="BV48" s="1766">
        <f t="shared" si="27"/>
        <v>0.41304347826086962</v>
      </c>
      <c r="BW48" s="1766">
        <f t="shared" si="27"/>
        <v>0.42276422764227639</v>
      </c>
      <c r="BX48" s="1766">
        <f t="shared" si="27"/>
        <v>0.41881638846737468</v>
      </c>
      <c r="BY48" s="1773">
        <f t="shared" si="27"/>
        <v>0.41903584672435101</v>
      </c>
      <c r="BZ48" s="734"/>
      <c r="CA48" s="1774">
        <f t="shared" si="28"/>
        <v>0.39144215530903337</v>
      </c>
      <c r="CB48" s="1766">
        <f t="shared" si="28"/>
        <v>0.40544629349470496</v>
      </c>
      <c r="CC48" s="1766">
        <f t="shared" si="28"/>
        <v>0.44444444444444442</v>
      </c>
      <c r="CD48" s="1766">
        <f t="shared" si="28"/>
        <v>0.43098591549295762</v>
      </c>
      <c r="CE48" s="1773">
        <f t="shared" si="28"/>
        <v>0.41857841293719444</v>
      </c>
      <c r="CF48" s="734"/>
      <c r="CG48" s="1774">
        <f t="shared" ref="CG48:CK48" si="30">1-(CG14/CG11)</f>
        <v>0.45757575757575752</v>
      </c>
      <c r="CH48" s="1766">
        <f t="shared" si="30"/>
        <v>0.43623188405797098</v>
      </c>
      <c r="CI48" s="1766">
        <f t="shared" si="30"/>
        <v>0.422752808988764</v>
      </c>
      <c r="CJ48" s="1766">
        <f t="shared" si="30"/>
        <v>0.42144638403990009</v>
      </c>
      <c r="CK48" s="1773">
        <f t="shared" si="30"/>
        <v>0.43365921787709483</v>
      </c>
      <c r="CL48" s="734"/>
      <c r="CM48" s="1776"/>
      <c r="CN48" s="1775"/>
      <c r="CO48" s="1775"/>
      <c r="CP48" s="1777"/>
      <c r="CQ48" s="1773"/>
      <c r="CR48" s="734"/>
      <c r="CS48" s="1776"/>
      <c r="CT48" s="1775"/>
      <c r="CU48" s="1775"/>
      <c r="CV48" s="1777"/>
      <c r="CW48" s="1773"/>
      <c r="CX48" s="1766"/>
      <c r="CY48" s="1776"/>
      <c r="CZ48" s="1775"/>
      <c r="DA48" s="1775"/>
      <c r="DB48" s="1777"/>
      <c r="DC48" s="1773"/>
      <c r="DD48" s="1766"/>
      <c r="DE48" s="1776"/>
      <c r="DF48" s="1775"/>
      <c r="DG48" s="1775"/>
      <c r="DH48" s="1777"/>
      <c r="DI48" s="1773"/>
      <c r="DJ48"/>
      <c r="DK48"/>
      <c r="DL48"/>
      <c r="DM48"/>
      <c r="DN48"/>
      <c r="DO48"/>
      <c r="DU48" s="1677">
        <f>+DU46*DU47</f>
        <v>40</v>
      </c>
      <c r="DV48" s="1677"/>
      <c r="DW48" s="1680"/>
    </row>
    <row r="49" spans="1:127" s="10" customFormat="1" ht="11.25" customHeight="1">
      <c r="A49" s="1778" t="s">
        <v>45</v>
      </c>
      <c r="B49" s="734"/>
      <c r="C49" s="1779">
        <f>C15/C9</f>
        <v>0.53391617504205457</v>
      </c>
      <c r="D49" s="734"/>
      <c r="E49" s="1779">
        <f>E15/E9</f>
        <v>0.5112382130159222</v>
      </c>
      <c r="F49" s="734"/>
      <c r="G49" s="1779">
        <f>G15/G9</f>
        <v>0.5354298843372236</v>
      </c>
      <c r="H49" s="734"/>
      <c r="I49" s="1779">
        <f>I15/I9</f>
        <v>0.52974938235643154</v>
      </c>
      <c r="J49" s="734"/>
      <c r="K49" s="1779">
        <f>K15/K9</f>
        <v>0.46393967134660874</v>
      </c>
      <c r="L49" s="734"/>
      <c r="M49" s="1779">
        <f>M15/M9</f>
        <v>0.41192040785794026</v>
      </c>
      <c r="N49" s="734"/>
      <c r="O49" s="1779">
        <f>O15/O9</f>
        <v>0.41655884338433846</v>
      </c>
      <c r="P49" s="734"/>
      <c r="Q49" s="1779">
        <f>Q15/Q9</f>
        <v>0.44587686331607801</v>
      </c>
      <c r="R49" s="734"/>
      <c r="S49" s="1780">
        <f>S15/S9</f>
        <v>0.46128869022518337</v>
      </c>
      <c r="T49" s="1767">
        <f>T15/T9</f>
        <v>0.46000816058437738</v>
      </c>
      <c r="U49" s="1767">
        <f>U15/U9</f>
        <v>0.44038333174406413</v>
      </c>
      <c r="V49" s="1767">
        <f>V15/V9</f>
        <v>0.46578433179723522</v>
      </c>
      <c r="W49" s="1779">
        <f>W15/W9</f>
        <v>0.45736220671172972</v>
      </c>
      <c r="X49" s="734"/>
      <c r="Y49" s="1780">
        <f>Y15/Y9</f>
        <v>0.45557397270834937</v>
      </c>
      <c r="Z49" s="1767">
        <f>Z15/Z9</f>
        <v>0.41920853227714794</v>
      </c>
      <c r="AA49" s="1767">
        <f>AA15/AA9</f>
        <v>0.45957974851091982</v>
      </c>
      <c r="AB49" s="1767">
        <f>AB15/AB9</f>
        <v>0.49317790243704368</v>
      </c>
      <c r="AC49" s="1779">
        <f>AC15/AC9</f>
        <v>0.46067415730337075</v>
      </c>
      <c r="AD49" s="734"/>
      <c r="AE49" s="1780">
        <f>AE15/AE9</f>
        <v>0.47838858581619803</v>
      </c>
      <c r="AF49" s="1767">
        <f>AF15/AF9</f>
        <v>0.41605136436597107</v>
      </c>
      <c r="AG49" s="1767">
        <f>AG15/AG9</f>
        <v>0.4589012804626188</v>
      </c>
      <c r="AH49" s="1767">
        <f>AH15/AH9</f>
        <v>0.47684010152284251</v>
      </c>
      <c r="AI49" s="1779">
        <f>AI15/AI9</f>
        <v>0.45614668954927279</v>
      </c>
      <c r="AJ49" s="734"/>
      <c r="AK49" s="1780">
        <f>AK15/AK9</f>
        <v>0.44555314533622553</v>
      </c>
      <c r="AL49" s="1767">
        <f>AL15/AL9</f>
        <v>0.44039603960396034</v>
      </c>
      <c r="AM49" s="1767">
        <f>AM15/AM9</f>
        <v>0.44964164466239148</v>
      </c>
      <c r="AN49" s="1767">
        <f>AN15/AN9</f>
        <v>0.48799126637554568</v>
      </c>
      <c r="AO49" s="1779">
        <f>AO15/AO9</f>
        <v>0.4593091072229698</v>
      </c>
      <c r="AP49" s="734"/>
      <c r="AQ49" s="1780">
        <f>AQ15/AQ9</f>
        <v>0.45552754771335974</v>
      </c>
      <c r="AR49" s="1767">
        <f>AR15/AR9</f>
        <v>0.4523097374543037</v>
      </c>
      <c r="AS49" s="1767">
        <f>AS15/AS9</f>
        <v>0.490006447453256</v>
      </c>
      <c r="AT49" s="1767">
        <f>AT15/AT9</f>
        <v>0.48786349435231907</v>
      </c>
      <c r="AU49" s="1779">
        <f>AU15/AU9</f>
        <v>0.47329297264158182</v>
      </c>
      <c r="AV49" s="734"/>
      <c r="AW49" s="1780">
        <f>AW15/AW9</f>
        <v>0.47478991596638653</v>
      </c>
      <c r="AX49" s="1767">
        <f>AX15/AX9</f>
        <v>0.47956131605184465</v>
      </c>
      <c r="AY49" s="1767">
        <f>AY15/AY9</f>
        <v>0.46630019120458888</v>
      </c>
      <c r="AZ49" s="1767">
        <f>AZ15/AZ9</f>
        <v>0.46516522837297386</v>
      </c>
      <c r="BA49" s="1779">
        <f>BA15/BA9</f>
        <v>0.47102984803535741</v>
      </c>
      <c r="BB49" s="734"/>
      <c r="BC49" s="1780">
        <f>BC15/BC9</f>
        <v>0.48175542406311628</v>
      </c>
      <c r="BD49" s="1767">
        <f>BD15/BD9</f>
        <v>0.46256239600665555</v>
      </c>
      <c r="BE49" s="1767">
        <f>BE15/BE9</f>
        <v>0.48325145154086646</v>
      </c>
      <c r="BF49" s="1767">
        <f>BF15/BF9</f>
        <v>0.47728590759713913</v>
      </c>
      <c r="BG49" s="1779">
        <f>BG15/BG9</f>
        <v>0.47633136094674555</v>
      </c>
      <c r="BH49" s="734"/>
      <c r="BI49" s="1780">
        <f>BI15/BI9</f>
        <v>0.45627859684799188</v>
      </c>
      <c r="BJ49" s="1767">
        <f>BJ15/BJ9</f>
        <v>0.45394592218069901</v>
      </c>
      <c r="BK49" s="1767">
        <f>BK15/BK9</f>
        <v>0.45148063781321179</v>
      </c>
      <c r="BL49" s="1767">
        <f>BL15/BL9</f>
        <v>0.44973736641912698</v>
      </c>
      <c r="BM49" s="1779">
        <f>BM15/BM9</f>
        <v>0.45259323692508424</v>
      </c>
      <c r="BN49" s="816"/>
      <c r="BO49" s="1780">
        <f>BO15/BO9</f>
        <v>0.44182204389898522</v>
      </c>
      <c r="BP49" s="1767">
        <f>BP15/BP9</f>
        <v>0.46305203323130734</v>
      </c>
      <c r="BQ49" s="1767">
        <f>BQ15/BQ9</f>
        <v>0.44187708432586947</v>
      </c>
      <c r="BR49" s="1767">
        <f>BR15/BR9</f>
        <v>0.43937007874015765</v>
      </c>
      <c r="BS49" s="1779">
        <f>BS15/BS9</f>
        <v>0.4465144562994085</v>
      </c>
      <c r="BT49" s="816"/>
      <c r="BU49" s="1780">
        <f>BU15/BU9</f>
        <v>0.47270155586987267</v>
      </c>
      <c r="BV49" s="1767">
        <f>BV15/BV9</f>
        <v>0.45050505050505046</v>
      </c>
      <c r="BW49" s="1767">
        <f>BW15/BW9</f>
        <v>0.4612471598081293</v>
      </c>
      <c r="BX49" s="1767">
        <f>BX15/BX9</f>
        <v>0.46591384358009197</v>
      </c>
      <c r="BY49" s="1779">
        <f>BY15/BY9</f>
        <v>0.46249538120458183</v>
      </c>
      <c r="BZ49" s="734"/>
      <c r="CA49" s="1780">
        <f>CA15/CA9</f>
        <v>0.46723494938732024</v>
      </c>
      <c r="CB49" s="1767">
        <f>CB15/CB9</f>
        <v>0.47592144202313696</v>
      </c>
      <c r="CC49" s="1767">
        <f>CC15/CC9</f>
        <v>0.48895658796648889</v>
      </c>
      <c r="CD49" s="1767">
        <f>CD15/CD9</f>
        <v>0.4879863916648946</v>
      </c>
      <c r="CE49" s="1779">
        <f>CE15/CE9</f>
        <v>0.4806057220877552</v>
      </c>
      <c r="CF49" s="734"/>
      <c r="CG49" s="1780">
        <f>CG15/CG9</f>
        <v>0.47648739932449985</v>
      </c>
      <c r="CH49" s="1767">
        <f>CH15/CH9</f>
        <v>0.46589539648107975</v>
      </c>
      <c r="CI49" s="1767">
        <f>CI15/CI9</f>
        <v>0.47612488521579427</v>
      </c>
      <c r="CJ49" s="1767">
        <f>CJ15/CJ9</f>
        <v>0.49952874646559869</v>
      </c>
      <c r="CK49" s="1779">
        <f>CK15/CK9</f>
        <v>0.48083130415085795</v>
      </c>
      <c r="CL49" s="734"/>
      <c r="CM49" s="1783">
        <v>0.45400000000000001</v>
      </c>
      <c r="CN49" s="1781">
        <v>0.45400000000000001</v>
      </c>
      <c r="CO49" s="1781">
        <v>0.498</v>
      </c>
      <c r="CP49" s="1782">
        <v>0.53800000000000003</v>
      </c>
      <c r="CQ49" s="1779">
        <f>CQ15/CQ9</f>
        <v>0.48972958026026114</v>
      </c>
      <c r="CR49" s="734"/>
      <c r="CS49" s="1783">
        <v>0.496</v>
      </c>
      <c r="CT49" s="1781">
        <f>+CS49</f>
        <v>0.496</v>
      </c>
      <c r="CU49" s="1781">
        <f>+CT49</f>
        <v>0.496</v>
      </c>
      <c r="CV49" s="1782">
        <f>+CU49</f>
        <v>0.496</v>
      </c>
      <c r="CW49" s="1779">
        <f>CW15/CW9</f>
        <v>0.49599999999999989</v>
      </c>
      <c r="CX49" s="1767"/>
      <c r="CY49" s="1783">
        <v>0.502</v>
      </c>
      <c r="CZ49" s="1781">
        <f>+CY49</f>
        <v>0.502</v>
      </c>
      <c r="DA49" s="1781">
        <f>+CZ49</f>
        <v>0.502</v>
      </c>
      <c r="DB49" s="1782">
        <f>+DA49</f>
        <v>0.502</v>
      </c>
      <c r="DC49" s="1779">
        <f>DC15/DC9</f>
        <v>0.502</v>
      </c>
      <c r="DD49" s="1767"/>
      <c r="DE49" s="1783">
        <v>0.50900000000000001</v>
      </c>
      <c r="DF49" s="1781">
        <f>+DE49</f>
        <v>0.50900000000000001</v>
      </c>
      <c r="DG49" s="1781">
        <f>+DF49</f>
        <v>0.50900000000000001</v>
      </c>
      <c r="DH49" s="1782">
        <f>+DG49</f>
        <v>0.50900000000000001</v>
      </c>
      <c r="DI49" s="1779">
        <f>DI15/DI9</f>
        <v>0.50900000000000001</v>
      </c>
      <c r="DJ49"/>
      <c r="DK49"/>
      <c r="DL49"/>
      <c r="DM49"/>
      <c r="DN49"/>
      <c r="DO49"/>
      <c r="DQ49" s="2025"/>
      <c r="DU49" s="1677">
        <f>+DU46-DU48</f>
        <v>60</v>
      </c>
      <c r="DV49" s="1677">
        <f>+DU49</f>
        <v>60</v>
      </c>
      <c r="DW49" s="1678"/>
    </row>
    <row r="50" spans="1:127" s="10" customFormat="1" ht="11.25" hidden="1" customHeight="1" outlineLevel="1">
      <c r="A50" s="1435" t="s">
        <v>46</v>
      </c>
      <c r="B50" s="734"/>
      <c r="C50" s="1784"/>
      <c r="D50" s="734"/>
      <c r="E50" s="1773">
        <f>(E15-C15)/(E9-C9)</f>
        <v>0.46866521371703102</v>
      </c>
      <c r="F50" s="734"/>
      <c r="G50" s="1773">
        <f>(G15-E15)/(G9-E9)</f>
        <v>0.66680658159838768</v>
      </c>
      <c r="H50" s="734"/>
      <c r="I50" s="1773">
        <f>(I15-G15)/(I9-G9)</f>
        <v>0.50270371060973351</v>
      </c>
      <c r="J50" s="734"/>
      <c r="K50" s="1773">
        <f>(K15-I15)/(K9-I9)</f>
        <v>0.41627138246579187</v>
      </c>
      <c r="L50" s="734"/>
      <c r="M50" s="1773">
        <f>(M15-K15)/(M9-K9)</f>
        <v>0.12510931760825636</v>
      </c>
      <c r="N50" s="734"/>
      <c r="O50" s="1773">
        <f>(O15-M15)/(O9-M9)</f>
        <v>0.46749799890466343</v>
      </c>
      <c r="P50" s="734"/>
      <c r="Q50" s="1773">
        <f>(Q15-O15)/(Q9-O9)</f>
        <v>0.54080854309687254</v>
      </c>
      <c r="R50" s="734"/>
      <c r="S50" s="1774"/>
      <c r="T50" s="1766"/>
      <c r="U50" s="1766"/>
      <c r="V50" s="1766"/>
      <c r="W50" s="1773">
        <f>(W15-Q15)/(W9-Q9)</f>
        <v>0.52460640757458998</v>
      </c>
      <c r="X50" s="734"/>
      <c r="Y50" s="1774">
        <f>(Y15-S15)/(Y9-S9)</f>
        <v>0.45076322328718499</v>
      </c>
      <c r="Z50" s="1766">
        <f>(Z15-T15)/(Z9-T9)</f>
        <v>0.38947040091687896</v>
      </c>
      <c r="AA50" s="1766">
        <f>(AA15-U15)/(AA9-U9)</f>
        <v>0.47428592300387157</v>
      </c>
      <c r="AB50" s="1766">
        <f>(AB15-V15)/(AB9-V9)</f>
        <v>0.51094258787302116</v>
      </c>
      <c r="AC50" s="1773">
        <f>(AC15-W15)/(AC9-W9)</f>
        <v>0.46309377336288021</v>
      </c>
      <c r="AD50" s="734"/>
      <c r="AE50" s="1774">
        <f>(AE15-Y15)/(AE9-Y9)</f>
        <v>0.63229749057339724</v>
      </c>
      <c r="AF50" s="1766">
        <f>(AF15-Z15)/(AF9-Z9)</f>
        <v>0.40576560321495936</v>
      </c>
      <c r="AG50" s="1766">
        <f>(AG15-AA15)/(AG9-AA9)</f>
        <v>-2.3529411764565248E-2</v>
      </c>
      <c r="AH50" s="1766">
        <f>(AH15-AB15)/(AH9-AB9)</f>
        <v>0.6673770380894416</v>
      </c>
      <c r="AI50" s="1773">
        <f>(AI15-AC15)/(AI9-AC9)</f>
        <v>0.39357429718875414</v>
      </c>
      <c r="AJ50" s="734"/>
      <c r="AK50" s="1774">
        <f>(AK15-AE15)/(AK9-AE9)</f>
        <v>1.448717948717948</v>
      </c>
      <c r="AL50" s="1766">
        <f>(AL15-AF15)/(AL9-AF9)</f>
        <v>0.3118644067796611</v>
      </c>
      <c r="AM50" s="1766">
        <f>(AM15-AG15)/(AM9-AG9)</f>
        <v>0.35217391304347639</v>
      </c>
      <c r="AN50" s="1766">
        <f>(AN15-AH15)/(AN9-AH9)</f>
        <v>0.55664062499999944</v>
      </c>
      <c r="AO50" s="1773">
        <f>(AO15-AI15)/(AO9-AI9)</f>
        <v>0.93243243243241791</v>
      </c>
      <c r="AP50" s="734"/>
      <c r="AQ50" s="1774">
        <f>(AQ15-AK15)/(AQ9-AK9)</f>
        <v>0.50423728813559354</v>
      </c>
      <c r="AR50" s="1766">
        <f>(AR15-AL15)/(AR9-AL9)</f>
        <v>0.51446280991735516</v>
      </c>
      <c r="AS50" s="1766">
        <f>(AS15-AM15)/(AS9-AM9)</f>
        <v>0.72727272727272774</v>
      </c>
      <c r="AT50" s="1766">
        <f>(AT15-AN15)/(AT9-AN9)</f>
        <v>0.48692152917505077</v>
      </c>
      <c r="AU50" s="1773">
        <f>(AU15-AO15)/(AU9-AO9)</f>
        <v>0.55514705882353055</v>
      </c>
      <c r="AV50" s="734"/>
      <c r="AW50" s="1774">
        <f>(AW15-AQ15)/(AW9-AQ9)</f>
        <v>0.54224464060529631</v>
      </c>
      <c r="AX50" s="1766">
        <f>(AX15-AR15)/(AX9-AR9)</f>
        <v>0.56131605184446742</v>
      </c>
      <c r="AY50" s="1766">
        <f>(AY15-AS15)/(AY9-AS9)</f>
        <v>0.39833641404805886</v>
      </c>
      <c r="AZ50" s="1766">
        <f>(AZ15-AT15)/(AZ9-AT9)</f>
        <v>0.30508474576271005</v>
      </c>
      <c r="BA50" s="1773">
        <f>(BA15-AU15)/(BA9-AU9)</f>
        <v>0.4625144175317179</v>
      </c>
      <c r="BB50" s="734"/>
      <c r="BC50" s="1774">
        <f>(BC15-AW15)/(BC9-AW9)</f>
        <v>0.53292181069958777</v>
      </c>
      <c r="BD50" s="1766">
        <f>(BD15-AX15)/(BD9-AX9)</f>
        <v>0.11282051282050932</v>
      </c>
      <c r="BE50" s="1766">
        <f>(BE15-AY15)/(BE9-AY9)</f>
        <v>0.72448979591836782</v>
      </c>
      <c r="BF50" s="1766">
        <f>(BF15-AZ15)/(BF9-AZ9)</f>
        <v>0.61374407582938773</v>
      </c>
      <c r="BG50" s="1773">
        <f>(BG15-BA15)/(BG9-BA9)</f>
        <v>0.53901216893342985</v>
      </c>
      <c r="BH50" s="734"/>
      <c r="BI50" s="1774">
        <f>(BI15-BC15)/(BI9-BC9)</f>
        <v>1.3032786885245873</v>
      </c>
      <c r="BJ50" s="1766">
        <f>(BJ15-BD15)/(BJ9-BD9)</f>
        <v>0.34795321637426846</v>
      </c>
      <c r="BK50" s="1766">
        <f>(BK15-BE15)/(BK9-BE9)</f>
        <v>2.0681818181818175</v>
      </c>
      <c r="BL50" s="1766">
        <f>(BL15-BF15)/(BL9-BF9)</f>
        <v>4.0229885057469029E-2</v>
      </c>
      <c r="BM50" s="1773">
        <f>(BM15-BG15)/(BM9-BG9)</f>
        <v>-0.43333333333333474</v>
      </c>
      <c r="BN50" s="816"/>
      <c r="BO50" s="1774">
        <f>(BO15-BI15)/(BO9-BI9)</f>
        <v>0.25412541254125459</v>
      </c>
      <c r="BP50" s="1766">
        <f>(BP15-BJ15)/(BP9-BJ9)</f>
        <v>2.1200000000000299</v>
      </c>
      <c r="BQ50" s="1766">
        <f>(BQ15-BK15)/(BQ9-BK9)</f>
        <v>0.66145833333333315</v>
      </c>
      <c r="BR50" s="1766">
        <f>(BR15-BL15)/(BR9-BL9)</f>
        <v>0.56916099773242468</v>
      </c>
      <c r="BS50" s="1773">
        <f>(BS15-BM15)/(BS9-BM9)</f>
        <v>0.8131147540983592</v>
      </c>
      <c r="BT50" s="816"/>
      <c r="BU50" s="1774">
        <f>(BU15-BO15)/(BU9-BO9)</f>
        <v>0.28632478632478686</v>
      </c>
      <c r="BV50" s="1766">
        <f>(BV15-BP15)/(BV9-BP9)</f>
        <v>0.54397394136807797</v>
      </c>
      <c r="BW50" s="1766">
        <f>(BW15-BQ15)/(BW9-BQ9)</f>
        <v>0.11814345991561115</v>
      </c>
      <c r="BX50" s="1766">
        <f>(BX15-BR15)/(BX9-BR9)</f>
        <v>1.3422818791953069E-2</v>
      </c>
      <c r="BY50" s="1773">
        <f>(BY15-BS15)/(BY9-BS9)</f>
        <v>0.30632090761750408</v>
      </c>
      <c r="BZ50" s="734"/>
      <c r="CA50" s="1774">
        <f>(CA15-BU15)/(CA9-BU9)</f>
        <v>0.37899543378995554</v>
      </c>
      <c r="CB50" s="1766">
        <f>(CB15-BV15)/(CB9-BV9)</f>
        <v>6.1728395061726171E-2</v>
      </c>
      <c r="CC50" s="1321">
        <f>(CC15-BW15)/(CC9-BW9)</f>
        <v>-4.4999999999998836</v>
      </c>
      <c r="CD50" s="1766">
        <f>(CD15-BX15)/(CD9-BX9)</f>
        <v>-0.84810126582280165</v>
      </c>
      <c r="CE50" s="1773">
        <f>(CE15-BY15)/(CE9-BY9)</f>
        <v>-1.8720000000000414</v>
      </c>
      <c r="CF50" s="734"/>
      <c r="CG50" s="1774">
        <f>(CG15-CA15)/(CG9-CA9)</f>
        <v>0.8421052631578938</v>
      </c>
      <c r="CH50" s="1766">
        <f>(CH15-CB15)/(CH9-CB9)</f>
        <v>0.37962962962962904</v>
      </c>
      <c r="CI50" s="1766">
        <f>(CI15-CC15)/(CI9-CC9)</f>
        <v>0.35491606714628332</v>
      </c>
      <c r="CJ50" s="1766">
        <f>(CJ15-CD15)/(CJ9-CD9)</f>
        <v>0.58970099667774334</v>
      </c>
      <c r="CK50" s="1773">
        <f>(CK15-CE15)/(CK9-CE9)</f>
        <v>0.48318240620957364</v>
      </c>
      <c r="CL50" s="734"/>
      <c r="CM50" s="1415">
        <f>(CM15-CG15)/(CM9-CG9)</f>
        <v>0.23079147132626954</v>
      </c>
      <c r="CN50" s="1321">
        <f>(CN15-CH15)/(CN9-CH9)</f>
        <v>0.19939209683054321</v>
      </c>
      <c r="CO50" s="1321">
        <f>(CO15-CI15)/(CO9-CI9)</f>
        <v>1.1167615959421926</v>
      </c>
      <c r="CP50" s="1785">
        <f>(CP15-CJ15)/(CP9-CJ9)</f>
        <v>1.2859190692625038</v>
      </c>
      <c r="CQ50" s="1773">
        <f>(CQ15-CK15)/(CQ9-CK9)</f>
        <v>0.64554137736338579</v>
      </c>
      <c r="CR50" s="734"/>
      <c r="CS50" s="1415">
        <f>(CS15-CM15)/(CS9-CM9)</f>
        <v>2.9119465115831544</v>
      </c>
      <c r="CT50" s="1321">
        <f>(CT15-CN15)/(CT9-CN9)</f>
        <v>1.7023580271512988</v>
      </c>
      <c r="CU50" s="1321">
        <f>(CU15-CO15)/(CU9-CO9)</f>
        <v>0.363147842920369</v>
      </c>
      <c r="CV50" s="1785">
        <f>(CV15-CP15)/(CV9-CP9)</f>
        <v>-0.36847170196327</v>
      </c>
      <c r="CW50" s="1773">
        <f>(CW15-CQ15)/(CW9-CQ9)</f>
        <v>0.70363414954896186</v>
      </c>
      <c r="CX50" s="1766"/>
      <c r="CY50" s="1415">
        <f>(CY15-CS15)/(CY9-CS9)</f>
        <v>0.72453480733648157</v>
      </c>
      <c r="CZ50" s="1321">
        <f>(CZ15-CT15)/(CZ9-CT9)</f>
        <v>1.102453663104338</v>
      </c>
      <c r="DA50" s="1321">
        <f>(DA15-CU15)/(DA9-CU9)</f>
        <v>0.67488796012612606</v>
      </c>
      <c r="DB50" s="1785">
        <f>(DB15-CV15)/(DB9-CV9)</f>
        <v>0.81671742056318941</v>
      </c>
      <c r="DC50" s="1773">
        <f>(DC15-CW15)/(DC9-CW9)</f>
        <v>0.76940664758202093</v>
      </c>
      <c r="DD50" s="1766"/>
      <c r="DE50" s="1415">
        <f>(DE15-CY15)/(DE9-CY9)</f>
        <v>0.93980323209504313</v>
      </c>
      <c r="DF50" s="1321">
        <f>(DF15-CZ15)/(DF9-CZ9)</f>
        <v>0.72621242527185703</v>
      </c>
      <c r="DG50" s="1321">
        <f>(DG15-DA15)/(DG9-DA9)</f>
        <v>0.97676717632731369</v>
      </c>
      <c r="DH50" s="1785">
        <f>(DH15-DB15)/(DH9-DB9)</f>
        <v>0.75756807749041699</v>
      </c>
      <c r="DI50" s="1773">
        <f>(DI15-DC15)/(DI9-DC9)</f>
        <v>0.8102205567832429</v>
      </c>
      <c r="DJ50"/>
      <c r="DK50"/>
      <c r="DL50"/>
      <c r="DM50"/>
      <c r="DN50"/>
      <c r="DO50"/>
    </row>
    <row r="51" spans="1:127" s="10" customFormat="1" ht="11.25" customHeight="1" collapsed="1">
      <c r="A51" s="1435" t="s">
        <v>47</v>
      </c>
      <c r="B51" s="734"/>
      <c r="C51" s="1773">
        <f>C16/C9</f>
        <v>0.30916672589854766</v>
      </c>
      <c r="D51" s="734"/>
      <c r="E51" s="1773">
        <f>E16/E9</f>
        <v>0.23400834750347813</v>
      </c>
      <c r="F51" s="734"/>
      <c r="G51" s="1773">
        <f>G16/G9</f>
        <v>0.2615205869298452</v>
      </c>
      <c r="H51" s="734"/>
      <c r="I51" s="1773">
        <f>I16/I9</f>
        <v>0.19924264491698224</v>
      </c>
      <c r="J51" s="734"/>
      <c r="K51" s="1773">
        <f>K16/K9</f>
        <v>0.13884382166066947</v>
      </c>
      <c r="L51" s="734"/>
      <c r="M51" s="1773">
        <f>M16/M9</f>
        <v>0.14287303541904026</v>
      </c>
      <c r="N51" s="734"/>
      <c r="O51" s="1773">
        <f>O16/O9</f>
        <v>0.15195699257425743</v>
      </c>
      <c r="P51" s="734"/>
      <c r="Q51" s="1773">
        <f>Q16/Q9</f>
        <v>0.12759601668757539</v>
      </c>
      <c r="R51" s="734"/>
      <c r="S51" s="1774">
        <f>S16/S9</f>
        <v>0.1294066795985494</v>
      </c>
      <c r="T51" s="1766">
        <f>T16/T9</f>
        <v>0.12224953474717118</v>
      </c>
      <c r="U51" s="1766">
        <f>U16/U9</f>
        <v>0.11381710689425002</v>
      </c>
      <c r="V51" s="1766">
        <f>V16/V9</f>
        <v>9.9273732718894031E-2</v>
      </c>
      <c r="W51" s="1773">
        <f>W16/W9</f>
        <v>0.1146285053483666</v>
      </c>
      <c r="X51" s="734"/>
      <c r="Y51" s="1774">
        <f>Y16/Y9</f>
        <v>0.1251060057050343</v>
      </c>
      <c r="Z51" s="1766">
        <f>Z16/Z9</f>
        <v>0.11603913703837344</v>
      </c>
      <c r="AA51" s="1766">
        <f>AA16/AA9</f>
        <v>0.11102332892124422</v>
      </c>
      <c r="AB51" s="1766">
        <f>AB16/AB9</f>
        <v>8.7996937017420701E-2</v>
      </c>
      <c r="AC51" s="1773">
        <f>AC16/AC9</f>
        <v>0.10732274312282059</v>
      </c>
      <c r="AD51" s="734"/>
      <c r="AE51" s="1774">
        <f>AE16/AE9</f>
        <v>0.13092740243390683</v>
      </c>
      <c r="AF51" s="1766">
        <f>AF16/AF9</f>
        <v>0.11717495987158909</v>
      </c>
      <c r="AG51" s="1766">
        <f>AG16/AG9</f>
        <v>0.13672036348616273</v>
      </c>
      <c r="AH51" s="1766">
        <f>AH16/AH9</f>
        <v>0.10469543147208127</v>
      </c>
      <c r="AI51" s="1773">
        <f>AI16/AI9</f>
        <v>0.12085629121127271</v>
      </c>
      <c r="AJ51" s="734"/>
      <c r="AK51" s="1774">
        <f>AK16/AK9</f>
        <v>0.12624728850325381</v>
      </c>
      <c r="AL51" s="1766">
        <f>AL16/AL9</f>
        <v>0.12316831683168318</v>
      </c>
      <c r="AM51" s="1766">
        <f>AM16/AM9</f>
        <v>0.11920030177291591</v>
      </c>
      <c r="AN51" s="1766">
        <f>AN16/AN9</f>
        <v>9.443231441048032E-2</v>
      </c>
      <c r="AO51" s="1773">
        <f>AO16/AO9</f>
        <v>0.11341408703454464</v>
      </c>
      <c r="AP51" s="734"/>
      <c r="AQ51" s="1774">
        <f>AQ16/AQ9</f>
        <v>0.11811307166006481</v>
      </c>
      <c r="AR51" s="1766">
        <f>AR16/AR9</f>
        <v>0.10368893320039881</v>
      </c>
      <c r="AS51" s="1766">
        <f>AS16/AS9</f>
        <v>0.10477111540941328</v>
      </c>
      <c r="AT51" s="1766">
        <f>AT16/AT9</f>
        <v>0.1079067531843307</v>
      </c>
      <c r="AU51" s="1773">
        <f>AU16/AU9</f>
        <v>0.10836079393056938</v>
      </c>
      <c r="AV51" s="734"/>
      <c r="AW51" s="1774">
        <f>AW16/AW9</f>
        <v>0.12521008403361344</v>
      </c>
      <c r="AX51" s="1766">
        <f>AX16/AX9</f>
        <v>0.1104187437686939</v>
      </c>
      <c r="AY51" s="1766">
        <f>AY16/AY9</f>
        <v>0.10396749521988528</v>
      </c>
      <c r="AZ51" s="1766">
        <f>AZ16/AZ9</f>
        <v>9.4085455693538197E-2</v>
      </c>
      <c r="BA51" s="1773">
        <f>BA16/BA9</f>
        <v>0.10728340497669069</v>
      </c>
      <c r="BB51" s="734"/>
      <c r="BC51" s="1774">
        <f>BC16/BC9</f>
        <v>0.11883629191321499</v>
      </c>
      <c r="BD51" s="1766">
        <f>BD16/BD9</f>
        <v>0.12336581887330637</v>
      </c>
      <c r="BE51" s="1766">
        <f>BE16/BE9</f>
        <v>0.10026797677534613</v>
      </c>
      <c r="BF51" s="1766">
        <f>BF16/BF9</f>
        <v>9.7235646626715647E-2</v>
      </c>
      <c r="BG51" s="1773">
        <f>BG16/BG9</f>
        <v>0.10902087752595735</v>
      </c>
      <c r="BH51" s="734"/>
      <c r="BI51" s="1774">
        <f>BI16/BI9</f>
        <v>0.12557193695983729</v>
      </c>
      <c r="BJ51" s="1766">
        <f>BJ16/BJ9</f>
        <v>0.10222026819081116</v>
      </c>
      <c r="BK51" s="1766">
        <f>BK16/BK9</f>
        <v>0.10364464692482915</v>
      </c>
      <c r="BL51" s="1766">
        <f>BL16/BL9</f>
        <v>8.8933164281832983E-2</v>
      </c>
      <c r="BM51" s="1773">
        <f>BM16/BM9</f>
        <v>0.10356638034141567</v>
      </c>
      <c r="BN51" s="816"/>
      <c r="BO51" s="1774">
        <f>BO16/BO9</f>
        <v>0.10856738258201556</v>
      </c>
      <c r="BP51" s="1766">
        <f>BP16/BP9</f>
        <v>9.7289024923480544E-2</v>
      </c>
      <c r="BQ51" s="1766">
        <f>BQ16/BQ9</f>
        <v>0.10028585040495475</v>
      </c>
      <c r="BR51" s="1766">
        <f>BR16/BR9</f>
        <v>8.1889763779527544E-2</v>
      </c>
      <c r="BS51" s="1773">
        <f>BS16/BS9</f>
        <v>9.6301619768920321E-2</v>
      </c>
      <c r="BT51" s="816"/>
      <c r="BU51" s="1774">
        <f>BU16/BU9</f>
        <v>0.10523338048090525</v>
      </c>
      <c r="BV51" s="1766">
        <f>BV16/BV9</f>
        <v>9.4696969696969696E-2</v>
      </c>
      <c r="BW51" s="1766">
        <f>BW16/BW9</f>
        <v>8.6594294370108543E-2</v>
      </c>
      <c r="BX51" s="1766">
        <f>BX16/BX9</f>
        <v>7.6746131325805142E-2</v>
      </c>
      <c r="BY51" s="1773">
        <f>BY16/BY9</f>
        <v>8.9727798990023394E-2</v>
      </c>
      <c r="BZ51" s="816"/>
      <c r="CA51" s="1774">
        <f>CA16/CA9</f>
        <v>9.61640916355887E-2</v>
      </c>
      <c r="CB51" s="1766">
        <f>CB16/CB9</f>
        <v>9.9004573580844746E-2</v>
      </c>
      <c r="CC51" s="1766">
        <f>CC16/CC9</f>
        <v>9.6217314039096224E-2</v>
      </c>
      <c r="CD51" s="1766">
        <f>CD16/CD9</f>
        <v>8.1224750159472697E-2</v>
      </c>
      <c r="CE51" s="1773">
        <f>CE16/CE9</f>
        <v>9.2471917085583055E-2</v>
      </c>
      <c r="CF51" s="816"/>
      <c r="CG51" s="1774">
        <f>CG16/CG9</f>
        <v>9.7687711093790611E-2</v>
      </c>
      <c r="CH51" s="1766">
        <f>CH16/CH9</f>
        <v>9.8095926729332386E-2</v>
      </c>
      <c r="CI51" s="1766">
        <f>CI16/CI9</f>
        <v>9.3893480257116621E-2</v>
      </c>
      <c r="CJ51" s="1766">
        <f>CJ16/CJ9</f>
        <v>8.1998114985862361E-2</v>
      </c>
      <c r="CK51" s="1773">
        <f>CK16/CK9</f>
        <v>9.2134322441814381E-2</v>
      </c>
      <c r="CL51" s="816"/>
      <c r="CM51" s="422">
        <v>9.2999999999999999E-2</v>
      </c>
      <c r="CN51" s="1321">
        <f t="shared" ref="CN51:CP52" si="31">+CM51</f>
        <v>9.2999999999999999E-2</v>
      </c>
      <c r="CO51" s="1321">
        <f t="shared" si="31"/>
        <v>9.2999999999999999E-2</v>
      </c>
      <c r="CP51" s="1321">
        <f t="shared" si="31"/>
        <v>9.2999999999999999E-2</v>
      </c>
      <c r="CQ51" s="1773">
        <f>CQ16/CQ9</f>
        <v>9.3000000000000013E-2</v>
      </c>
      <c r="CR51" s="816"/>
      <c r="CS51" s="422">
        <v>9.0999999999999998E-2</v>
      </c>
      <c r="CT51" s="1321">
        <f t="shared" ref="CT51:CV52" si="32">+CS51</f>
        <v>9.0999999999999998E-2</v>
      </c>
      <c r="CU51" s="1321">
        <f t="shared" si="32"/>
        <v>9.0999999999999998E-2</v>
      </c>
      <c r="CV51" s="1321">
        <f t="shared" si="32"/>
        <v>9.0999999999999998E-2</v>
      </c>
      <c r="CW51" s="1773">
        <f>CW16/CW9</f>
        <v>9.1000000000000011E-2</v>
      </c>
      <c r="CX51" s="1768"/>
      <c r="CY51" s="1451">
        <v>8.8999999999999996E-2</v>
      </c>
      <c r="CZ51" s="1321">
        <f t="shared" ref="CZ51:CZ52" si="33">+CY51</f>
        <v>8.8999999999999996E-2</v>
      </c>
      <c r="DA51" s="1321">
        <f t="shared" ref="DA51:DA52" si="34">+CZ51</f>
        <v>8.8999999999999996E-2</v>
      </c>
      <c r="DB51" s="1321">
        <f t="shared" ref="DB51:DB52" si="35">+DA51</f>
        <v>8.8999999999999996E-2</v>
      </c>
      <c r="DC51" s="1773">
        <f>DC16/DC9</f>
        <v>8.8999999999999996E-2</v>
      </c>
      <c r="DD51" s="1768"/>
      <c r="DE51" s="1451">
        <v>8.5999999999999993E-2</v>
      </c>
      <c r="DF51" s="1321">
        <f t="shared" ref="DF51:DF52" si="36">+DE51</f>
        <v>8.5999999999999993E-2</v>
      </c>
      <c r="DG51" s="1321">
        <f t="shared" ref="DG51:DG52" si="37">+DF51</f>
        <v>8.5999999999999993E-2</v>
      </c>
      <c r="DH51" s="1321">
        <f t="shared" ref="DH51:DH52" si="38">+DG51</f>
        <v>8.5999999999999993E-2</v>
      </c>
      <c r="DI51" s="1773">
        <f>DI16/DI9</f>
        <v>8.5999999999999993E-2</v>
      </c>
      <c r="DJ51"/>
      <c r="DK51"/>
      <c r="DL51"/>
      <c r="DM51"/>
      <c r="DN51"/>
      <c r="DO51"/>
      <c r="DT51" s="1691"/>
    </row>
    <row r="52" spans="1:127" s="10" customFormat="1" ht="11.25" customHeight="1">
      <c r="A52" s="1435" t="s">
        <v>8</v>
      </c>
      <c r="B52" s="734"/>
      <c r="C52" s="1773">
        <f>C17/C9</f>
        <v>0.22856398227782126</v>
      </c>
      <c r="D52" s="734"/>
      <c r="E52" s="1773">
        <f>E17/E9</f>
        <v>0.22810326170969239</v>
      </c>
      <c r="F52" s="734"/>
      <c r="G52" s="1773">
        <f>G17/G9</f>
        <v>0.24624683428631106</v>
      </c>
      <c r="H52" s="734"/>
      <c r="I52" s="1773">
        <f>I17/I9</f>
        <v>0.29903658391861127</v>
      </c>
      <c r="J52" s="734"/>
      <c r="K52" s="1773">
        <f>K17/K9</f>
        <v>0.28741310081664839</v>
      </c>
      <c r="L52" s="734"/>
      <c r="M52" s="1773">
        <f>M17/M9</f>
        <v>0.26391462296540952</v>
      </c>
      <c r="N52" s="734"/>
      <c r="O52" s="1773">
        <f>O17/O9</f>
        <v>0.2685327126462646</v>
      </c>
      <c r="P52" s="734"/>
      <c r="Q52" s="1773">
        <f>Q17/Q9</f>
        <v>0.2580476181521707</v>
      </c>
      <c r="R52" s="734"/>
      <c r="S52" s="1774">
        <f>S17/S9</f>
        <v>0.26818546006578392</v>
      </c>
      <c r="T52" s="1766">
        <f>T17/T9</f>
        <v>0.27241423922454544</v>
      </c>
      <c r="U52" s="1766">
        <f>U17/U9</f>
        <v>0.25080575951177647</v>
      </c>
      <c r="V52" s="1766">
        <f>V17/V9</f>
        <v>0.24976958525345627</v>
      </c>
      <c r="W52" s="1773">
        <f>W17/W9</f>
        <v>0.25924778700147305</v>
      </c>
      <c r="X52" s="734"/>
      <c r="Y52" s="1774">
        <f>Y17/Y9</f>
        <v>0.23360284480764784</v>
      </c>
      <c r="Z52" s="1766">
        <f>Z17/Z9</f>
        <v>0.2100678856433193</v>
      </c>
      <c r="AA52" s="1766">
        <f>AA17/AA9</f>
        <v>0.22008189940436795</v>
      </c>
      <c r="AB52" s="1766">
        <f>AB17/AB9</f>
        <v>0.19069386997406904</v>
      </c>
      <c r="AC52" s="1773">
        <f>AC17/AC9</f>
        <v>0.21067415730337077</v>
      </c>
      <c r="AD52" s="734"/>
      <c r="AE52" s="1774">
        <f>AE17/AE9</f>
        <v>0.25388166177087701</v>
      </c>
      <c r="AF52" s="1766">
        <f>AF17/AF9</f>
        <v>0.20288924558587479</v>
      </c>
      <c r="AG52" s="1766">
        <f>AG17/AG9</f>
        <v>0.25444031391986782</v>
      </c>
      <c r="AH52" s="1766">
        <f>AH17/AH9</f>
        <v>0.20526649746192899</v>
      </c>
      <c r="AI52" s="1773">
        <f>AI17/AI9</f>
        <v>0.22581519284617471</v>
      </c>
      <c r="AJ52" s="734"/>
      <c r="AK52" s="1774">
        <f>AK17/AK9</f>
        <v>0.25379609544468551</v>
      </c>
      <c r="AL52" s="1766">
        <f>AL17/AL9</f>
        <v>0.2392079207920792</v>
      </c>
      <c r="AM52" s="1766">
        <f>AM17/AM9</f>
        <v>0.23085628064881181</v>
      </c>
      <c r="AN52" s="1766">
        <f>AN17/AN9</f>
        <v>0.19978165938864623</v>
      </c>
      <c r="AO52" s="1773">
        <f>AO17/AO9</f>
        <v>0.22727680574248543</v>
      </c>
      <c r="AP52" s="734"/>
      <c r="AQ52" s="1774">
        <f>AQ17/AQ9</f>
        <v>0.23118473172488294</v>
      </c>
      <c r="AR52" s="1766">
        <f>AR17/AR9</f>
        <v>0.20771020272515789</v>
      </c>
      <c r="AS52" s="1766">
        <f>AS17/AS9</f>
        <v>0.22823984526112184</v>
      </c>
      <c r="AT52" s="1766">
        <f>AT17/AT9</f>
        <v>0.22566690699351125</v>
      </c>
      <c r="AU52" s="1773">
        <f>AU17/AU9</f>
        <v>0.22331213119779295</v>
      </c>
      <c r="AV52" s="734"/>
      <c r="AW52" s="1774">
        <f>AW17/AW9</f>
        <v>0.24425770308123251</v>
      </c>
      <c r="AX52" s="1766">
        <f>AX17/AX9</f>
        <v>0.23903290129611166</v>
      </c>
      <c r="AY52" s="1766">
        <f>AY17/AY9</f>
        <v>0.2375717017208413</v>
      </c>
      <c r="AZ52" s="1766">
        <f>AZ17/AZ9</f>
        <v>0.24058093033045683</v>
      </c>
      <c r="BA52" s="1773">
        <f>BA17/BA9</f>
        <v>0.24023733123448571</v>
      </c>
      <c r="BB52" s="734"/>
      <c r="BC52" s="1774">
        <f>BC17/BC9</f>
        <v>0.25542406311637084</v>
      </c>
      <c r="BD52" s="1766">
        <f>BD17/BD9</f>
        <v>0.26075588305205605</v>
      </c>
      <c r="BE52" s="1766">
        <f>BE17/BE9</f>
        <v>0.2280035730236713</v>
      </c>
      <c r="BF52" s="1766">
        <f>BF17/BF9</f>
        <v>0.23893292093562721</v>
      </c>
      <c r="BG52" s="1773">
        <f>BG17/BG9</f>
        <v>0.24505972982025231</v>
      </c>
      <c r="BH52" s="734"/>
      <c r="BI52" s="1774">
        <f>BI17/BI9</f>
        <v>0.25521098118962882</v>
      </c>
      <c r="BJ52" s="1766">
        <f>BJ17/BJ9</f>
        <v>0.22466476148604092</v>
      </c>
      <c r="BK52" s="1766">
        <f>BK17/BK9</f>
        <v>0.21617312072892944</v>
      </c>
      <c r="BL52" s="1766">
        <f>BL17/BL9</f>
        <v>0.19996377467850013</v>
      </c>
      <c r="BM52" s="1773">
        <f>BM17/BM9</f>
        <v>0.22175709470479502</v>
      </c>
      <c r="BN52" s="816"/>
      <c r="BO52" s="1774">
        <f>BO17/BO9</f>
        <v>0.24899693179136179</v>
      </c>
      <c r="BP52" s="1766">
        <f>BP17/BP9</f>
        <v>0.23830345430695235</v>
      </c>
      <c r="BQ52" s="1766">
        <f>BQ17/BQ9</f>
        <v>0.22677465459742735</v>
      </c>
      <c r="BR52" s="1766">
        <f>BR17/BR9</f>
        <v>0.21003937007874013</v>
      </c>
      <c r="BS52" s="1773">
        <f>BS17/BS9</f>
        <v>0.23019514622146053</v>
      </c>
      <c r="BT52" s="816"/>
      <c r="BU52" s="1774">
        <f>BU17/BU9</f>
        <v>0.22885431400282882</v>
      </c>
      <c r="BV52" s="1766">
        <f>BV17/BV9</f>
        <v>0.24292929292929294</v>
      </c>
      <c r="BW52" s="1766">
        <f>BW17/BW9</f>
        <v>0.2188841201716738</v>
      </c>
      <c r="BX52" s="1766">
        <f>BX17/BX9</f>
        <v>0.21183605186114604</v>
      </c>
      <c r="BY52" s="1773">
        <f>BY17/BY9</f>
        <v>0.22484296095578274</v>
      </c>
      <c r="BZ52" s="816"/>
      <c r="CA52" s="1774">
        <f>CA17/CA9</f>
        <v>0.2344166222695791</v>
      </c>
      <c r="CB52" s="1766">
        <f>CB17/CB9</f>
        <v>0.23701910142588103</v>
      </c>
      <c r="CC52" s="1766">
        <f>CC17/CC9</f>
        <v>0.23229246001523229</v>
      </c>
      <c r="CD52" s="1766">
        <f>CD17/CD9</f>
        <v>0.2000850520944078</v>
      </c>
      <c r="CE52" s="1773">
        <f>CE17/CE9</f>
        <v>0.22447713026748584</v>
      </c>
      <c r="CF52" s="816"/>
      <c r="CG52" s="1774">
        <f>CG17/CG9</f>
        <v>0.2429202390231229</v>
      </c>
      <c r="CH52" s="1766">
        <f>CH17/CH9</f>
        <v>0.22776572668112796</v>
      </c>
      <c r="CI52" s="1766">
        <f>CI17/CI9</f>
        <v>0.2245179063360882</v>
      </c>
      <c r="CJ52" s="1766">
        <f>CJ17/CJ9</f>
        <v>0.19754948162111211</v>
      </c>
      <c r="CK52" s="1773">
        <f>CK17/CK9</f>
        <v>0.22119032787813581</v>
      </c>
      <c r="CL52" s="816"/>
      <c r="CM52" s="422">
        <v>0.223</v>
      </c>
      <c r="CN52" s="1321">
        <f t="shared" si="31"/>
        <v>0.223</v>
      </c>
      <c r="CO52" s="1321">
        <f t="shared" si="31"/>
        <v>0.223</v>
      </c>
      <c r="CP52" s="1785">
        <f t="shared" si="31"/>
        <v>0.223</v>
      </c>
      <c r="CQ52" s="1773">
        <f>CQ17/CQ9</f>
        <v>0.22299999999999998</v>
      </c>
      <c r="CR52" s="816"/>
      <c r="CS52" s="422">
        <v>0.221</v>
      </c>
      <c r="CT52" s="1321">
        <f t="shared" si="32"/>
        <v>0.221</v>
      </c>
      <c r="CU52" s="1321">
        <f t="shared" si="32"/>
        <v>0.221</v>
      </c>
      <c r="CV52" s="1785">
        <f t="shared" si="32"/>
        <v>0.221</v>
      </c>
      <c r="CW52" s="1773">
        <f>CW17/CW9</f>
        <v>0.22100000000000003</v>
      </c>
      <c r="CX52" s="1739"/>
      <c r="CY52" s="1451">
        <v>0.218</v>
      </c>
      <c r="CZ52" s="1321">
        <f t="shared" si="33"/>
        <v>0.218</v>
      </c>
      <c r="DA52" s="1321">
        <f t="shared" si="34"/>
        <v>0.218</v>
      </c>
      <c r="DB52" s="1785">
        <f t="shared" si="35"/>
        <v>0.218</v>
      </c>
      <c r="DC52" s="1773">
        <f>DC17/DC9</f>
        <v>0.21799999999999997</v>
      </c>
      <c r="DD52" s="1739"/>
      <c r="DE52" s="1451">
        <v>0.216</v>
      </c>
      <c r="DF52" s="1321">
        <f t="shared" si="36"/>
        <v>0.216</v>
      </c>
      <c r="DG52" s="1321">
        <f t="shared" si="37"/>
        <v>0.216</v>
      </c>
      <c r="DH52" s="1785">
        <f t="shared" si="38"/>
        <v>0.216</v>
      </c>
      <c r="DI52" s="1773">
        <f>DI17/DI9</f>
        <v>0.216</v>
      </c>
      <c r="DJ52"/>
      <c r="DK52"/>
      <c r="DL52"/>
      <c r="DM52"/>
      <c r="DN52"/>
      <c r="DO52"/>
    </row>
    <row r="53" spans="1:127" s="10" customFormat="1" ht="11.25" customHeight="1">
      <c r="A53" s="1778" t="s">
        <v>10</v>
      </c>
      <c r="B53" s="734"/>
      <c r="C53" s="1779">
        <f>C20/C9</f>
        <v>-3.8145331343143302E-3</v>
      </c>
      <c r="D53" s="734"/>
      <c r="E53" s="1779">
        <f>E20/E9</f>
        <v>4.9126603802751655E-2</v>
      </c>
      <c r="F53" s="734"/>
      <c r="G53" s="1779">
        <f>G20/G9</f>
        <v>2.7662463121067331E-2</v>
      </c>
      <c r="H53" s="734"/>
      <c r="I53" s="1779">
        <f>I20/I9</f>
        <v>3.1470153520838144E-2</v>
      </c>
      <c r="J53" s="734"/>
      <c r="K53" s="1779">
        <f>K20/K9</f>
        <v>3.7682748869290864E-2</v>
      </c>
      <c r="L53" s="734"/>
      <c r="M53" s="1779">
        <f>M20/M9</f>
        <v>1.2532655104553968E-2</v>
      </c>
      <c r="N53" s="734"/>
      <c r="O53" s="1779">
        <f>O20/O9</f>
        <v>-3.9308618361836006E-3</v>
      </c>
      <c r="P53" s="734"/>
      <c r="Q53" s="1779">
        <f>Q20/Q9</f>
        <v>6.0233228476331953E-2</v>
      </c>
      <c r="R53" s="734"/>
      <c r="S53" s="1780">
        <f>S20/S9</f>
        <v>6.3696550560850079E-2</v>
      </c>
      <c r="T53" s="1767">
        <f>T20/T9</f>
        <v>6.5344386612660732E-2</v>
      </c>
      <c r="U53" s="1767">
        <f>U20/U9</f>
        <v>7.5760465338037639E-2</v>
      </c>
      <c r="V53" s="1767">
        <f>V20/V9</f>
        <v>0.11674101382488491</v>
      </c>
      <c r="W53" s="1779">
        <f>W20/W9</f>
        <v>8.3485914361889998E-2</v>
      </c>
      <c r="X53" s="734"/>
      <c r="Y53" s="1780">
        <f>Y20/Y9</f>
        <v>9.68651221956673E-2</v>
      </c>
      <c r="Z53" s="1767">
        <f>Z20/Z9</f>
        <v>9.3101509595455212E-2</v>
      </c>
      <c r="AA53" s="1767">
        <f>AA20/AA9</f>
        <v>0.12847452018530764</v>
      </c>
      <c r="AB53" s="1767">
        <f>AB20/AB9</f>
        <v>0.21448709544555397</v>
      </c>
      <c r="AC53" s="1779">
        <f>AC20/AC9</f>
        <v>0.14267725687717944</v>
      </c>
      <c r="AD53" s="734"/>
      <c r="AE53" s="1780">
        <f>AE20/AE9</f>
        <v>9.3579521611414168E-2</v>
      </c>
      <c r="AF53" s="1767">
        <f>AF20/AF9</f>
        <v>9.5987158908507245E-2</v>
      </c>
      <c r="AG53" s="1767">
        <f>AG20/AG9</f>
        <v>6.7740603056588203E-2</v>
      </c>
      <c r="AH53" s="1767">
        <f>AH20/AH9</f>
        <v>0.16687817258883222</v>
      </c>
      <c r="AI53" s="1779">
        <f>AI20/AI9</f>
        <v>0.10947520549182539</v>
      </c>
      <c r="AJ53" s="734"/>
      <c r="AK53" s="1780">
        <f>AK20/AK9</f>
        <v>6.550976138828625E-2</v>
      </c>
      <c r="AL53" s="1767">
        <f>AL20/AL9</f>
        <v>7.8019801980197978E-2</v>
      </c>
      <c r="AM53" s="1767">
        <f>AM20/AM9</f>
        <v>9.9585062240663727E-2</v>
      </c>
      <c r="AN53" s="1767">
        <f>AN20/AN9</f>
        <v>0.19377729257641912</v>
      </c>
      <c r="AO53" s="1779">
        <f>AO20/AO9</f>
        <v>0.11861821444593972</v>
      </c>
      <c r="AP53" s="734"/>
      <c r="AQ53" s="1780">
        <f>AQ20/AQ9</f>
        <v>0.10622974432841201</v>
      </c>
      <c r="AR53" s="1767">
        <f>AR20/AR9</f>
        <v>0.14091060152874699</v>
      </c>
      <c r="AS53" s="1767">
        <f>AS20/AS9</f>
        <v>0.15699548678272085</v>
      </c>
      <c r="AT53" s="1767">
        <f>AT20/AT9</f>
        <v>0.16101898582071603</v>
      </c>
      <c r="AU53" s="1779">
        <f>AU20/AU9</f>
        <v>0.1437658058088743</v>
      </c>
      <c r="AV53" s="734"/>
      <c r="AW53" s="1780">
        <f>AW20/AW9</f>
        <v>0.1053221288515406</v>
      </c>
      <c r="AX53" s="1767">
        <f>AX20/AX9</f>
        <v>0.13010967098703913</v>
      </c>
      <c r="AY53" s="1767">
        <f>AY20/AY9</f>
        <v>0.12476099426386231</v>
      </c>
      <c r="AZ53" s="1767">
        <f>AZ20/AZ9</f>
        <v>0.13197221637549952</v>
      </c>
      <c r="BA53" s="1779">
        <f>BA20/BA9</f>
        <v>0.12393291760004833</v>
      </c>
      <c r="BB53" s="734"/>
      <c r="BC53" s="1780">
        <f>BC20/BC9</f>
        <v>0.10749506903353048</v>
      </c>
      <c r="BD53" s="1767">
        <f>BD20/BD9</f>
        <v>7.8440694081293144E-2</v>
      </c>
      <c r="BE53" s="1767">
        <f>BE20/BE9</f>
        <v>0.15497990174184906</v>
      </c>
      <c r="BF53" s="1767">
        <f>BF20/BF9</f>
        <v>0.14111734003479626</v>
      </c>
      <c r="BG53" s="1779">
        <f>BG20/BG9</f>
        <v>0.12225075360053594</v>
      </c>
      <c r="BH53" s="734"/>
      <c r="BI53" s="1780">
        <f>BI20/BI9</f>
        <v>5.9989832231825239E-2</v>
      </c>
      <c r="BJ53" s="1767">
        <f>BJ20/BJ9</f>
        <v>0.11716860848538135</v>
      </c>
      <c r="BK53" s="1767">
        <f>BK20/BK9</f>
        <v>0.10774487471526185</v>
      </c>
      <c r="BL53" s="1767">
        <f>BL20/BL9</f>
        <v>0.14725593189639574</v>
      </c>
      <c r="BM53" s="1779">
        <f>BM20/BM9</f>
        <v>0.11172121343916494</v>
      </c>
      <c r="BN53" s="816"/>
      <c r="BO53" s="1780">
        <f>BO20/BO9</f>
        <v>7.5761151758319684E-2</v>
      </c>
      <c r="BP53" s="1767">
        <f>BP20/BP9</f>
        <v>0.11521644075207688</v>
      </c>
      <c r="BQ53" s="1767">
        <f>BQ20/BQ9</f>
        <v>8.5516912815626428E-2</v>
      </c>
      <c r="BR53" s="1767">
        <f>BR20/BR9</f>
        <v>0.12539370078740175</v>
      </c>
      <c r="BS53" s="1779">
        <f>BS20/BS9</f>
        <v>0.10194040577146336</v>
      </c>
      <c r="BT53" s="816"/>
      <c r="BU53" s="1780">
        <f>BU20/BU9</f>
        <v>0.10127298444130131</v>
      </c>
      <c r="BV53" s="1767">
        <f>BV20/BV9</f>
        <v>0.10833333333333328</v>
      </c>
      <c r="BW53" s="1767">
        <f>BW20/BW9</f>
        <v>0.13329967180005051</v>
      </c>
      <c r="BX53" s="1767">
        <f>BX20/BX9</f>
        <v>0.17503136762860713</v>
      </c>
      <c r="BY53" s="1779">
        <f>BY20/BY9</f>
        <v>0.13252863653159258</v>
      </c>
      <c r="BZ53" s="816"/>
      <c r="CA53" s="1780">
        <f>CA20/CA9</f>
        <v>0.12599893446989888</v>
      </c>
      <c r="CB53" s="1767">
        <f>CB20/CB9</f>
        <v>0.10761366693570097</v>
      </c>
      <c r="CC53" s="1786">
        <f>CC20/CC9</f>
        <v>0.14876872302614869</v>
      </c>
      <c r="CD53" s="1767">
        <f>CD20/CD9</f>
        <v>0.19561981713799692</v>
      </c>
      <c r="CE53" s="1779">
        <f>CE20/CE9</f>
        <v>0.14764475889033704</v>
      </c>
      <c r="CF53" s="816"/>
      <c r="CG53" s="1780">
        <f>CG20/CG9</f>
        <v>0.12782540919719407</v>
      </c>
      <c r="CH53" s="1767">
        <f>CH20/CH9</f>
        <v>0.12460833935888163</v>
      </c>
      <c r="CI53" s="1767">
        <f>CI20/CI9</f>
        <v>0.14784205693296593</v>
      </c>
      <c r="CJ53" s="1767">
        <f>CJ20/CJ9</f>
        <v>0.20885956644674866</v>
      </c>
      <c r="CK53" s="1166">
        <f>CK20/CK9</f>
        <v>0.15635086924514413</v>
      </c>
      <c r="CL53" s="816"/>
      <c r="CM53" s="1786">
        <f>CM20/CM9</f>
        <v>0.12855884981688276</v>
      </c>
      <c r="CN53" s="1786">
        <f>CN20/CN9</f>
        <v>0.12878944402438469</v>
      </c>
      <c r="CO53" s="1786">
        <f>CO20/CO9</f>
        <v>0.17313081631263885</v>
      </c>
      <c r="CP53" s="1787">
        <f>CP20/CP9</f>
        <v>0.2148288129776029</v>
      </c>
      <c r="CQ53" s="1166">
        <f>CQ20/CQ9</f>
        <v>0.16515852978806136</v>
      </c>
      <c r="CR53" s="816"/>
      <c r="CS53" s="1786">
        <f>CS20/CS9</f>
        <v>0.1747201748521601</v>
      </c>
      <c r="CT53" s="1786">
        <f>CT20/CT9</f>
        <v>0.17509932575908108</v>
      </c>
      <c r="CU53" s="1786">
        <f>CU20/CU9</f>
        <v>0.1752623556795935</v>
      </c>
      <c r="CV53" s="1787">
        <f>CV20/CV9</f>
        <v>0.17716107911926871</v>
      </c>
      <c r="CW53" s="1166">
        <f>CW20/CW9</f>
        <v>0.17568020215063976</v>
      </c>
      <c r="CX53" s="1767"/>
      <c r="CY53" s="2268">
        <f>CY20/CY9</f>
        <v>0.18596380929689069</v>
      </c>
      <c r="CZ53" s="1786">
        <f>CZ20/CZ9</f>
        <v>0.18618738532355333</v>
      </c>
      <c r="DA53" s="1786">
        <f>DA20/DA9</f>
        <v>0.18655542104791381</v>
      </c>
      <c r="DB53" s="1787">
        <f>DB20/DB9</f>
        <v>0.1882890220455132</v>
      </c>
      <c r="DC53" s="1166">
        <f>DC20/DC9</f>
        <v>0.18686278288720076</v>
      </c>
      <c r="DD53" s="1767"/>
      <c r="DE53" s="2268">
        <f>DE20/DE9</f>
        <v>0.19810828820952711</v>
      </c>
      <c r="DF53" s="1786">
        <f>DF20/DF9</f>
        <v>0.19846251861583336</v>
      </c>
      <c r="DG53" s="1786">
        <f>DG20/DG9</f>
        <v>0.19867992850254007</v>
      </c>
      <c r="DH53" s="1787">
        <f>DH20/DH9</f>
        <v>0.20047283547848452</v>
      </c>
      <c r="DI53" s="1166">
        <f>DI20/DI9</f>
        <v>0.19904758730253261</v>
      </c>
      <c r="DJ53"/>
      <c r="DK53"/>
      <c r="DL53"/>
      <c r="DM53"/>
      <c r="DN53"/>
      <c r="DO53"/>
      <c r="DQ53" s="2025"/>
    </row>
    <row r="54" spans="1:127" s="10" customFormat="1" ht="11.25" customHeight="1">
      <c r="A54" s="1435" t="s">
        <v>48</v>
      </c>
      <c r="B54" s="734"/>
      <c r="C54" s="1784"/>
      <c r="D54" s="734"/>
      <c r="E54" s="1779">
        <f>(E20-C20)/(E9-C9)</f>
        <v>0.14851220922474798</v>
      </c>
      <c r="F54" s="734"/>
      <c r="G54" s="1779">
        <f>(G20-E20)/(G9-E9)</f>
        <v>-8.8901947615849908E-2</v>
      </c>
      <c r="H54" s="734"/>
      <c r="I54" s="1779">
        <f>(I20-G20)/(I9-G9)</f>
        <v>4.9599104978557337E-2</v>
      </c>
      <c r="J54" s="734"/>
      <c r="K54" s="1779">
        <f>(K20-I20)/(K9-I9)</f>
        <v>4.2182750240296135E-2</v>
      </c>
      <c r="L54" s="734"/>
      <c r="M54" s="1779">
        <f>(M20-K20)/(M9-K9)</f>
        <v>-0.1261337797656219</v>
      </c>
      <c r="N54" s="734"/>
      <c r="O54" s="1779">
        <f>(O20-M20)/(O9-M9)</f>
        <v>-0.18473269579138163</v>
      </c>
      <c r="P54" s="734"/>
      <c r="Q54" s="1779">
        <f>(Q20-O20)/(Q9-O9)</f>
        <v>0.26799640242722311</v>
      </c>
      <c r="R54" s="734"/>
      <c r="S54" s="1774"/>
      <c r="T54" s="1766"/>
      <c r="U54" s="1766"/>
      <c r="V54" s="1766"/>
      <c r="W54" s="1773">
        <f>(W20-Q20)/(W9-Q9)</f>
        <v>0.21962535977729142</v>
      </c>
      <c r="X54" s="734"/>
      <c r="Y54" s="1774">
        <f>(Y20-S20)/(Y9-S9)</f>
        <v>0.1247870074547392</v>
      </c>
      <c r="Z54" s="1766">
        <f>(Z20-T20)/(Z9-T9)</f>
        <v>0.1133331882575675</v>
      </c>
      <c r="AA54" s="1766">
        <f>(AA20-U20)/(AA9-U9)</f>
        <v>0.16885820731974555</v>
      </c>
      <c r="AB54" s="1766">
        <f>(AB20-V20)/(AB9-V9)</f>
        <v>0.2778752683647564</v>
      </c>
      <c r="AC54" s="1773">
        <f>(AC20-W20)/(AC9-W9)</f>
        <v>0.18592075311030146</v>
      </c>
      <c r="AD54" s="734"/>
      <c r="AE54" s="1774">
        <f>(AE20-Y20)/(AE9-Y9)</f>
        <v>7.1414640488882714E-2</v>
      </c>
      <c r="AF54" s="1766">
        <f>(AF20-Z20)/(AF9-Z9)</f>
        <v>0.10538833757073759</v>
      </c>
      <c r="AG54" s="1766">
        <f>(AG20-AA20)/(AG9-AA9)</f>
        <v>-43.117647058819401</v>
      </c>
      <c r="AH54" s="1766">
        <f>(AH20-AB20)/(AH9-AB9)</f>
        <v>0.72210946485353111</v>
      </c>
      <c r="AI54" s="1773">
        <f>(AI20-AC20)/(AI9-AC9)</f>
        <v>-0.34939759036144924</v>
      </c>
      <c r="AJ54" s="734"/>
      <c r="AK54" s="1774">
        <f>(AK20-AE20)/(AK9-AE9)</f>
        <v>0.92307692307692391</v>
      </c>
      <c r="AL54" s="1766">
        <f>(AL20-AF20)/(AL9-AF9)</f>
        <v>0.17288135593220369</v>
      </c>
      <c r="AM54" s="1766">
        <f>(AM20-AG20)/(AM9-AG9)</f>
        <v>0.43478260869565077</v>
      </c>
      <c r="AN54" s="1766">
        <f>(AN20-AH20)/(AN9-AH9)</f>
        <v>0.3593750000000005</v>
      </c>
      <c r="AO54" s="1773">
        <f>(AO20-AI20)/(AO9-AI9)</f>
        <v>1.4864864864864606</v>
      </c>
      <c r="AP54" s="734"/>
      <c r="AQ54" s="1774">
        <f>(AQ20-AK20)/(AQ9-AK9)</f>
        <v>0.30508474576271266</v>
      </c>
      <c r="AR54" s="1766">
        <f>(AR20-AL20)/(AR9-AL9)</f>
        <v>0.46900826446280963</v>
      </c>
      <c r="AS54" s="1766">
        <f>(AS20-AM20)/(AS9-AM9)</f>
        <v>0.49445676274944661</v>
      </c>
      <c r="AT54" s="1766">
        <f>(AT20-AN20)/(AT9-AN9)</f>
        <v>-8.0482897384306432E-2</v>
      </c>
      <c r="AU54" s="1773">
        <f>(AU20-AO20)/(AU9-AO9)</f>
        <v>0.29096638655462309</v>
      </c>
      <c r="AV54" s="734"/>
      <c r="AW54" s="1774">
        <f>(AW20-AQ20)/(AW9-AQ9)</f>
        <v>0.10214375788146253</v>
      </c>
      <c r="AX54" s="1766">
        <f>(AX20-AR20)/(AX9-AR9)</f>
        <v>9.7706879361915577E-2</v>
      </c>
      <c r="AY54" s="1766">
        <f>(AY20-AS20)/(AY9-AS9)</f>
        <v>3.2347504621071964E-2</v>
      </c>
      <c r="AZ54" s="1766">
        <f>(AZ20-AT20)/(AZ9-AT9)</f>
        <v>-7.2881355932205655E-2</v>
      </c>
      <c r="BA54" s="1773">
        <f>(BA20-AU20)/(BA9-AU9)</f>
        <v>4.9307958477507935E-2</v>
      </c>
      <c r="BB54" s="734"/>
      <c r="BC54" s="1774">
        <f>(BC20-AW20)/(BC9-AW9)</f>
        <v>0.12345679012345614</v>
      </c>
      <c r="BD54" s="1766">
        <f>(BD20-AX20)/(BD9-AX9)</f>
        <v>-0.98461538461538844</v>
      </c>
      <c r="BE54" s="1766">
        <f>(BE20-AY20)/(BE9-AY9)</f>
        <v>0.58503401360544205</v>
      </c>
      <c r="BF54" s="1766">
        <f>(BF20-AZ20)/(BF9-AZ9)</f>
        <v>0.24407582938389233</v>
      </c>
      <c r="BG54" s="1773">
        <f>(BG20-BA20)/(BG9-BA9)</f>
        <v>0.10236220472441136</v>
      </c>
      <c r="BH54" s="734"/>
      <c r="BI54" s="1774">
        <f>(BI20-BC20)/(BI9-BC9)</f>
        <v>1.6393442622950765</v>
      </c>
      <c r="BJ54" s="1766">
        <f>(BJ20-BD20)/(BJ9-BD9)</f>
        <v>0.59356725146198719</v>
      </c>
      <c r="BK54" s="1766">
        <f>(BK20-BE20)/(BK9-BE9)</f>
        <v>2.5113636363636389</v>
      </c>
      <c r="BL54" s="1766">
        <f>(BL20-BF20)/(BL9-BF9)</f>
        <v>0.2385057471264366</v>
      </c>
      <c r="BM54" s="1773">
        <f>(BM20-BG20)/(BM9-BG9)</f>
        <v>-0.28125000000000239</v>
      </c>
      <c r="BN54" s="816"/>
      <c r="BO54" s="1774">
        <f>(BO20-BI20)/(BO9-BI9)</f>
        <v>0.28052805280528043</v>
      </c>
      <c r="BP54" s="1766">
        <f>(BP20-BJ20)/(BP9-BJ9)</f>
        <v>-0.24000000000001456</v>
      </c>
      <c r="BQ54" s="1766">
        <f>(BQ20-BK20)/(BQ9-BK9)</f>
        <v>0.59374999999999911</v>
      </c>
      <c r="BR54" s="1766">
        <f>(BR20-BL20)/(BR9-BL9)</f>
        <v>0.39909297052154213</v>
      </c>
      <c r="BS54" s="1773">
        <f>(BS20-BM20)/(BS9-BM9)</f>
        <v>0.69180327868852165</v>
      </c>
      <c r="BT54" s="816"/>
      <c r="BU54" s="1774">
        <f>(BU20-BO20)/(BU9-BO9)</f>
        <v>-5.2706552706552105E-2</v>
      </c>
      <c r="BV54" s="1766">
        <f>(BV20-BP20)/(BV9-BP9)</f>
        <v>0.15960912052117243</v>
      </c>
      <c r="BW54" s="1766">
        <f>(BW20-BQ20)/(BW9-BQ9)</f>
        <v>-0.71308016877637304</v>
      </c>
      <c r="BX54" s="1766">
        <f>(BX20-BR20)/(BX9-BR9)</f>
        <v>-0.67114093959730337</v>
      </c>
      <c r="BY54" s="1773">
        <f>(BY20-BS20)/(BY9-BS9)</f>
        <v>-0.16639654240950802</v>
      </c>
      <c r="BZ54" s="816"/>
      <c r="CA54" s="1774">
        <f>(CA20-BU20)/(CA9-BU9)</f>
        <v>0.52511415525114202</v>
      </c>
      <c r="CB54" s="1766">
        <f>(CB20-BV20)/(CB9-BV9)</f>
        <v>0.11934156378600518</v>
      </c>
      <c r="CC54" s="1321">
        <f>(CC20-BW20)/(CC9-BW9)</f>
        <v>-2.6363636363635612</v>
      </c>
      <c r="CD54" s="1766">
        <f>(CD20-BX20)/(CD9-BX9)</f>
        <v>-1.0506329113924282</v>
      </c>
      <c r="CE54" s="1773">
        <f>(CE20-BY20)/(CE9-BY9)</f>
        <v>-1.8160000000000367</v>
      </c>
      <c r="CF54" s="816"/>
      <c r="CG54" s="1774">
        <f>(CG20-CA20)/(CG9-CA9)</f>
        <v>0.19999999999999582</v>
      </c>
      <c r="CH54" s="1766">
        <f>(CH20-CB20)/(CH9-CB9)</f>
        <v>0.2708333333333322</v>
      </c>
      <c r="CI54" s="1766">
        <f>(CI20-CC20)/(CI9-CC9)</f>
        <v>0.13908872901678621</v>
      </c>
      <c r="CJ54" s="1766">
        <f>(CJ20-CD20)/(CJ9-CD9)</f>
        <v>0.31229235880398976</v>
      </c>
      <c r="CK54" s="1773">
        <f>(CK20-CE20)/(CK9-CE9)</f>
        <v>0.24708926261319505</v>
      </c>
      <c r="CL54" s="816"/>
      <c r="CM54" s="1321">
        <f>(CM20-CG20)/(CM9-CG9)</f>
        <v>0.13583893584318929</v>
      </c>
      <c r="CN54" s="1321">
        <f>(CN20-CH20)/(CN9-CH9)</f>
        <v>0.21828139946353073</v>
      </c>
      <c r="CO54" s="1321">
        <f>(CO20-CI20)/(CO9-CI9)</f>
        <v>0.88845109085869478</v>
      </c>
      <c r="CP54" s="1785">
        <f>(CP20-CJ20)/(CP9-CJ9)</f>
        <v>0.33087684623346547</v>
      </c>
      <c r="CQ54" s="1773">
        <f>(CQ20-CK20)/(CQ9-CK9)</f>
        <v>0.31938361795047671</v>
      </c>
      <c r="CR54" s="816"/>
      <c r="CS54" s="1321">
        <f>(CS20-CM20)/(CS9-CM9)</f>
        <v>2.8300366555434562</v>
      </c>
      <c r="CT54" s="1321">
        <f>(CT20-CN20)/(CT9-CN9)</f>
        <v>1.5052492678323734</v>
      </c>
      <c r="CU54" s="1321">
        <f>(CU20-CO20)/(CU9-CO9)</f>
        <v>0.31685215707963033</v>
      </c>
      <c r="CV54" s="1785">
        <f>(CV20-CP20)/(CV9-CP9)</f>
        <v>-0.59814106368105435</v>
      </c>
      <c r="CW54" s="1773">
        <f>(CW20-CQ20)/(CW9-CQ9)</f>
        <v>0.52408725997350203</v>
      </c>
      <c r="CX54" s="1766"/>
      <c r="CY54" s="1415">
        <f>(CY20-CS20)/(CY9-CS9)</f>
        <v>0.6029804801168821</v>
      </c>
      <c r="CZ54" s="1321">
        <f>(CZ20-CT20)/(CZ9-CT9)</f>
        <v>1.2958317156912931</v>
      </c>
      <c r="DA54" s="1321">
        <f>(DA20-CU20)/(DA9-CU9)</f>
        <v>0.51196126023123123</v>
      </c>
      <c r="DB54" s="1785">
        <f>(DB20-CV20)/(DB9-CV9)</f>
        <v>0.77198193769918122</v>
      </c>
      <c r="DC54" s="1773">
        <f>(DC20-CW20)/(DC9-CW9)</f>
        <v>0.68524552056703869</v>
      </c>
      <c r="DD54" s="1766"/>
      <c r="DE54" s="1415">
        <f>(DE20-CY20)/(DE9-CY9)</f>
        <v>0.94551982644864707</v>
      </c>
      <c r="DF54" s="1321">
        <f>(DF20-CZ20)/(DF9-CZ9)</f>
        <v>0.57936415760889737</v>
      </c>
      <c r="DG54" s="1321">
        <f>(DG20-DA20)/(DG9-DA9)</f>
        <v>1.0088865879896811</v>
      </c>
      <c r="DH54" s="1785">
        <f>(DH20-DB20)/(DH9-DB9)</f>
        <v>0.63311670426928612</v>
      </c>
      <c r="DI54" s="1773">
        <f>(DI20-DC20)/(DI9-DC9)</f>
        <v>0.72337809734269909</v>
      </c>
      <c r="DJ54"/>
      <c r="DK54"/>
      <c r="DL54"/>
      <c r="DM54"/>
      <c r="DN54"/>
      <c r="DO54"/>
    </row>
    <row r="55" spans="1:127" s="10" customFormat="1" ht="11.25" customHeight="1">
      <c r="A55" s="2255" t="s">
        <v>550</v>
      </c>
      <c r="B55" s="2251"/>
      <c r="C55" s="2252"/>
      <c r="D55" s="2251"/>
      <c r="E55" s="2253"/>
      <c r="F55" s="2251"/>
      <c r="G55" s="2253"/>
      <c r="H55" s="2251"/>
      <c r="I55" s="2253"/>
      <c r="J55" s="2251"/>
      <c r="K55" s="2253"/>
      <c r="L55" s="2251"/>
      <c r="M55" s="2253"/>
      <c r="N55" s="2251"/>
      <c r="O55" s="2253"/>
      <c r="P55" s="2251"/>
      <c r="Q55" s="2253"/>
      <c r="R55" s="2251"/>
      <c r="S55" s="2256"/>
      <c r="T55" s="2257"/>
      <c r="U55" s="2257"/>
      <c r="V55" s="2257"/>
      <c r="W55" s="2253"/>
      <c r="X55" s="2251"/>
      <c r="Y55" s="2256"/>
      <c r="Z55" s="2257"/>
      <c r="AA55" s="2257"/>
      <c r="AB55" s="2257"/>
      <c r="AC55" s="2253"/>
      <c r="AD55" s="2251"/>
      <c r="AE55" s="2256"/>
      <c r="AF55" s="2257"/>
      <c r="AG55" s="2257"/>
      <c r="AH55" s="2257"/>
      <c r="AI55" s="2253"/>
      <c r="AJ55" s="2251"/>
      <c r="AK55" s="2256"/>
      <c r="AL55" s="2257"/>
      <c r="AM55" s="2257"/>
      <c r="AN55" s="2257"/>
      <c r="AO55" s="2253"/>
      <c r="AP55" s="2251"/>
      <c r="AQ55" s="2256"/>
      <c r="AR55" s="2257"/>
      <c r="AS55" s="2257"/>
      <c r="AT55" s="2257"/>
      <c r="AU55" s="2253"/>
      <c r="AV55" s="2251"/>
      <c r="AW55" s="2256"/>
      <c r="AX55" s="2257"/>
      <c r="AY55" s="2257"/>
      <c r="AZ55" s="2257"/>
      <c r="BA55" s="2253"/>
      <c r="BB55" s="2251"/>
      <c r="BC55" s="2256"/>
      <c r="BD55" s="2257"/>
      <c r="BE55" s="2257"/>
      <c r="BF55" s="2257"/>
      <c r="BG55" s="2253"/>
      <c r="BH55" s="2251"/>
      <c r="BI55" s="2256"/>
      <c r="BJ55" s="2257"/>
      <c r="BK55" s="2257"/>
      <c r="BL55" s="2257"/>
      <c r="BM55" s="2253"/>
      <c r="BN55" s="2254"/>
      <c r="BO55" s="2256">
        <f>BO126</f>
        <v>7.9456173787484027E-3</v>
      </c>
      <c r="BP55" s="2257">
        <f t="shared" ref="BP55:BS55" si="39">BP126</f>
        <v>-1.9017099958927558E-2</v>
      </c>
      <c r="BQ55" s="2257">
        <f t="shared" si="39"/>
        <v>-2.8649591246943662E-2</v>
      </c>
      <c r="BR55" s="2257">
        <f t="shared" si="39"/>
        <v>-1.8663412211356201E-2</v>
      </c>
      <c r="BS55" s="2253">
        <f t="shared" si="39"/>
        <v>-1.5318163142457014E-2</v>
      </c>
      <c r="BT55" s="2254"/>
      <c r="BU55" s="2256">
        <f>BU126</f>
        <v>1.0538706798964653E-2</v>
      </c>
      <c r="BV55" s="2257">
        <f t="shared" ref="BV55:BY55" si="40">BV126</f>
        <v>-8.2669458025819847E-3</v>
      </c>
      <c r="BW55" s="2257">
        <f t="shared" si="40"/>
        <v>3.3337068502222622E-2</v>
      </c>
      <c r="BX55" s="2257">
        <f t="shared" si="40"/>
        <v>4.0455316360235083E-2</v>
      </c>
      <c r="BY55" s="2253">
        <f t="shared" si="40"/>
        <v>2.1601887822742721E-2</v>
      </c>
      <c r="BZ55" s="2254"/>
      <c r="CA55" s="2256">
        <f>CA126</f>
        <v>1.1402561642875661E-2</v>
      </c>
      <c r="CB55" s="2257">
        <f t="shared" ref="CB55:CE55" si="41">CB126</f>
        <v>-3.3744955609360527E-3</v>
      </c>
      <c r="CC55" s="2257">
        <f t="shared" si="41"/>
        <v>1.2738408931099454E-2</v>
      </c>
      <c r="CD55" s="2257">
        <f t="shared" si="41"/>
        <v>1.1272693608900736E-2</v>
      </c>
      <c r="CE55" s="2253">
        <f t="shared" si="41"/>
        <v>8.0771996944255242E-3</v>
      </c>
      <c r="CF55" s="2254"/>
      <c r="CG55" s="2256">
        <f>CG126</f>
        <v>3.0902752802980382E-4</v>
      </c>
      <c r="CH55" s="2257">
        <f t="shared" ref="CH55:CJ55" si="42">CH126</f>
        <v>1.7977225223915275E-2</v>
      </c>
      <c r="CI55" s="2257">
        <f t="shared" si="42"/>
        <v>-5.1094025486464745E-3</v>
      </c>
      <c r="CJ55" s="2257">
        <f t="shared" si="42"/>
        <v>1.5899692758327644E-2</v>
      </c>
      <c r="CK55" s="2253">
        <f t="shared" ref="CK55" si="43">CK126</f>
        <v>8.5679569314146553E-3</v>
      </c>
      <c r="CL55" s="2254"/>
      <c r="CM55" s="2256">
        <f>CM126</f>
        <v>1.6733440619688678E-2</v>
      </c>
      <c r="CN55" s="2257">
        <f t="shared" ref="CN55:CO55" si="44">CN126</f>
        <v>1.518110466550307E-2</v>
      </c>
      <c r="CO55" s="2257">
        <f t="shared" si="44"/>
        <v>2.4288759379672925E-2</v>
      </c>
      <c r="CP55" s="2257">
        <f>CP126</f>
        <v>1.9692465308542295E-3</v>
      </c>
      <c r="CQ55" s="2253">
        <f>CQ126</f>
        <v>1.1880098065553957E-2</v>
      </c>
      <c r="CR55" s="2254"/>
      <c r="CS55" s="2256">
        <f>CS126</f>
        <v>4.2161325035277336E-2</v>
      </c>
      <c r="CT55" s="2257">
        <f t="shared" ref="CT55:CW55" si="45">CT126</f>
        <v>4.2309881734696381E-2</v>
      </c>
      <c r="CU55" s="2257">
        <f t="shared" si="45"/>
        <v>-1.8684606330453546E-3</v>
      </c>
      <c r="CV55" s="2257">
        <f t="shared" si="45"/>
        <v>-4.1667733858334194E-2</v>
      </c>
      <c r="CW55" s="2253">
        <f t="shared" si="45"/>
        <v>6.5216723625783901E-3</v>
      </c>
      <c r="CX55" s="1766"/>
      <c r="CY55" s="2256">
        <f>CY126</f>
        <v>7.2436344447305845E-3</v>
      </c>
      <c r="CZ55" s="2257">
        <f t="shared" ref="CZ55:DC55" si="46">CZ126</f>
        <v>7.0880595644722544E-3</v>
      </c>
      <c r="DA55" s="2257">
        <f t="shared" si="46"/>
        <v>7.2930653683203062E-3</v>
      </c>
      <c r="DB55" s="2257">
        <f t="shared" si="46"/>
        <v>7.127942926244496E-3</v>
      </c>
      <c r="DC55" s="2253">
        <f t="shared" si="46"/>
        <v>7.1825807365610006E-3</v>
      </c>
      <c r="DD55" s="1766"/>
      <c r="DE55" s="2256">
        <f>DE126</f>
        <v>8.1444789126364214E-3</v>
      </c>
      <c r="DF55" s="2257">
        <f t="shared" ref="DF55:DI55" si="47">DF126</f>
        <v>8.2751332922800236E-3</v>
      </c>
      <c r="DG55" s="2257">
        <f t="shared" si="47"/>
        <v>8.1245074546262563E-3</v>
      </c>
      <c r="DH55" s="2257">
        <f t="shared" si="47"/>
        <v>8.1838134329713097E-3</v>
      </c>
      <c r="DI55" s="2253">
        <f t="shared" si="47"/>
        <v>8.1848044153318422E-3</v>
      </c>
      <c r="DJ55"/>
      <c r="DK55"/>
      <c r="DL55"/>
      <c r="DM55"/>
      <c r="DN55"/>
      <c r="DO55"/>
    </row>
    <row r="56" spans="1:127" s="10" customFormat="1" ht="11.25" customHeight="1">
      <c r="A56" s="1435" t="s">
        <v>12</v>
      </c>
      <c r="B56" s="734"/>
      <c r="C56" s="1773">
        <f>C24/C9</f>
        <v>5.4588101499751115E-2</v>
      </c>
      <c r="D56" s="734"/>
      <c r="E56" s="1773">
        <f>E24/E9</f>
        <v>0.10040191683413209</v>
      </c>
      <c r="F56" s="734"/>
      <c r="G56" s="1773">
        <f>G24/G9</f>
        <v>6.9436829325605076E-2</v>
      </c>
      <c r="H56" s="734"/>
      <c r="I56" s="1773">
        <f>I24/I9</f>
        <v>7.7213537452395689E-2</v>
      </c>
      <c r="J56" s="734"/>
      <c r="K56" s="1773">
        <f>K24/K9</f>
        <v>9.126793499442569E-2</v>
      </c>
      <c r="L56" s="734"/>
      <c r="M56" s="1773">
        <f>M24/M9</f>
        <v>5.1576843550880679E-2</v>
      </c>
      <c r="N56" s="734"/>
      <c r="O56" s="1773">
        <f>O24/O9</f>
        <v>2.8743108685868601E-2</v>
      </c>
      <c r="P56" s="734"/>
      <c r="Q56" s="1773">
        <f>Q24/Q9</f>
        <v>8.7112796941864801E-2</v>
      </c>
      <c r="R56" s="734"/>
      <c r="S56" s="1774">
        <f>S24/S9</f>
        <v>9.766646284894992E-2</v>
      </c>
      <c r="T56" s="1766">
        <f>T24/T9</f>
        <v>9.7412000039807614E-2</v>
      </c>
      <c r="U56" s="1766">
        <f>U24/U9</f>
        <v>0.10457947935539245</v>
      </c>
      <c r="V56" s="1766">
        <f>V24/V9</f>
        <v>0.13607557603686649</v>
      </c>
      <c r="W56" s="1773">
        <f>W24/W9</f>
        <v>0.111223539237416</v>
      </c>
      <c r="X56" s="734"/>
      <c r="Y56" s="1774">
        <f>Y24/Y9</f>
        <v>0.13005454475368133</v>
      </c>
      <c r="Z56" s="1766">
        <f>Z24/Z9</f>
        <v>0.12200115799984888</v>
      </c>
      <c r="AA56" s="1766">
        <f>AA24/AA9</f>
        <v>0.15820648577101248</v>
      </c>
      <c r="AB56" s="1766">
        <f>AB24/AB9</f>
        <v>0.22880421856237076</v>
      </c>
      <c r="AC56" s="1773">
        <f>AC24/AC9</f>
        <v>0.16776443239054636</v>
      </c>
      <c r="AD56" s="734"/>
      <c r="AE56" s="1774">
        <f>AE24/AE9</f>
        <v>0.12295425933697018</v>
      </c>
      <c r="AF56" s="1766">
        <f>AF24/AF9</f>
        <v>0.11781701444622794</v>
      </c>
      <c r="AG56" s="1766">
        <f>AG24/AG9</f>
        <v>9.8306484923585305E-2</v>
      </c>
      <c r="AH56" s="1766">
        <f>AH24/AH9</f>
        <v>0.18686548223350227</v>
      </c>
      <c r="AI56" s="1773">
        <f>AI24/AI9</f>
        <v>0.13431487670490461</v>
      </c>
      <c r="AJ56" s="734"/>
      <c r="AK56" s="1774">
        <f>AK24/AK9</f>
        <v>9.2407809110628972E-2</v>
      </c>
      <c r="AL56" s="1766">
        <f>AL24/AL9</f>
        <v>0.10336633663366332</v>
      </c>
      <c r="AM56" s="1766">
        <f>AM24/AM9</f>
        <v>0.1241041116559787</v>
      </c>
      <c r="AN56" s="1766">
        <f>AN24/AN9</f>
        <v>0.21779475982532739</v>
      </c>
      <c r="AO56" s="1773">
        <f>AO24/AO9</f>
        <v>0.14365186182144443</v>
      </c>
      <c r="AP56" s="734"/>
      <c r="AQ56" s="1774">
        <f>AQ24/AQ9</f>
        <v>0.13143680230464536</v>
      </c>
      <c r="AR56" s="1766">
        <f>AR24/AR9</f>
        <v>0.16284479893652365</v>
      </c>
      <c r="AS56" s="1766">
        <f>AS24/AS9</f>
        <v>0.18310767246937462</v>
      </c>
      <c r="AT56" s="1766">
        <f>AT24/AT9</f>
        <v>0.18168709444844974</v>
      </c>
      <c r="AU56" s="1773">
        <f>AU24/AU9</f>
        <v>0.16698597593685346</v>
      </c>
      <c r="AV56" s="734"/>
      <c r="AW56" s="1774">
        <f>AW24/AW9</f>
        <v>0.12773109243697478</v>
      </c>
      <c r="AX56" s="1766">
        <f>AX24/AX9</f>
        <v>0.15403788634097731</v>
      </c>
      <c r="AY56" s="1766">
        <f>AY24/AY9</f>
        <v>0.14531548757170168</v>
      </c>
      <c r="AZ56" s="1766">
        <f>AZ24/AZ9</f>
        <v>0.15007366870132566</v>
      </c>
      <c r="BA56" s="1773">
        <f>BA24/BA9</f>
        <v>0.14500211902887924</v>
      </c>
      <c r="BB56" s="734"/>
      <c r="BC56" s="1774">
        <f>BC24/BC9</f>
        <v>0.12845167652859951</v>
      </c>
      <c r="BD56" s="1766">
        <f>BD24/BD9</f>
        <v>0.100784406940813</v>
      </c>
      <c r="BE56" s="1766">
        <f>BE24/BE9</f>
        <v>0.17373827601607864</v>
      </c>
      <c r="BF56" s="1766">
        <f>BF24/BF9</f>
        <v>0.16199497390295786</v>
      </c>
      <c r="BG56" s="1773">
        <f>BG24/BG9</f>
        <v>0.1429608127721336</v>
      </c>
      <c r="BH56" s="734"/>
      <c r="BI56" s="1774">
        <f>BI24/BI9</f>
        <v>8.5663446873411417E-2</v>
      </c>
      <c r="BJ56" s="1766">
        <f>BJ24/BJ9</f>
        <v>0.13893163332600567</v>
      </c>
      <c r="BK56" s="1766">
        <f>BK24/BK9</f>
        <v>0.13075170842824591</v>
      </c>
      <c r="BL56" s="1766">
        <f>BL24/BL9</f>
        <v>0.16627422568375311</v>
      </c>
      <c r="BM56" s="1773">
        <f>BM24/BM9</f>
        <v>0.13379362835707295</v>
      </c>
      <c r="BN56" s="816"/>
      <c r="BO56" s="1774">
        <f>BO24/BO9</f>
        <v>9.9362756667453492E-2</v>
      </c>
      <c r="BP56" s="1766">
        <f>BP24/BP9</f>
        <v>0.13707914298207249</v>
      </c>
      <c r="BQ56" s="1766">
        <f>BQ24/BQ9</f>
        <v>0.11529299666507856</v>
      </c>
      <c r="BR56" s="1766">
        <f>BR24/BR9</f>
        <v>0.13917322834645687</v>
      </c>
      <c r="BS56" s="1773">
        <f>BS24/BS9</f>
        <v>0.12377688097738962</v>
      </c>
      <c r="BT56" s="816"/>
      <c r="BU56" s="1774">
        <f>BU24/BU9</f>
        <v>0.12475247524752478</v>
      </c>
      <c r="BV56" s="1766">
        <f>BV24/BV9</f>
        <v>0.12853535353535347</v>
      </c>
      <c r="BW56" s="1766">
        <f>BW24/BW9</f>
        <v>0.15400151476899776</v>
      </c>
      <c r="BX56" s="1766">
        <f>BX24/BX9</f>
        <v>0.19196988707653687</v>
      </c>
      <c r="BY56" s="1773">
        <f>BY24/BY9</f>
        <v>0.15260500061583943</v>
      </c>
      <c r="BZ56" s="816"/>
      <c r="CA56" s="1774">
        <f>CA24/CA9</f>
        <v>0.14677677144379336</v>
      </c>
      <c r="CB56" s="1766">
        <f>CB24/CB9</f>
        <v>0.12940543449018038</v>
      </c>
      <c r="CC56" s="1321">
        <f>CC24/CC9</f>
        <v>0.16984006092916976</v>
      </c>
      <c r="CD56" s="1766">
        <f>CD24/CD9</f>
        <v>0.21348075696364011</v>
      </c>
      <c r="CE56" s="1773">
        <f>CE24/CE9</f>
        <v>0.16787686960839079</v>
      </c>
      <c r="CF56" s="816"/>
      <c r="CG56" s="1774">
        <f>CG24/CG9</f>
        <v>0.14912964406339307</v>
      </c>
      <c r="CH56" s="1766">
        <f>CH24/CH9</f>
        <v>0.14509520366353337</v>
      </c>
      <c r="CI56" s="1766">
        <f>CI24/CI9</f>
        <v>0.16827364554637272</v>
      </c>
      <c r="CJ56" s="1766">
        <f>CJ24/CJ9</f>
        <v>0.22525918944392112</v>
      </c>
      <c r="CK56" s="1773">
        <f>CK24/CK9</f>
        <v>0.17577439266096609</v>
      </c>
      <c r="CL56" s="816"/>
      <c r="CM56" s="1321">
        <f>CM24/CM9</f>
        <v>0.15537531459529919</v>
      </c>
      <c r="CN56" s="1321">
        <f>CN24/CN9</f>
        <v>0.1552899922372559</v>
      </c>
      <c r="CO56" s="1321">
        <f>CO24/CO9</f>
        <v>0.1989838368212517</v>
      </c>
      <c r="CP56" s="1785">
        <f>CP24/CP9</f>
        <v>0.23601330750448307</v>
      </c>
      <c r="CQ56" s="1773">
        <f>CQ24/CQ9</f>
        <v>0.18998589236219085</v>
      </c>
      <c r="CR56" s="816"/>
      <c r="CS56" s="1321">
        <f>CS24/CS9</f>
        <v>0.202583565454208</v>
      </c>
      <c r="CT56" s="1321">
        <f>CT24/CT9</f>
        <v>0.20212618620361886</v>
      </c>
      <c r="CU56" s="1321">
        <f>CU24/CU9</f>
        <v>0.20210317111912848</v>
      </c>
      <c r="CV56" s="1785">
        <f>CV24/CV9</f>
        <v>0.19841564443362639</v>
      </c>
      <c r="CW56" s="1773">
        <f>CW24/CW9</f>
        <v>0.20109472055856123</v>
      </c>
      <c r="CX56" s="1766"/>
      <c r="CY56" s="1415">
        <f>CY24/CY9</f>
        <v>0.21446312085159605</v>
      </c>
      <c r="CZ56" s="1321">
        <f>CZ24/CZ9</f>
        <v>0.21428853084096788</v>
      </c>
      <c r="DA56" s="1321">
        <f>DA24/DA9</f>
        <v>0.21378461084537143</v>
      </c>
      <c r="DB56" s="1785">
        <f>DB24/DB9</f>
        <v>0.21017843073232123</v>
      </c>
      <c r="DC56" s="1773">
        <f>DC24/DC9</f>
        <v>0.21296054336138254</v>
      </c>
      <c r="DD56" s="1766"/>
      <c r="DE56" s="1415">
        <f>DE24/DE9</f>
        <v>0.22752770663842239</v>
      </c>
      <c r="DF56" s="1321">
        <f>DF24/DF9</f>
        <v>0.22701213884555999</v>
      </c>
      <c r="DG56" s="1321">
        <f>DG24/DG9</f>
        <v>0.22680926740646717</v>
      </c>
      <c r="DH56" s="1785">
        <f>DH24/DH9</f>
        <v>0.22278746501849167</v>
      </c>
      <c r="DI56" s="1773">
        <f>DI24/DI9</f>
        <v>0.22579214868526709</v>
      </c>
      <c r="DJ56"/>
      <c r="DK56"/>
      <c r="DL56"/>
      <c r="DM56"/>
      <c r="DN56"/>
      <c r="DO56"/>
    </row>
    <row r="57" spans="1:127" s="10" customFormat="1" ht="11.25" hidden="1" customHeight="1" outlineLevel="1">
      <c r="A57" s="1435" t="s">
        <v>49</v>
      </c>
      <c r="B57" s="734"/>
      <c r="C57" s="1773">
        <f>C27/C9</f>
        <v>0</v>
      </c>
      <c r="D57" s="734"/>
      <c r="E57" s="1773">
        <f>E27/E9</f>
        <v>0</v>
      </c>
      <c r="F57" s="734"/>
      <c r="G57" s="1773">
        <f>G27/G9</f>
        <v>0</v>
      </c>
      <c r="H57" s="734"/>
      <c r="I57" s="1773">
        <f>I27/I9</f>
        <v>0</v>
      </c>
      <c r="J57" s="734"/>
      <c r="K57" s="1773">
        <f>K27/K9</f>
        <v>5.3838972527621961E-3</v>
      </c>
      <c r="L57" s="734"/>
      <c r="M57" s="1773">
        <f>M27/M9</f>
        <v>5.8884681926814194E-3</v>
      </c>
      <c r="N57" s="734"/>
      <c r="O57" s="1773">
        <f>O27/O9</f>
        <v>-1.111400202520252E-2</v>
      </c>
      <c r="P57" s="734"/>
      <c r="Q57" s="1773">
        <f>Q27/Q9</f>
        <v>-3.4573260658745529E-3</v>
      </c>
      <c r="R57" s="734"/>
      <c r="S57" s="1774">
        <f>S27/S9</f>
        <v>1.3220038795648141E-2</v>
      </c>
      <c r="T57" s="1766">
        <f>T27/T9</f>
        <v>1.89882865758387E-2</v>
      </c>
      <c r="U57" s="1766">
        <f>U27/U9</f>
        <v>-2.1931915705158774E-4</v>
      </c>
      <c r="V57" s="1766">
        <f>V27/V9</f>
        <v>4.3870967741935479E-3</v>
      </c>
      <c r="W57" s="1773">
        <f>W27/W9</f>
        <v>8.5674821147501117E-3</v>
      </c>
      <c r="X57" s="734"/>
      <c r="Y57" s="1774">
        <f>Y27/Y9</f>
        <v>-2.3995836866856834E-3</v>
      </c>
      <c r="Z57" s="1766">
        <f>Z27/Z9</f>
        <v>1.7789562897013533E-3</v>
      </c>
      <c r="AA57" s="1766">
        <f>AA27/AA9</f>
        <v>-3.1849768365320983E-3</v>
      </c>
      <c r="AB57" s="1766">
        <f>AB27/AB9</f>
        <v>-4.223203253258769E-3</v>
      </c>
      <c r="AC57" s="1773">
        <f>AC27/AC9</f>
        <v>-2.2278186749321964E-3</v>
      </c>
      <c r="AD57" s="734"/>
      <c r="AE57" s="1774">
        <f>AE27/AE9</f>
        <v>-5.035669324381032E-2</v>
      </c>
      <c r="AF57" s="1766">
        <f>AF27/AF9</f>
        <v>1.7656500802568219E-2</v>
      </c>
      <c r="AG57" s="1766">
        <f>AG27/AG9</f>
        <v>1.4456836018174306E-2</v>
      </c>
      <c r="AH57" s="1766">
        <f>AH27/AH9</f>
        <v>-1.6497461928934011E-2</v>
      </c>
      <c r="AI57" s="1773">
        <f>AI27/AI9</f>
        <v>-7.4067383253545302E-3</v>
      </c>
      <c r="AJ57" s="734"/>
      <c r="AK57" s="1774">
        <f>AK27/AK9</f>
        <v>8.6767895878524948E-3</v>
      </c>
      <c r="AL57" s="1766">
        <f>AL27/AL9</f>
        <v>-4.7524752475247524E-3</v>
      </c>
      <c r="AM57" s="1766">
        <f>AM27/AM9</f>
        <v>-1.5088645794039987E-3</v>
      </c>
      <c r="AN57" s="1766">
        <f>AN27/AN9</f>
        <v>-4.0938864628820961E-3</v>
      </c>
      <c r="AO57" s="1773">
        <f>AO27/AO9</f>
        <v>-9.86989681471512E-4</v>
      </c>
      <c r="AP57" s="734"/>
      <c r="AQ57" s="1774">
        <f>AQ27/AQ9</f>
        <v>3.9611091105509547E-3</v>
      </c>
      <c r="AR57" s="1766">
        <f>AR27/AR9</f>
        <v>-1.0302426055167829E-2</v>
      </c>
      <c r="AS57" s="1766">
        <f>AS27/AS9</f>
        <v>0</v>
      </c>
      <c r="AT57" s="1766">
        <f>AT27/AT9</f>
        <v>2.6435952895938466E-3</v>
      </c>
      <c r="AU57" s="1773">
        <f>AU27/AU9</f>
        <v>-6.897080236033411E-4</v>
      </c>
      <c r="AV57" s="734"/>
      <c r="AW57" s="1774">
        <f>AW27/AW9</f>
        <v>-1.0364145658263307E-2</v>
      </c>
      <c r="AX57" s="1766">
        <f>AX27/AX9</f>
        <v>-1.0717846460618144E-2</v>
      </c>
      <c r="AY57" s="1766">
        <f>AY27/AY9</f>
        <v>8.126195028680689E-3</v>
      </c>
      <c r="AZ57" s="1766">
        <f>AZ27/AZ9</f>
        <v>1.6838560303094076E-3</v>
      </c>
      <c r="BA57" s="1773">
        <f>BA27/BA9</f>
        <v>-2.3006599261367082E-3</v>
      </c>
      <c r="BB57" s="734"/>
      <c r="BC57" s="1774">
        <f>BC27/BC9</f>
        <v>-1.0355029585798816E-2</v>
      </c>
      <c r="BD57" s="1766">
        <f>BD27/BD9</f>
        <v>1.6638935108153074E-3</v>
      </c>
      <c r="BE57" s="1766">
        <f>BE27/BE9</f>
        <v>1.5631978561857973E-3</v>
      </c>
      <c r="BF57" s="1766">
        <f>BF27/BF9</f>
        <v>5.4127198917456008E-3</v>
      </c>
      <c r="BG57" s="1773">
        <f>BG27/BG9</f>
        <v>0</v>
      </c>
      <c r="BH57" s="734"/>
      <c r="BI57" s="1774">
        <f>BI27/BI9</f>
        <v>-4.3213014743263851E-3</v>
      </c>
      <c r="BJ57" s="1766">
        <f>BJ27/BJ9</f>
        <v>-1.3629369092108155E-2</v>
      </c>
      <c r="BK57" s="1766">
        <f>BK27/BK9</f>
        <v>0</v>
      </c>
      <c r="BL57" s="1766">
        <f>BL27/BL9</f>
        <v>9.9619634124252857E-3</v>
      </c>
      <c r="BM57" s="1773">
        <f>BM27/BM9</f>
        <v>-1.3047732956398828E-3</v>
      </c>
      <c r="BN57" s="816"/>
      <c r="BO57" s="1774">
        <f>BO27/BO9</f>
        <v>-5.1923530800094394E-3</v>
      </c>
      <c r="BP57" s="1766">
        <f>BP27/BP9</f>
        <v>1.7490161783996505E-3</v>
      </c>
      <c r="BQ57" s="1766">
        <f>BQ27/BQ9</f>
        <v>2.3820867079561684E-3</v>
      </c>
      <c r="BR57" s="1766">
        <f>BR27/BR9</f>
        <v>5.7086614173228328E-3</v>
      </c>
      <c r="BS57" s="1773">
        <f>BS27/BS9</f>
        <v>1.3820553927801421E-3</v>
      </c>
      <c r="BT57" s="816"/>
      <c r="BU57" s="1774">
        <f>BU27/BU9</f>
        <v>-1.1315417256011317E-3</v>
      </c>
      <c r="BV57" s="1766">
        <f>BV27/BV9</f>
        <v>0</v>
      </c>
      <c r="BW57" s="1766">
        <f>BW27/BW9</f>
        <v>-6.3115374905326933E-3</v>
      </c>
      <c r="BX57" s="1766">
        <f>BX27/BX9</f>
        <v>-5.8552906733584306E-3</v>
      </c>
      <c r="BY57" s="1773">
        <f>BY27/BY9</f>
        <v>-3.5102845177977585E-3</v>
      </c>
      <c r="BZ57" s="816"/>
      <c r="CA57" s="1774">
        <f>CA27/CA9</f>
        <v>0</v>
      </c>
      <c r="CB57" s="1766">
        <f>CB27/CB9</f>
        <v>0</v>
      </c>
      <c r="CC57" s="1766">
        <f>CC27/CC9</f>
        <v>0</v>
      </c>
      <c r="CD57" s="1766">
        <f>CD27/CD9</f>
        <v>0</v>
      </c>
      <c r="CE57" s="1773">
        <f>CE27/CE9</f>
        <v>0</v>
      </c>
      <c r="CF57" s="816"/>
      <c r="CG57" s="1774">
        <f>CG27/CG9</f>
        <v>0</v>
      </c>
      <c r="CH57" s="1766">
        <f>CH27/CH9</f>
        <v>1.2051096649795133E-3</v>
      </c>
      <c r="CI57" s="1766">
        <f>CI27/CI9</f>
        <v>-2.5252525252525255E-3</v>
      </c>
      <c r="CJ57" s="1766">
        <f>CJ27/CJ9</f>
        <v>0</v>
      </c>
      <c r="CK57" s="1773">
        <f>CK27/CK9</f>
        <v>-3.3977008890650665E-4</v>
      </c>
      <c r="CL57" s="816"/>
      <c r="CM57" s="422">
        <v>-1.2999999999999999E-3</v>
      </c>
      <c r="CN57" s="422">
        <v>-1.2999999999999999E-3</v>
      </c>
      <c r="CO57" s="422">
        <v>-1.2999999999999999E-3</v>
      </c>
      <c r="CP57" s="422">
        <v>-1.2999999999999999E-3</v>
      </c>
      <c r="CQ57" s="1773">
        <f>CQ27/CQ9</f>
        <v>-1.2999999999999999E-3</v>
      </c>
      <c r="CR57" s="816"/>
      <c r="CS57" s="422">
        <v>-1.2999999999999999E-3</v>
      </c>
      <c r="CT57" s="422">
        <v>-1.2999999999999999E-3</v>
      </c>
      <c r="CU57" s="422">
        <v>-1.2999999999999999E-3</v>
      </c>
      <c r="CV57" s="422">
        <v>-1.2999999999999999E-3</v>
      </c>
      <c r="CW57" s="1773">
        <f>CW27/CW9</f>
        <v>-1.2999999999999999E-3</v>
      </c>
      <c r="CX57" s="1766"/>
      <c r="CY57" s="1451">
        <v>-1.2999999999999999E-3</v>
      </c>
      <c r="CZ57" s="422">
        <v>-1.2999999999999999E-3</v>
      </c>
      <c r="DA57" s="422">
        <v>-1.2999999999999999E-3</v>
      </c>
      <c r="DB57" s="422">
        <v>-1.2999999999999999E-3</v>
      </c>
      <c r="DC57" s="1773">
        <f>DC27/DC9</f>
        <v>-1.2999999999999999E-3</v>
      </c>
      <c r="DD57" s="1766"/>
      <c r="DE57" s="1451">
        <v>-1.2999999999999999E-3</v>
      </c>
      <c r="DF57" s="422">
        <v>-1.2999999999999999E-3</v>
      </c>
      <c r="DG57" s="422">
        <v>-1.2999999999999999E-3</v>
      </c>
      <c r="DH57" s="422">
        <v>-1.2999999999999999E-3</v>
      </c>
      <c r="DI57" s="1773">
        <f>DI27/DI9</f>
        <v>-1.2999999999999997E-3</v>
      </c>
      <c r="DJ57"/>
      <c r="DK57"/>
      <c r="DL57"/>
      <c r="DM57"/>
      <c r="DN57"/>
      <c r="DO57"/>
    </row>
    <row r="58" spans="1:127" s="10" customFormat="1" ht="11.25" customHeight="1" collapsed="1">
      <c r="A58" s="1435" t="s">
        <v>53</v>
      </c>
      <c r="B58" s="734"/>
      <c r="C58" s="1773">
        <f>C29/C28</f>
        <v>0</v>
      </c>
      <c r="D58" s="734"/>
      <c r="E58" s="1773">
        <f>E29/E28</f>
        <v>0.48950437317784168</v>
      </c>
      <c r="F58" s="734"/>
      <c r="G58" s="1773">
        <f>G29/G28</f>
        <v>0.19939271255060731</v>
      </c>
      <c r="H58" s="734"/>
      <c r="I58" s="1773">
        <f>I29/I28</f>
        <v>0.39723893805309679</v>
      </c>
      <c r="J58" s="734"/>
      <c r="K58" s="1773">
        <f>K29/K28</f>
        <v>0.38935041537383702</v>
      </c>
      <c r="L58" s="734"/>
      <c r="M58" s="1773">
        <f>M29/M28</f>
        <v>0.47878077373973926</v>
      </c>
      <c r="N58" s="734"/>
      <c r="O58" s="1773">
        <f>O29/O28</f>
        <v>-0.58505207269757065</v>
      </c>
      <c r="P58" s="734"/>
      <c r="Q58" s="1773">
        <f>Q29/Q28</f>
        <v>0.54777746973477515</v>
      </c>
      <c r="R58" s="734"/>
      <c r="S58" s="1774">
        <f>S29/S28</f>
        <v>0.43878626586001546</v>
      </c>
      <c r="T58" s="1766">
        <f>T29/T28</f>
        <v>0.34726708582822147</v>
      </c>
      <c r="U58" s="1766">
        <f>U29/U28</f>
        <v>0.49054897524757901</v>
      </c>
      <c r="V58" s="1766">
        <f>V29/V28</f>
        <v>0.40573271999303806</v>
      </c>
      <c r="W58" s="1773">
        <f>W29/W28</f>
        <v>0.41488142686329249</v>
      </c>
      <c r="X58" s="734"/>
      <c r="Y58" s="1774">
        <f>Y29/Y28</f>
        <v>0.29410636359276837</v>
      </c>
      <c r="Z58" s="1766">
        <f>Z29/Z28</f>
        <v>0.26212915915423718</v>
      </c>
      <c r="AA58" s="1766">
        <f>AA29/AA28</f>
        <v>0.14742647058823544</v>
      </c>
      <c r="AB58" s="1766">
        <f>AB29/AB28</f>
        <v>0.36644814701541123</v>
      </c>
      <c r="AC58" s="1773">
        <f>AC29/AC28</f>
        <v>0.29327237099934672</v>
      </c>
      <c r="AD58" s="734"/>
      <c r="AE58" s="1774">
        <f>AE29/AE28</f>
        <v>0.43564356435643575</v>
      </c>
      <c r="AF58" s="1766">
        <f>AF29/AF28</f>
        <v>0.31343283582089554</v>
      </c>
      <c r="AG58" s="1766">
        <f>AG29/AG28</f>
        <v>-0.10465116279069767</v>
      </c>
      <c r="AH58" s="1766">
        <f>AH29/AH28</f>
        <v>0.32819383259911966</v>
      </c>
      <c r="AI58" s="1773">
        <f>AI29/AI28</f>
        <v>0.26365348399246735</v>
      </c>
      <c r="AJ58" s="734"/>
      <c r="AK58" s="1774">
        <f>AK29/AK28</f>
        <v>0.38157894736842152</v>
      </c>
      <c r="AL58" s="1766">
        <f>AL29/AL28</f>
        <v>0.27976190476190493</v>
      </c>
      <c r="AM58" s="1766">
        <f>AM29/AM28</f>
        <v>0.32926829268292751</v>
      </c>
      <c r="AN58" s="1766">
        <f>AN29/AN28</f>
        <v>0.40735294117647081</v>
      </c>
      <c r="AO58" s="1773">
        <f>AO29/AO28</f>
        <v>0.37158908507223171</v>
      </c>
      <c r="AP58" s="734"/>
      <c r="AQ58" s="1774">
        <f>AQ29/AQ28</f>
        <v>0.37671232876712307</v>
      </c>
      <c r="AR58" s="1766">
        <f>AR29/AR28</f>
        <v>0.29842931937172801</v>
      </c>
      <c r="AS58" s="1766">
        <f>AS29/AS28</f>
        <v>0.25</v>
      </c>
      <c r="AT58" s="1766">
        <f>AT29/AT28</f>
        <v>0.28805970149253751</v>
      </c>
      <c r="AU58" s="1773">
        <f>AU29/AU28</f>
        <v>0.29450549450549435</v>
      </c>
      <c r="AV58" s="734"/>
      <c r="AW58" s="1774">
        <f>AW29/AW28</f>
        <v>0.28834355828220865</v>
      </c>
      <c r="AX58" s="1766">
        <f>AX29/AX28</f>
        <v>0.26021505376344028</v>
      </c>
      <c r="AY58" s="1766">
        <f>AY29/AY28</f>
        <v>0.32532347504621084</v>
      </c>
      <c r="AZ58" s="1766">
        <f>AZ29/AZ28</f>
        <v>0.16449511400651518</v>
      </c>
      <c r="BA58" s="1773">
        <f>BA29/BA28</f>
        <v>0.25282631038026748</v>
      </c>
      <c r="BB58" s="734"/>
      <c r="BC58" s="1774">
        <f>BC29/BC28</f>
        <v>0.34072022160664855</v>
      </c>
      <c r="BD58" s="1766">
        <f>BD29/BD28</f>
        <v>0.32119205298013215</v>
      </c>
      <c r="BE58" s="1766">
        <f>BE29/BE28</f>
        <v>0.29085457271364307</v>
      </c>
      <c r="BF58" s="1766">
        <f>BF29/BF28</f>
        <v>0.30600292825768616</v>
      </c>
      <c r="BG58" s="1773">
        <f>BG29/BG28</f>
        <v>0.30948832588176828</v>
      </c>
      <c r="BH58" s="734"/>
      <c r="BI58" s="1774">
        <f>BI29/BI28</f>
        <v>0.2712765957446801</v>
      </c>
      <c r="BJ58" s="1766">
        <f>BJ29/BJ28</f>
        <v>0.31136363636363651</v>
      </c>
      <c r="BK58" s="1766">
        <f>BK29/BK28</f>
        <v>0.1995305164319251</v>
      </c>
      <c r="BL58" s="1766">
        <f>BL29/BL28</f>
        <v>0.28609986504723317</v>
      </c>
      <c r="BM58" s="1773">
        <f>BM29/BM28</f>
        <v>0.27019498607242337</v>
      </c>
      <c r="BN58" s="816"/>
      <c r="BO58" s="1774">
        <f>BO29/BO28</f>
        <v>0.25650557620817793</v>
      </c>
      <c r="BP58" s="1766">
        <f>BP29/BP28</f>
        <v>0.29960317460317487</v>
      </c>
      <c r="BQ58" s="1766">
        <f>BQ29/BQ28</f>
        <v>0.27002967359050467</v>
      </c>
      <c r="BR58" s="1766">
        <f>BR29/BR28</f>
        <v>0.20031545741324883</v>
      </c>
      <c r="BS58" s="1773">
        <f>BS29/BS28</f>
        <v>0.25114678899082554</v>
      </c>
      <c r="BT58" s="816"/>
      <c r="BU58" s="1774">
        <f>BU29/BU28</f>
        <v>0.27244582043343646</v>
      </c>
      <c r="BV58" s="1766">
        <f>BV29/BV28</f>
        <v>0.10298102981029816</v>
      </c>
      <c r="BW58" s="1766">
        <f>BW29/BW28</f>
        <v>0.32157676348547709</v>
      </c>
      <c r="BX58" s="1766">
        <f>BX29/BX28</f>
        <v>0.19053549190535513</v>
      </c>
      <c r="BY58" s="1773">
        <f>BY29/BY28</f>
        <v>0.21952453211937276</v>
      </c>
      <c r="BZ58" s="816"/>
      <c r="CA58" s="1774">
        <f>CA29/CA28</f>
        <v>0.17745803357314133</v>
      </c>
      <c r="CB58" s="1766">
        <f>CB29/CB28</f>
        <v>0.12032085561497308</v>
      </c>
      <c r="CC58" s="1766">
        <f>CC29/CC28</f>
        <v>6.2836624775583522E-2</v>
      </c>
      <c r="CD58" s="1766">
        <f>CD29/CD28</f>
        <v>0.21739130434782622</v>
      </c>
      <c r="CE58" s="1773">
        <f>CE29/CE28</f>
        <v>0.15670013094718457</v>
      </c>
      <c r="CF58" s="816"/>
      <c r="CG58" s="1774">
        <f>CG29/CG28</f>
        <v>0.30555555555555564</v>
      </c>
      <c r="CH58" s="1766">
        <f>CH29/CH28</f>
        <v>0.24173553719008267</v>
      </c>
      <c r="CI58" s="1766">
        <f>CI29/CI28</f>
        <v>0.22697368421052652</v>
      </c>
      <c r="CJ58" s="1766">
        <f>CJ29/CJ28</f>
        <v>0.2448210922787189</v>
      </c>
      <c r="CK58" s="1773">
        <f>CK29/CK28</f>
        <v>0.25019334880123745</v>
      </c>
      <c r="CL58" s="816"/>
      <c r="CM58" s="422">
        <v>0.25</v>
      </c>
      <c r="CN58" s="1321">
        <f>+CM58</f>
        <v>0.25</v>
      </c>
      <c r="CO58" s="1321">
        <f>+CN58</f>
        <v>0.25</v>
      </c>
      <c r="CP58" s="1321">
        <f>+CO58</f>
        <v>0.25</v>
      </c>
      <c r="CQ58" s="1773">
        <f>CQ29/CQ28</f>
        <v>0.24999999999999994</v>
      </c>
      <c r="CR58" s="816"/>
      <c r="CS58" s="422">
        <v>0.25</v>
      </c>
      <c r="CT58" s="1321">
        <f>+CS58</f>
        <v>0.25</v>
      </c>
      <c r="CU58" s="1321">
        <f>+CT58</f>
        <v>0.25</v>
      </c>
      <c r="CV58" s="1321">
        <f>+CU58</f>
        <v>0.25</v>
      </c>
      <c r="CW58" s="1773">
        <f>CW29/CW28</f>
        <v>0.25000000000000017</v>
      </c>
      <c r="CX58" s="816"/>
      <c r="CY58" s="422">
        <v>0.25</v>
      </c>
      <c r="CZ58" s="1321">
        <f>+CY58</f>
        <v>0.25</v>
      </c>
      <c r="DA58" s="1321">
        <f>+CZ58</f>
        <v>0.25</v>
      </c>
      <c r="DB58" s="1321">
        <f>+DA58</f>
        <v>0.25</v>
      </c>
      <c r="DC58" s="1773">
        <f>DC29/DC28</f>
        <v>0.25</v>
      </c>
      <c r="DD58" s="816"/>
      <c r="DE58" s="422">
        <v>0.25</v>
      </c>
      <c r="DF58" s="1321">
        <f>+DE58</f>
        <v>0.25</v>
      </c>
      <c r="DG58" s="1321">
        <f>+DF58</f>
        <v>0.25</v>
      </c>
      <c r="DH58" s="1321">
        <f>+DG58</f>
        <v>0.25</v>
      </c>
      <c r="DI58" s="1773">
        <f>DI29/DI28</f>
        <v>0.25000000000000011</v>
      </c>
      <c r="DJ58"/>
      <c r="DK58"/>
      <c r="DL58"/>
      <c r="DM58"/>
      <c r="DN58"/>
      <c r="DO58"/>
    </row>
    <row r="59" spans="1:127" s="10" customFormat="1" ht="11.25" customHeight="1">
      <c r="A59" s="1778" t="s">
        <v>52</v>
      </c>
      <c r="B59" s="734"/>
      <c r="C59" s="1779">
        <f>C32/C9</f>
        <v>-2.1039164119695909E-2</v>
      </c>
      <c r="D59" s="734"/>
      <c r="E59" s="1779">
        <f>E32/E9</f>
        <v>1.8947287061369673E-2</v>
      </c>
      <c r="F59" s="734"/>
      <c r="G59" s="1779">
        <f>G32/G9</f>
        <v>3.8722879298190641E-2</v>
      </c>
      <c r="H59" s="734"/>
      <c r="I59" s="1779">
        <f>I32/I9</f>
        <v>3.674143120691338E-2</v>
      </c>
      <c r="J59" s="734"/>
      <c r="K59" s="1779">
        <f>K32/K9</f>
        <v>2.4449600739606021E-2</v>
      </c>
      <c r="L59" s="734"/>
      <c r="M59" s="1779">
        <f>M32/M9</f>
        <v>8.5545824558174027E-3</v>
      </c>
      <c r="N59" s="734"/>
      <c r="O59" s="1779">
        <f>O32/O9</f>
        <v>-2.753361273627361E-2</v>
      </c>
      <c r="P59" s="734"/>
      <c r="Q59" s="1779">
        <f>Q32/Q9</f>
        <v>2.6183805100294683E-2</v>
      </c>
      <c r="R59" s="734"/>
      <c r="S59" s="1780">
        <f>S32/S9</f>
        <v>4.5186953579774591E-2</v>
      </c>
      <c r="T59" s="1767">
        <f>T32/T9</f>
        <v>5.7353158945298993E-2</v>
      </c>
      <c r="U59" s="1767">
        <f>U32/U9</f>
        <v>3.6382644593349382E-2</v>
      </c>
      <c r="V59" s="1767">
        <f>V32/V9</f>
        <v>7.0903453805949354E-2</v>
      </c>
      <c r="W59" s="1779">
        <f>W32/W9</f>
        <v>5.3876017015652679E-2</v>
      </c>
      <c r="X59" s="734"/>
      <c r="Y59" s="1780">
        <f>Y32/Y9</f>
        <v>7.0513067612366073E-2</v>
      </c>
      <c r="Z59" s="1767">
        <f>Z32/Z9</f>
        <v>7.5299359743561708E-2</v>
      </c>
      <c r="AA59" s="1767">
        <f>AA32/AA9</f>
        <v>0.11465502978160146</v>
      </c>
      <c r="AB59" s="1767">
        <f>AB32/AB9</f>
        <v>0.13806626020269075</v>
      </c>
      <c r="AC59" s="1779">
        <f>AC32/AC9</f>
        <v>0.1045137543587757</v>
      </c>
      <c r="AD59" s="734"/>
      <c r="AE59" s="1780">
        <f>AE32/AE9</f>
        <v>2.308015107007972E-2</v>
      </c>
      <c r="AF59" s="1767">
        <f>AF32/AF9</f>
        <v>7.3836276083467101E-2</v>
      </c>
      <c r="AG59" s="1767">
        <f>AG32/AG9</f>
        <v>7.8066914498141265E-2</v>
      </c>
      <c r="AH59" s="1767">
        <f>AH32/AH9</f>
        <v>9.6763959390862658E-2</v>
      </c>
      <c r="AI59" s="1779">
        <f>AI32/AI9</f>
        <v>7.0364014090867927E-2</v>
      </c>
      <c r="AJ59" s="734"/>
      <c r="AK59" s="1780">
        <f>AK32/AK9</f>
        <v>3.9913232104121392E-2</v>
      </c>
      <c r="AL59" s="1767">
        <f>AL32/AL9</f>
        <v>4.8712871287128659E-2</v>
      </c>
      <c r="AM59" s="1767">
        <f>AM32/AM9</f>
        <v>6.3372312334967762E-2</v>
      </c>
      <c r="AN59" s="1767">
        <f>AN32/AN9</f>
        <v>0.10971615720524007</v>
      </c>
      <c r="AO59" s="1779">
        <f>AO32/AO9</f>
        <v>7.0435172723194092E-2</v>
      </c>
      <c r="AP59" s="734"/>
      <c r="AQ59" s="1780">
        <f>AQ32/AQ9</f>
        <v>6.5898451566438671E-2</v>
      </c>
      <c r="AR59" s="1767">
        <f>AR32/AR9</f>
        <v>8.8069125955466829E-2</v>
      </c>
      <c r="AS59" s="1767">
        <f>AS32/AS9</f>
        <v>0.11347517730496455</v>
      </c>
      <c r="AT59" s="1767">
        <f>AT32/AT9</f>
        <v>0.11295361691900971</v>
      </c>
      <c r="AU59" s="1779">
        <f>AU32/AU9</f>
        <v>9.7325465552915991E-2</v>
      </c>
      <c r="AV59" s="734"/>
      <c r="AW59" s="1780">
        <f>AW32/AW9</f>
        <v>6.386554621848739E-2</v>
      </c>
      <c r="AX59" s="1767">
        <f>AX32/AX9</f>
        <v>8.4496510468594466E-2</v>
      </c>
      <c r="AY59" s="1767">
        <f>AY32/AY9</f>
        <v>8.6520076481835545E-2</v>
      </c>
      <c r="AZ59" s="1767">
        <f>AZ32/AZ9</f>
        <v>0.10692485792464707</v>
      </c>
      <c r="BA59" s="1779">
        <f>BA32/BA9</f>
        <v>8.7001271417327497E-2</v>
      </c>
      <c r="BB59" s="734"/>
      <c r="BC59" s="1780">
        <f>BC32/BC9</f>
        <v>5.8678500986193205E-2</v>
      </c>
      <c r="BD59" s="1767">
        <f>BD32/BD9</f>
        <v>4.8728309959591223E-2</v>
      </c>
      <c r="BE59" s="1767">
        <f>BE32/BE9</f>
        <v>0.10518088432335868</v>
      </c>
      <c r="BF59" s="1767">
        <f>BF32/BF9</f>
        <v>9.0663058186739046E-2</v>
      </c>
      <c r="BG59" s="1779">
        <f>BG32/BG9</f>
        <v>7.7202188232667251E-2</v>
      </c>
      <c r="BH59" s="734"/>
      <c r="BI59" s="1780">
        <f>BI32/BI9</f>
        <v>3.4062023385866926E-2</v>
      </c>
      <c r="BJ59" s="1767">
        <f>BJ32/BJ9</f>
        <v>6.5728731589360254E-2</v>
      </c>
      <c r="BK59" s="1767">
        <f>BK32/BK9</f>
        <v>7.6993166287015843E-2</v>
      </c>
      <c r="BL59" s="1767">
        <f>BL32/BL9</f>
        <v>9.4548089114291051E-2</v>
      </c>
      <c r="BM59" s="1779">
        <f>BM32/BM9</f>
        <v>7.0294661302598677E-2</v>
      </c>
      <c r="BN59" s="816"/>
      <c r="BO59" s="1780">
        <f>BO32/BO9</f>
        <v>4.4135001180080354E-2</v>
      </c>
      <c r="BP59" s="1767">
        <f>BP32/BP9</f>
        <v>7.6300830782684653E-2</v>
      </c>
      <c r="BQ59" s="1767">
        <f>BQ32/BQ9</f>
        <v>5.6693663649356768E-2</v>
      </c>
      <c r="BR59" s="1767">
        <f>BR32/BR9</f>
        <v>9.9015748031496251E-2</v>
      </c>
      <c r="BS59" s="1779">
        <f>BS32/BS9</f>
        <v>7.0595389463209729E-2</v>
      </c>
      <c r="BT59" s="816"/>
      <c r="BU59" s="1780">
        <f>BU32/BU9</f>
        <v>6.5346534653465377E-2</v>
      </c>
      <c r="BV59" s="1767">
        <f>BV32/BV9</f>
        <v>8.0555555555555505E-2</v>
      </c>
      <c r="BW59" s="1767">
        <f>BW32/BW9</f>
        <v>7.9777833880333271E-2</v>
      </c>
      <c r="BX59" s="1767">
        <f>BX32/BX9</f>
        <v>0.1346716854872437</v>
      </c>
      <c r="BY59" s="1779">
        <f>BY32/BY9</f>
        <v>9.2991747752186243E-2</v>
      </c>
      <c r="BZ59" s="816"/>
      <c r="CA59" s="1780">
        <f>CA32/CA9</f>
        <v>9.1369206180074686E-2</v>
      </c>
      <c r="CB59" s="1767">
        <f>CB32/CB9</f>
        <v>8.7705138552596332E-2</v>
      </c>
      <c r="CC59" s="1786">
        <f>CC32/CC9</f>
        <v>0.13125158669713119</v>
      </c>
      <c r="CD59" s="1767">
        <f>CD32/CD9</f>
        <v>0.15670848394641709</v>
      </c>
      <c r="CE59" s="1779">
        <f>CE32/CE9</f>
        <v>0.11934462856078945</v>
      </c>
      <c r="CF59" s="816"/>
      <c r="CG59" s="1780">
        <f>CG32/CG9</f>
        <v>7.7682514938945152E-2</v>
      </c>
      <c r="CH59" s="1767">
        <f>CH32/CH9</f>
        <v>8.7008917811520828E-2</v>
      </c>
      <c r="CI59" s="1767">
        <f>CI32/CI9</f>
        <v>0.10651974288337912</v>
      </c>
      <c r="CJ59" s="1767">
        <f>CJ32/CJ9</f>
        <v>0.15042412818096168</v>
      </c>
      <c r="CK59" s="1779">
        <f>CK32/CK9</f>
        <v>0.1088396851463843</v>
      </c>
      <c r="CL59" s="816"/>
      <c r="CM59" s="1786">
        <f>CM32/CM9</f>
        <v>9.0094619399139098E-2</v>
      </c>
      <c r="CN59" s="1786">
        <f>CN32/CN9</f>
        <v>9.1125552959646486E-2</v>
      </c>
      <c r="CO59" s="1786">
        <f>CO32/CO9</f>
        <v>0.1233610287380774</v>
      </c>
      <c r="CP59" s="1787">
        <f>CP32/CP9</f>
        <v>0.15576105117542166</v>
      </c>
      <c r="CQ59" s="1779">
        <f>CQ32/CQ9</f>
        <v>0.11799274087364826</v>
      </c>
      <c r="CR59" s="816"/>
      <c r="CS59" s="1786">
        <f>CS32/CS9</f>
        <v>0.12460020691400805</v>
      </c>
      <c r="CT59" s="1786">
        <f>CT32/CT9</f>
        <v>0.12547391419589712</v>
      </c>
      <c r="CU59" s="1786">
        <f>CU32/CU9</f>
        <v>0.1254450893514589</v>
      </c>
      <c r="CV59" s="1787">
        <f>CV32/CV9</f>
        <v>0.12785604875220744</v>
      </c>
      <c r="CW59" s="1779">
        <f>CW32/CW9</f>
        <v>0.12599571121579539</v>
      </c>
      <c r="CX59" s="1767"/>
      <c r="CY59" s="2268">
        <f>CY32/CY9</f>
        <v>0.13286857881391939</v>
      </c>
      <c r="CZ59" s="1786">
        <f>CZ32/CZ9</f>
        <v>0.15135364770953882</v>
      </c>
      <c r="DA59" s="1786">
        <f>DA32/DA9</f>
        <v>0.14847688802192158</v>
      </c>
      <c r="DB59" s="1787">
        <f>DB32/DB9</f>
        <v>0.14681929507200195</v>
      </c>
      <c r="DC59" s="1779">
        <f>DC32/DC9</f>
        <v>0.14512461619251016</v>
      </c>
      <c r="DD59" s="1767"/>
      <c r="DE59" s="2268">
        <f>DE32/DE9</f>
        <v>0.15391277162673628</v>
      </c>
      <c r="DF59" s="1786">
        <f>DF32/DF9</f>
        <v>0.14347026693336476</v>
      </c>
      <c r="DG59" s="1786">
        <f>DG32/DG9</f>
        <v>0.143385314089468</v>
      </c>
      <c r="DH59" s="1787">
        <f>DH32/DH9</f>
        <v>0.1456526855523731</v>
      </c>
      <c r="DI59" s="1779">
        <f>DI32/DI9</f>
        <v>0.14644955404118015</v>
      </c>
      <c r="DJ59"/>
      <c r="DK59"/>
      <c r="DL59"/>
      <c r="DM59"/>
      <c r="DN59"/>
      <c r="DO59"/>
    </row>
    <row r="60" spans="1:127" s="10" customFormat="1" ht="11.25" hidden="1" customHeight="1" outlineLevel="1">
      <c r="A60" s="1435"/>
      <c r="B60" s="734"/>
      <c r="C60" s="1784"/>
      <c r="D60" s="734"/>
      <c r="E60" s="1784"/>
      <c r="F60" s="734"/>
      <c r="G60" s="1784"/>
      <c r="H60" s="734"/>
      <c r="I60" s="1784"/>
      <c r="J60" s="734"/>
      <c r="K60" s="1784"/>
      <c r="L60" s="734"/>
      <c r="M60" s="1784"/>
      <c r="N60" s="734"/>
      <c r="O60" s="1784"/>
      <c r="P60" s="734"/>
      <c r="Q60" s="1784"/>
      <c r="R60" s="734"/>
      <c r="S60" s="1719"/>
      <c r="T60" s="1720"/>
      <c r="U60" s="1720"/>
      <c r="V60" s="1720"/>
      <c r="W60" s="1784"/>
      <c r="X60" s="734"/>
      <c r="Y60" s="1719"/>
      <c r="Z60" s="1720"/>
      <c r="AA60" s="1720"/>
      <c r="AB60" s="1720"/>
      <c r="AC60" s="1784"/>
      <c r="AD60" s="734"/>
      <c r="AE60" s="1719"/>
      <c r="AF60" s="1720"/>
      <c r="AG60" s="1720"/>
      <c r="AH60" s="1720"/>
      <c r="AI60" s="1784"/>
      <c r="AJ60" s="734"/>
      <c r="AK60" s="1719"/>
      <c r="AL60" s="1720"/>
      <c r="AM60" s="1720"/>
      <c r="AN60" s="1720"/>
      <c r="AO60" s="1784"/>
      <c r="AP60" s="734"/>
      <c r="AQ60" s="1719"/>
      <c r="AR60" s="1720"/>
      <c r="AS60" s="1720"/>
      <c r="AT60" s="1788"/>
      <c r="AU60" s="1784"/>
      <c r="AV60" s="734"/>
      <c r="AW60" s="1719"/>
      <c r="AX60" s="1720"/>
      <c r="AY60" s="1720"/>
      <c r="AZ60" s="1788"/>
      <c r="BA60" s="1784"/>
      <c r="BB60" s="734"/>
      <c r="BC60" s="1719"/>
      <c r="BD60" s="1720"/>
      <c r="BE60" s="1720"/>
      <c r="BF60" s="815"/>
      <c r="BG60" s="1784"/>
      <c r="BH60" s="734"/>
      <c r="BI60" s="1719"/>
      <c r="BJ60" s="1720"/>
      <c r="BK60" s="734"/>
      <c r="BL60" s="815"/>
      <c r="BM60" s="1784"/>
      <c r="BN60" s="816"/>
      <c r="BO60" s="16"/>
      <c r="BP60" s="16"/>
      <c r="BQ60" s="16"/>
      <c r="BR60" s="16"/>
      <c r="BS60" s="1779"/>
      <c r="BT60" s="816"/>
      <c r="BU60" s="734"/>
      <c r="BV60" s="734"/>
      <c r="BW60" s="734"/>
      <c r="BX60" s="16"/>
      <c r="BY60" s="1779"/>
      <c r="BZ60" s="734"/>
      <c r="CA60" s="1789"/>
      <c r="CB60" s="734"/>
      <c r="CC60" s="734"/>
      <c r="CD60" s="16"/>
      <c r="CE60" s="1779"/>
      <c r="CF60" s="734"/>
      <c r="CG60" s="1789"/>
      <c r="CH60" s="734"/>
      <c r="CI60" s="734"/>
      <c r="CJ60" s="815"/>
      <c r="CK60" s="816"/>
      <c r="CL60" s="734"/>
      <c r="CM60" s="1789"/>
      <c r="CN60" s="734"/>
      <c r="CO60" s="734"/>
      <c r="CP60" s="815"/>
      <c r="CQ60" s="816"/>
      <c r="CR60" s="734"/>
      <c r="CS60" s="1789"/>
      <c r="CT60" s="734"/>
      <c r="CU60" s="734"/>
      <c r="CV60" s="815"/>
      <c r="CW60" s="816"/>
      <c r="CX60" s="1720"/>
      <c r="CY60" s="1789"/>
      <c r="CZ60" s="734"/>
      <c r="DA60" s="734"/>
      <c r="DB60" s="815"/>
      <c r="DC60" s="816"/>
      <c r="DD60" s="1720"/>
      <c r="DE60" s="1789"/>
      <c r="DF60" s="734"/>
      <c r="DG60" s="734"/>
      <c r="DH60" s="815"/>
      <c r="DI60" s="816"/>
      <c r="DJ60"/>
      <c r="DK60"/>
      <c r="DL60"/>
      <c r="DM60"/>
      <c r="DN60"/>
      <c r="DO60"/>
    </row>
    <row r="61" spans="1:127" s="10" customFormat="1" ht="11.25" customHeight="1" collapsed="1">
      <c r="A61" s="810" t="s">
        <v>50</v>
      </c>
      <c r="B61" s="811"/>
      <c r="C61" s="812"/>
      <c r="D61" s="811"/>
      <c r="E61" s="812"/>
      <c r="F61" s="811"/>
      <c r="G61" s="812"/>
      <c r="H61" s="811"/>
      <c r="I61" s="812"/>
      <c r="J61" s="811"/>
      <c r="K61" s="812"/>
      <c r="L61" s="811"/>
      <c r="M61" s="812"/>
      <c r="N61" s="811"/>
      <c r="O61" s="812"/>
      <c r="P61" s="811"/>
      <c r="Q61" s="812"/>
      <c r="R61" s="811"/>
      <c r="S61" s="813"/>
      <c r="T61" s="811"/>
      <c r="U61" s="811"/>
      <c r="V61" s="811"/>
      <c r="W61" s="812"/>
      <c r="X61" s="811"/>
      <c r="Y61" s="813"/>
      <c r="Z61" s="811"/>
      <c r="AA61" s="811"/>
      <c r="AB61" s="811"/>
      <c r="AC61" s="812"/>
      <c r="AD61" s="811"/>
      <c r="AE61" s="813"/>
      <c r="AF61" s="811"/>
      <c r="AG61" s="811"/>
      <c r="AH61" s="811"/>
      <c r="AI61" s="812"/>
      <c r="AJ61" s="811"/>
      <c r="AK61" s="813"/>
      <c r="AL61" s="811"/>
      <c r="AM61" s="811"/>
      <c r="AN61" s="811"/>
      <c r="AO61" s="812"/>
      <c r="AP61" s="811"/>
      <c r="AQ61" s="813"/>
      <c r="AR61" s="811"/>
      <c r="AS61" s="811"/>
      <c r="AT61" s="814"/>
      <c r="AU61" s="812"/>
      <c r="AV61" s="811"/>
      <c r="AW61" s="813"/>
      <c r="AX61" s="811"/>
      <c r="AY61" s="811"/>
      <c r="AZ61" s="814"/>
      <c r="BA61" s="812"/>
      <c r="BB61" s="811"/>
      <c r="BC61" s="813"/>
      <c r="BD61" s="811"/>
      <c r="BE61" s="811"/>
      <c r="BF61" s="814"/>
      <c r="BG61" s="812"/>
      <c r="BH61" s="811"/>
      <c r="BI61" s="813"/>
      <c r="BJ61" s="811"/>
      <c r="BK61" s="811"/>
      <c r="BL61" s="814"/>
      <c r="BM61" s="812"/>
      <c r="BN61" s="812"/>
      <c r="BO61" s="811"/>
      <c r="BP61" s="811"/>
      <c r="BQ61" s="811"/>
      <c r="BR61" s="814"/>
      <c r="BS61" s="812"/>
      <c r="BT61" s="811"/>
      <c r="BU61" s="813"/>
      <c r="BV61" s="811"/>
      <c r="BW61" s="811"/>
      <c r="BX61" s="814"/>
      <c r="BY61" s="812"/>
      <c r="BZ61" s="811"/>
      <c r="CA61" s="813"/>
      <c r="CB61" s="811"/>
      <c r="CC61" s="811"/>
      <c r="CD61" s="814"/>
      <c r="CE61" s="812"/>
      <c r="CF61" s="811"/>
      <c r="CG61" s="813"/>
      <c r="CH61" s="811"/>
      <c r="CI61" s="811"/>
      <c r="CJ61" s="814"/>
      <c r="CK61" s="812"/>
      <c r="CL61" s="811"/>
      <c r="CM61" s="813"/>
      <c r="CN61" s="811"/>
      <c r="CO61" s="811"/>
      <c r="CP61" s="814"/>
      <c r="CQ61" s="812"/>
      <c r="CR61" s="811"/>
      <c r="CS61" s="813"/>
      <c r="CT61" s="811"/>
      <c r="CU61" s="811"/>
      <c r="CV61" s="814"/>
      <c r="CW61" s="812"/>
      <c r="CX61" s="1720"/>
      <c r="CY61" s="813"/>
      <c r="CZ61" s="811"/>
      <c r="DA61" s="811"/>
      <c r="DB61" s="814"/>
      <c r="DC61" s="812"/>
      <c r="DD61" s="1720"/>
      <c r="DE61" s="813"/>
      <c r="DF61" s="811"/>
      <c r="DG61" s="811"/>
      <c r="DH61" s="814"/>
      <c r="DI61" s="812"/>
      <c r="DJ61"/>
      <c r="DK61"/>
      <c r="DL61"/>
      <c r="DM61"/>
      <c r="DN61"/>
      <c r="DO61"/>
    </row>
    <row r="62" spans="1:127" s="10" customFormat="1" ht="11.25" customHeight="1">
      <c r="A62" s="1435" t="s">
        <v>16</v>
      </c>
      <c r="B62" s="734"/>
      <c r="C62" s="1784"/>
      <c r="D62" s="734"/>
      <c r="E62" s="1773">
        <f>E9/C9-1</f>
        <v>0.53268415191792839</v>
      </c>
      <c r="F62" s="734"/>
      <c r="G62" s="1773">
        <f>G9/E9-1</f>
        <v>0.18413974339155992</v>
      </c>
      <c r="H62" s="734"/>
      <c r="I62" s="1773">
        <f>I9/G9-1</f>
        <v>0.21003368058275229</v>
      </c>
      <c r="J62" s="734"/>
      <c r="K62" s="1773">
        <f>K9/I9-1</f>
        <v>1.3805763234834014</v>
      </c>
      <c r="L62" s="734"/>
      <c r="M62" s="1773">
        <f>M9/K9-1</f>
        <v>0.18137117167743777</v>
      </c>
      <c r="N62" s="734"/>
      <c r="O62" s="1773">
        <f>O9/M9-1</f>
        <v>9.1058351459074149E-2</v>
      </c>
      <c r="P62" s="734"/>
      <c r="Q62" s="1773">
        <f>Q9/O9-1</f>
        <v>0.30883283640864079</v>
      </c>
      <c r="R62" s="734"/>
      <c r="S62" s="1774"/>
      <c r="T62" s="1766"/>
      <c r="U62" s="1766"/>
      <c r="V62" s="1790"/>
      <c r="W62" s="1773">
        <f>W9/Q9-1</f>
        <v>0.17080050395832957</v>
      </c>
      <c r="X62" s="734"/>
      <c r="Y62" s="1774">
        <f>Y9/S9-1</f>
        <v>1.1879058783840772</v>
      </c>
      <c r="Z62" s="1766">
        <f>Z9/T9-1</f>
        <v>1.3719634166973518</v>
      </c>
      <c r="AA62" s="1766">
        <f>AA9/U9-1</f>
        <v>1.3053304090779059</v>
      </c>
      <c r="AB62" s="1790">
        <f>AB9/V9-1</f>
        <v>1.5420239631336403</v>
      </c>
      <c r="AC62" s="1773">
        <f>AC9/W9-1</f>
        <v>1.3687917876989864</v>
      </c>
      <c r="AD62" s="734"/>
      <c r="AE62" s="1774">
        <f>AE9/Y9-1</f>
        <v>0.14823452316706498</v>
      </c>
      <c r="AF62" s="1766">
        <f>AF9/Z9-1</f>
        <v>0.30694548170276326</v>
      </c>
      <c r="AG62" s="1766">
        <f>AG9/AA9-1</f>
        <v>1.4063534083390561E-3</v>
      </c>
      <c r="AH62" s="1790">
        <f>AH9/AB9-1</f>
        <v>-8.5746108909914964E-2</v>
      </c>
      <c r="AI62" s="1773">
        <f>AI9/AC9-1</f>
        <v>7.2355676094536747E-2</v>
      </c>
      <c r="AJ62" s="734"/>
      <c r="AK62" s="1774">
        <f>AK9/AE9-1</f>
        <v>-3.273185060847672E-2</v>
      </c>
      <c r="AL62" s="1766">
        <f>AL9/AF9-1</f>
        <v>-0.1894060995184591</v>
      </c>
      <c r="AM62" s="1766">
        <f>AM9/AG9-1</f>
        <v>9.5002065262288049E-2</v>
      </c>
      <c r="AN62" s="1790">
        <f>AN9/AH9-1</f>
        <v>0.16243654822335052</v>
      </c>
      <c r="AO62" s="1773">
        <f>AO9/AI9-1</f>
        <v>6.6841297082469442E-3</v>
      </c>
      <c r="AP62" s="734"/>
      <c r="AQ62" s="1774">
        <f>AQ9/AK9-1</f>
        <v>0.20477223427331892</v>
      </c>
      <c r="AR62" s="1766">
        <f>AR9/AL9-1</f>
        <v>0.19168316831683163</v>
      </c>
      <c r="AS62" s="1766">
        <f>AS9/AM9-1</f>
        <v>0.17012448132780089</v>
      </c>
      <c r="AT62" s="1790">
        <f>AT9/AN9-1</f>
        <v>0.13564410480349332</v>
      </c>
      <c r="AU62" s="1773">
        <f>AU9/AO9-1</f>
        <v>0.17083894122925081</v>
      </c>
      <c r="AV62" s="734"/>
      <c r="AW62" s="1774">
        <f>AW9/AQ9-1</f>
        <v>0.28555995678790058</v>
      </c>
      <c r="AX62" s="1766">
        <f>AX9/AR9-1</f>
        <v>0.33333333333333348</v>
      </c>
      <c r="AY62" s="1766">
        <f>AY9/AS9-1</f>
        <v>0.34880722114764673</v>
      </c>
      <c r="AZ62" s="1790">
        <f>AZ9/AT9-1</f>
        <v>0.1417928382600333</v>
      </c>
      <c r="BA62" s="1773">
        <f>BA9/AU9-1</f>
        <v>0.26576749176182068</v>
      </c>
      <c r="BB62" s="734"/>
      <c r="BC62" s="1774">
        <f>BC9/AW9-1</f>
        <v>0.13613445378151257</v>
      </c>
      <c r="BD62" s="1766">
        <f>BD9/AX9-1</f>
        <v>4.8604187437687019E-2</v>
      </c>
      <c r="BE62" s="1766">
        <f>BE9/AY9-1</f>
        <v>7.0267686424474229E-2</v>
      </c>
      <c r="BF62" s="1785">
        <f>BF9/AZ9-1</f>
        <v>8.8823405598821736E-2</v>
      </c>
      <c r="BG62" s="1773">
        <f>BG9/BA9-1</f>
        <v>8.457952412665759E-2</v>
      </c>
      <c r="BH62" s="734"/>
      <c r="BI62" s="1774">
        <f>BI9/BC9-1</f>
        <v>-3.0078895463510835E-2</v>
      </c>
      <c r="BJ62" s="1766">
        <f>BJ9/BD9-1</f>
        <v>8.1293082956976459E-2</v>
      </c>
      <c r="BK62" s="1321">
        <f>BK9/BE9-1</f>
        <v>-1.9651630192050074E-2</v>
      </c>
      <c r="BL62" s="1785">
        <f>BL9/BF9-1</f>
        <v>6.7272375797409634E-2</v>
      </c>
      <c r="BM62" s="1773">
        <f>BM9/BG9-1</f>
        <v>2.6794685720665345E-2</v>
      </c>
      <c r="BN62" s="816"/>
      <c r="BO62" s="1774">
        <f>BO9/BI9-1</f>
        <v>7.7020843924758609E-2</v>
      </c>
      <c r="BP62" s="1766">
        <f>BP9/BJ9-1</f>
        <v>5.4957133435917793E-3</v>
      </c>
      <c r="BQ62" s="1766">
        <f>BQ9/BK9-1</f>
        <v>-4.3735763097949909E-2</v>
      </c>
      <c r="BR62" s="1785">
        <f>BR9/BL9-1</f>
        <v>-7.9876833906900813E-2</v>
      </c>
      <c r="BS62" s="1773">
        <f>BS9/BM9-1</f>
        <v>-1.6581493965423522E-2</v>
      </c>
      <c r="BT62" s="734"/>
      <c r="BU62" s="1774">
        <f>BU9/BO9-1</f>
        <v>-0.16568326646211951</v>
      </c>
      <c r="BV62" s="1766">
        <f>BV9/BP9-1</f>
        <v>-0.13423699169217307</v>
      </c>
      <c r="BW62" s="1766">
        <f>BW9/BQ9-1</f>
        <v>-5.6455454978561193E-2</v>
      </c>
      <c r="BX62" s="1785">
        <f>BX9/BR9-1</f>
        <v>-5.8661417322835141E-2</v>
      </c>
      <c r="BY62" s="1773">
        <f>BY9/BS9-1</f>
        <v>-0.10232738128144181</v>
      </c>
      <c r="BZ62" s="734"/>
      <c r="CA62" s="1774">
        <f>CA9/BU9-1</f>
        <v>6.195190947666207E-2</v>
      </c>
      <c r="CB62" s="1766">
        <f>CB9/BV9-1</f>
        <v>-6.1363636363636287E-2</v>
      </c>
      <c r="CC62" s="1321">
        <f>CC9/BW9-1</f>
        <v>-5.554152991668837E-3</v>
      </c>
      <c r="CD62" s="1785">
        <f>CD9/BX9-1</f>
        <v>-1.6520284399832441E-2</v>
      </c>
      <c r="CE62" s="1773">
        <f>CE9/BY9-1</f>
        <v>-7.6979923635914771E-3</v>
      </c>
      <c r="CF62" s="734"/>
      <c r="CG62" s="1774">
        <f>CG9/CA9-1</f>
        <v>2.5306339904102026E-2</v>
      </c>
      <c r="CH62" s="1766">
        <f>CH9/CB9-1</f>
        <v>0.11622276029055678</v>
      </c>
      <c r="CI62" s="1321">
        <f>CI9/CC9-1</f>
        <v>0.10586443259710587</v>
      </c>
      <c r="CJ62" s="1785">
        <f>CJ9/CD9-1</f>
        <v>0.12800340208377681</v>
      </c>
      <c r="CK62" s="1773">
        <f>CK9/CE9-1</f>
        <v>9.5947371687457261E-2</v>
      </c>
      <c r="CL62" s="734"/>
      <c r="CM62" s="1774">
        <f>CM9/CG9-1</f>
        <v>0.1007461473722191</v>
      </c>
      <c r="CN62" s="1766">
        <f>CN9/CH9-1</f>
        <v>4.6720452637177834E-2</v>
      </c>
      <c r="CO62" s="1321">
        <f>CO9/CI9-1</f>
        <v>3.5353058314642638E-2</v>
      </c>
      <c r="CP62" s="1785">
        <f>CP9/CJ9-1</f>
        <v>5.1437722496280758E-2</v>
      </c>
      <c r="CQ62" s="1773">
        <f>CQ9/CK9-1</f>
        <v>5.710912957068226E-2</v>
      </c>
      <c r="CR62" s="734"/>
      <c r="CS62" s="1774">
        <f>CS9/CM9-1</f>
        <v>1.7384490839773559E-2</v>
      </c>
      <c r="CT62" s="1766">
        <f>CT9/CN9-1</f>
        <v>3.4815534903165579E-2</v>
      </c>
      <c r="CU62" s="1321">
        <f>CU9/CO9-1</f>
        <v>1.5054328390025518E-2</v>
      </c>
      <c r="CV62" s="1785">
        <f>CV9/CP9-1</f>
        <v>4.8584586290812526E-2</v>
      </c>
      <c r="CW62" s="1773">
        <f>CW9/CQ9-1</f>
        <v>3.0199366305397435E-2</v>
      </c>
      <c r="CX62" s="1766"/>
      <c r="CY62" s="1774">
        <f>CY9/CS9-1</f>
        <v>2.696207425622088E-2</v>
      </c>
      <c r="CZ62" s="1766">
        <f>CZ9/CT9-1</f>
        <v>9.992444660892108E-3</v>
      </c>
      <c r="DA62" s="1321">
        <f>DA9/CU9-1</f>
        <v>3.4704556613559534E-2</v>
      </c>
      <c r="DB62" s="1785">
        <f>DB9/CV9-1</f>
        <v>1.9064721581865562E-2</v>
      </c>
      <c r="DC62" s="1773">
        <f>DC9/CW9-1</f>
        <v>2.2437736885952742E-2</v>
      </c>
      <c r="DD62" s="1766"/>
      <c r="DE62" s="1774">
        <f>DE9/CY9-1</f>
        <v>1.6248717461933238E-2</v>
      </c>
      <c r="DF62" s="1766">
        <f>DF9/CZ9-1</f>
        <v>3.2226517388399989E-2</v>
      </c>
      <c r="DG62" s="1321">
        <f>DG9/DA9-1</f>
        <v>1.496470969801833E-2</v>
      </c>
      <c r="DH62" s="1785">
        <f>DH9/DB9-1</f>
        <v>2.8161299192853262E-2</v>
      </c>
      <c r="DI62" s="1773">
        <f>DI9/DC9-1</f>
        <v>2.3238785807826456E-2</v>
      </c>
      <c r="DJ62"/>
      <c r="DK62"/>
      <c r="DL62"/>
      <c r="DM62"/>
      <c r="DN62"/>
      <c r="DO62"/>
    </row>
    <row r="63" spans="1:127" s="10" customFormat="1" ht="11.25" hidden="1" customHeight="1" outlineLevel="1">
      <c r="A63" s="1435" t="s">
        <v>44</v>
      </c>
      <c r="B63" s="734"/>
      <c r="C63" s="1784"/>
      <c r="D63" s="734"/>
      <c r="E63" s="1773">
        <f>E12/C12-1</f>
        <v>0.60725904839365574</v>
      </c>
      <c r="F63" s="734"/>
      <c r="G63" s="1773">
        <f>G12/E12-1</f>
        <v>0.12552976152824358</v>
      </c>
      <c r="H63" s="734"/>
      <c r="I63" s="1773">
        <f>I12/G12-1</f>
        <v>0.22482929159524545</v>
      </c>
      <c r="J63" s="734"/>
      <c r="K63" s="1773">
        <f>K12/I12-1</f>
        <v>1.7137285491419658</v>
      </c>
      <c r="L63" s="734"/>
      <c r="M63" s="1773">
        <f>M12/K12-1</f>
        <v>0.29601136229139557</v>
      </c>
      <c r="N63" s="734"/>
      <c r="O63" s="1773">
        <f>O12/M12-1</f>
        <v>8.2452707110241219E-2</v>
      </c>
      <c r="P63" s="734"/>
      <c r="Q63" s="1773">
        <f>Q12/O12-1</f>
        <v>0.24306375798481383</v>
      </c>
      <c r="R63" s="734"/>
      <c r="S63" s="1774"/>
      <c r="T63" s="1766"/>
      <c r="U63" s="1766"/>
      <c r="V63" s="1790"/>
      <c r="W63" s="1773">
        <f>W12/Q12-1</f>
        <v>0.14653325188826516</v>
      </c>
      <c r="X63" s="734"/>
      <c r="Y63" s="1774">
        <f>Y12/S12-1</f>
        <v>1.2111154598825831</v>
      </c>
      <c r="Z63" s="1766">
        <f>Z12/T12-1</f>
        <v>1.5511795060818279</v>
      </c>
      <c r="AA63" s="1766">
        <f>AA12/U12-1</f>
        <v>1.2262511288701079</v>
      </c>
      <c r="AB63" s="1790">
        <f>AB12/V12-1</f>
        <v>1.411673774722924</v>
      </c>
      <c r="AC63" s="1773">
        <f>AC12/W12-1</f>
        <v>1.3543340380549687</v>
      </c>
      <c r="AD63" s="734"/>
      <c r="AE63" s="1774">
        <f>AE12/Y12-1</f>
        <v>0.10011682656565313</v>
      </c>
      <c r="AF63" s="1766">
        <f>AF12/Z12-1</f>
        <v>0.31405000469561584</v>
      </c>
      <c r="AG63" s="1766">
        <f>AG12/AA12-1</f>
        <v>2.6635642776229318E-3</v>
      </c>
      <c r="AH63" s="1790">
        <f>AH12/AB12-1</f>
        <v>-5.6274430130541897E-2</v>
      </c>
      <c r="AI63" s="1773">
        <f>AI12/AC12-1</f>
        <v>8.1357758620689502E-2</v>
      </c>
      <c r="AJ63" s="734"/>
      <c r="AK63" s="1774">
        <f>AK12/AE12-1</f>
        <v>2.8157683024939706E-2</v>
      </c>
      <c r="AL63" s="1766">
        <f>AL12/AF12-1</f>
        <v>-0.22319956019791087</v>
      </c>
      <c r="AM63" s="1766">
        <f>AM12/AG12-1</f>
        <v>0.11374045801526722</v>
      </c>
      <c r="AN63" s="1790">
        <f>AN12/AH12-1</f>
        <v>0.13765918738629512</v>
      </c>
      <c r="AO63" s="1773">
        <f>AO12/AI12-1</f>
        <v>8.3042683939571482E-4</v>
      </c>
      <c r="AP63" s="734"/>
      <c r="AQ63" s="1774">
        <f>AQ12/AK12-1</f>
        <v>0.18309859154929553</v>
      </c>
      <c r="AR63" s="1766">
        <f>AR12/AL12-1</f>
        <v>0.16631280962491157</v>
      </c>
      <c r="AS63" s="1766">
        <f>AS12/AM12-1</f>
        <v>8.4304318026045211E-2</v>
      </c>
      <c r="AT63" s="1790">
        <f>AT12/AN12-1</f>
        <v>0.13592750533049025</v>
      </c>
      <c r="AU63" s="1773">
        <f>AU12/AO12-1</f>
        <v>0.14055758380351779</v>
      </c>
      <c r="AV63" s="734"/>
      <c r="AW63" s="1774">
        <f>AW12/AQ12-1</f>
        <v>0.24007936507936511</v>
      </c>
      <c r="AX63" s="1766">
        <f>AX12/AR12-1</f>
        <v>0.26699029126213558</v>
      </c>
      <c r="AY63" s="1766">
        <f>AY12/AS12-1</f>
        <v>0.41150442477876115</v>
      </c>
      <c r="AZ63" s="1790">
        <f>AZ12/AT12-1</f>
        <v>0.1923979352416707</v>
      </c>
      <c r="BA63" s="1773">
        <f>BA12/AU12-1</f>
        <v>0.27120616906736528</v>
      </c>
      <c r="BB63" s="734"/>
      <c r="BC63" s="1774">
        <f>BC12/AW12-1</f>
        <v>0.12106666666666688</v>
      </c>
      <c r="BD63" s="1766">
        <f>BD12/AX12-1</f>
        <v>8.285440613026851E-2</v>
      </c>
      <c r="BE63" s="1766">
        <f>BE12/AY12-1</f>
        <v>3.6274070756829424E-2</v>
      </c>
      <c r="BF63" s="1785">
        <f>BF12/AZ12-1</f>
        <v>6.4147973238881884E-2</v>
      </c>
      <c r="BG63" s="1773">
        <f>BG12/BA12-1</f>
        <v>7.3709511273892581E-2</v>
      </c>
      <c r="BH63" s="734"/>
      <c r="BI63" s="1774">
        <f>BI12/BC12-1</f>
        <v>1.7602283539486008E-2</v>
      </c>
      <c r="BJ63" s="1766">
        <f>BJ12/BD12-1</f>
        <v>9.8628925254312216E-2</v>
      </c>
      <c r="BK63" s="1321">
        <f>BK12/BE12-1</f>
        <v>4.0622299049265287E-2</v>
      </c>
      <c r="BL63" s="1785">
        <f>BL12/BF12-1</f>
        <v>0.12352071005917176</v>
      </c>
      <c r="BM63" s="1773">
        <f>BM12/BG12-1</f>
        <v>7.3339729239953133E-2</v>
      </c>
      <c r="BN63" s="816"/>
      <c r="BO63" s="1774">
        <f>BO12/BI12-1</f>
        <v>0.10565684899485728</v>
      </c>
      <c r="BP63" s="1766">
        <f>BP12/BJ12-1</f>
        <v>-1.1272141706924366E-2</v>
      </c>
      <c r="BQ63" s="1766">
        <f>BQ12/BK12-1</f>
        <v>-2.6993355481727543E-2</v>
      </c>
      <c r="BR63" s="1785">
        <f>BR12/BL12-1</f>
        <v>-6.254114549045442E-2</v>
      </c>
      <c r="BS63" s="1773">
        <f>BS12/BM12-1</f>
        <v>-5.6609395173304877E-3</v>
      </c>
      <c r="BT63" s="734"/>
      <c r="BU63" s="1774">
        <f>BU12/BO12-1</f>
        <v>-0.21183932346723044</v>
      </c>
      <c r="BV63" s="1766">
        <f>BV12/BP12-1</f>
        <v>-0.1140065146579804</v>
      </c>
      <c r="BW63" s="1766">
        <f>BW12/BQ12-1</f>
        <v>-8.9201877934272367E-2</v>
      </c>
      <c r="BX63" s="1785">
        <f>BX12/BR12-1</f>
        <v>-0.10323033707865181</v>
      </c>
      <c r="BY63" s="1773">
        <f>BY12/BS12-1</f>
        <v>-0.12824610467439079</v>
      </c>
      <c r="BZ63" s="734"/>
      <c r="CA63" s="1774">
        <f>CA12/BU12-1</f>
        <v>7.296137339055786E-2</v>
      </c>
      <c r="CB63" s="1766">
        <f>CB12/BV12-1</f>
        <v>-0.10477941176470595</v>
      </c>
      <c r="CC63" s="1321">
        <f>CC12/BW12-1</f>
        <v>-5.6701030927835072E-2</v>
      </c>
      <c r="CD63" s="1785">
        <f>CD12/BX12-1</f>
        <v>-5.7165231010179673E-2</v>
      </c>
      <c r="CE63" s="1773">
        <f>CE12/BY12-1</f>
        <v>-4.1131989000916414E-2</v>
      </c>
      <c r="CF63" s="734"/>
      <c r="CG63" s="1774">
        <f>CG12/CA12-1</f>
        <v>7.5000000000000622E-3</v>
      </c>
      <c r="CH63" s="1766">
        <f>CH12/CB12-1</f>
        <v>0.13757700205338796</v>
      </c>
      <c r="CI63" s="1321">
        <f>CI12/CC12-1</f>
        <v>0.13363139592647788</v>
      </c>
      <c r="CJ63" s="1785">
        <f>CJ12/CD12-1</f>
        <v>0.10257475083056455</v>
      </c>
      <c r="CK63" s="1773">
        <f>CK12/CE12-1</f>
        <v>9.5471382482972711E-2</v>
      </c>
      <c r="CL63" s="734"/>
      <c r="CM63" s="1774">
        <f>CM12/CG12-1</f>
        <v>0.14802852059289151</v>
      </c>
      <c r="CN63" s="1766">
        <f>CN12/CH12-1</f>
        <v>7.0032655353538642E-2</v>
      </c>
      <c r="CO63" s="1321">
        <f>CO12/CI12-1</f>
        <v>-7.8795105813633803E-3</v>
      </c>
      <c r="CP63" s="1785">
        <f>CP12/CJ12-1</f>
        <v>-2.9386354635269063E-2</v>
      </c>
      <c r="CQ63" s="1773">
        <f>CQ12/CK12-1</f>
        <v>3.8990839720201453E-2</v>
      </c>
      <c r="CR63" s="734"/>
      <c r="CS63" s="1774">
        <f>CS12/CM12-1</f>
        <v>-6.0875854609439894E-2</v>
      </c>
      <c r="CT63" s="1766">
        <f>CT12/CN12-1</f>
        <v>-4.478566008938567E-2</v>
      </c>
      <c r="CU63" s="1321">
        <f>CU12/CO12-1</f>
        <v>1.909836953898969E-2</v>
      </c>
      <c r="CV63" s="1785">
        <f>CV12/CP12-1</f>
        <v>0.14391045777179579</v>
      </c>
      <c r="CW63" s="1773">
        <f>CW12/CQ12-1</f>
        <v>1.7539838744222047E-2</v>
      </c>
      <c r="CX63" s="1766"/>
      <c r="CY63" s="1774">
        <f>CY12/CS12-1</f>
        <v>1.4736335276980039E-2</v>
      </c>
      <c r="CZ63" s="1766">
        <f>CZ12/CT12-1</f>
        <v>-2.0312749184042689E-3</v>
      </c>
      <c r="DA63" s="1321">
        <f>DA12/CU12-1</f>
        <v>2.2386645225302981E-2</v>
      </c>
      <c r="DB63" s="1785">
        <f>DB12/CV12-1</f>
        <v>6.9329987058908138E-3</v>
      </c>
      <c r="DC63" s="1773">
        <f>DC12/CW12-1</f>
        <v>1.0265859065881733E-2</v>
      </c>
      <c r="DD63" s="1766"/>
      <c r="DE63" s="1774">
        <f>DE12/CY12-1</f>
        <v>1.9640969353598159E-3</v>
      </c>
      <c r="DF63" s="1766">
        <f>DF12/CZ12-1</f>
        <v>1.7717309312659246E-2</v>
      </c>
      <c r="DG63" s="1321">
        <f>DG12/DA12-1</f>
        <v>6.981374733474599E-4</v>
      </c>
      <c r="DH63" s="1785">
        <f>DH12/DB12-1</f>
        <v>1.3709232738335242E-2</v>
      </c>
      <c r="DI63" s="1773">
        <f>DI12/DC12-1</f>
        <v>8.8559113085195929E-3</v>
      </c>
      <c r="DJ63"/>
      <c r="DK63"/>
      <c r="DL63"/>
      <c r="DM63"/>
      <c r="DN63"/>
      <c r="DO63"/>
    </row>
    <row r="64" spans="1:127" s="10" customFormat="1" ht="11.25" customHeight="1" collapsed="1">
      <c r="A64" s="1435" t="s">
        <v>47</v>
      </c>
      <c r="B64" s="734"/>
      <c r="C64" s="1784"/>
      <c r="D64" s="734"/>
      <c r="E64" s="1773">
        <f>E16/C16-1</f>
        <v>0.16008889570081997</v>
      </c>
      <c r="F64" s="734"/>
      <c r="G64" s="1773">
        <f>G16/E16-1</f>
        <v>0.3233584357246666</v>
      </c>
      <c r="H64" s="734"/>
      <c r="I64" s="1773">
        <f>I16/G16-1</f>
        <v>-7.8121100184695313E-2</v>
      </c>
      <c r="J64" s="734"/>
      <c r="K64" s="1773">
        <f>K16/I16-1</f>
        <v>0.65892354342646753</v>
      </c>
      <c r="L64" s="734"/>
      <c r="M64" s="1773">
        <f>M16/K16-1</f>
        <v>0.21565427424356165</v>
      </c>
      <c r="N64" s="734"/>
      <c r="O64" s="1773">
        <f>O16/M16-1</f>
        <v>0.16042852540006458</v>
      </c>
      <c r="P64" s="734"/>
      <c r="Q64" s="1773">
        <f>Q16/O16-1</f>
        <v>9.9007381012980344E-2</v>
      </c>
      <c r="R64" s="734"/>
      <c r="S64" s="1774"/>
      <c r="T64" s="1766"/>
      <c r="U64" s="1766"/>
      <c r="V64" s="1790"/>
      <c r="W64" s="1773">
        <f>W16/Q16-1</f>
        <v>5.1812707903490907E-2</v>
      </c>
      <c r="X64" s="734"/>
      <c r="Y64" s="1774">
        <f t="shared" ref="Y64:AC65" si="48">Y16/S16-1</f>
        <v>1.1151934826883907</v>
      </c>
      <c r="Z64" s="1766">
        <f t="shared" si="48"/>
        <v>1.2514653207424291</v>
      </c>
      <c r="AA64" s="1766">
        <f t="shared" si="48"/>
        <v>1.2487432975871315</v>
      </c>
      <c r="AB64" s="1790">
        <f t="shared" si="48"/>
        <v>1.2532679738562083</v>
      </c>
      <c r="AC64" s="1773">
        <f t="shared" si="48"/>
        <v>1.2178186112612335</v>
      </c>
      <c r="AD64" s="734"/>
      <c r="AE64" s="1774">
        <f t="shared" ref="AE64:AI65" si="49">AE16/Y16-1</f>
        <v>0.20166384224310585</v>
      </c>
      <c r="AF64" s="1766">
        <f t="shared" si="49"/>
        <v>0.31973822178833577</v>
      </c>
      <c r="AG64" s="1766">
        <f t="shared" si="49"/>
        <v>0.23318803323274095</v>
      </c>
      <c r="AH64" s="1790">
        <f t="shared" si="49"/>
        <v>8.7744742567077871E-2</v>
      </c>
      <c r="AI64" s="1773">
        <f t="shared" si="49"/>
        <v>0.20758122743682339</v>
      </c>
      <c r="AJ64" s="734"/>
      <c r="AK64" s="1774">
        <f t="shared" ref="AK64:AO65" si="50">AK16/AE16-1</f>
        <v>-6.7307692307692291E-2</v>
      </c>
      <c r="AL64" s="1766">
        <f t="shared" si="50"/>
        <v>-0.147945205479452</v>
      </c>
      <c r="AM64" s="1766">
        <f t="shared" si="50"/>
        <v>-4.5317220543806602E-2</v>
      </c>
      <c r="AN64" s="1790">
        <f t="shared" si="50"/>
        <v>4.8484848484848131E-2</v>
      </c>
      <c r="AO64" s="1773">
        <f t="shared" si="50"/>
        <v>-5.5306427503736932E-2</v>
      </c>
      <c r="AP64" s="734"/>
      <c r="AQ64" s="1774">
        <f t="shared" ref="AQ64:AU65" si="51">AQ16/AK16-1</f>
        <v>0.12714776632302383</v>
      </c>
      <c r="AR64" s="1766">
        <f t="shared" si="51"/>
        <v>3.215434083601254E-3</v>
      </c>
      <c r="AS64" s="1766">
        <f t="shared" si="51"/>
        <v>2.8481012658227778E-2</v>
      </c>
      <c r="AT64" s="1790">
        <f t="shared" si="51"/>
        <v>0.29768786127167668</v>
      </c>
      <c r="AU64" s="1773">
        <f t="shared" si="51"/>
        <v>0.11867088607594933</v>
      </c>
      <c r="AV64" s="734"/>
      <c r="AW64" s="1774">
        <f t="shared" ref="AW64:BA65" si="52">AW16/AQ16-1</f>
        <v>0.3628048780487807</v>
      </c>
      <c r="AX64" s="1766">
        <f t="shared" si="52"/>
        <v>0.41987179487179471</v>
      </c>
      <c r="AY64" s="1766">
        <f t="shared" si="52"/>
        <v>0.33846153846153837</v>
      </c>
      <c r="AZ64" s="1790">
        <f t="shared" si="52"/>
        <v>-4.4543429844101645E-3</v>
      </c>
      <c r="BA64" s="1773">
        <f t="shared" si="52"/>
        <v>0.25318246110325315</v>
      </c>
      <c r="BB64" s="734"/>
      <c r="BC64" s="1774">
        <f t="shared" ref="BC64:BG65" si="53">BC16/AW16-1</f>
        <v>7.829977628635354E-2</v>
      </c>
      <c r="BD64" s="1766">
        <f t="shared" si="53"/>
        <v>0.17155756207674955</v>
      </c>
      <c r="BE64" s="1766">
        <f t="shared" si="53"/>
        <v>3.2183908045976928E-2</v>
      </c>
      <c r="BF64" s="1785">
        <f t="shared" si="53"/>
        <v>0.12527964205816611</v>
      </c>
      <c r="BG64" s="1773">
        <f t="shared" si="53"/>
        <v>0.10214446952595946</v>
      </c>
      <c r="BH64" s="734"/>
      <c r="BI64" s="1774">
        <f t="shared" ref="BI64:BM65" si="54">BI16/BC16-1</f>
        <v>2.4896265560165887E-2</v>
      </c>
      <c r="BJ64" s="1766">
        <f t="shared" si="54"/>
        <v>-0.10404624277456642</v>
      </c>
      <c r="BK64" s="1321">
        <f t="shared" si="54"/>
        <v>1.3363028953229383E-2</v>
      </c>
      <c r="BL64" s="1785">
        <f t="shared" si="54"/>
        <v>-2.3856858846918794E-2</v>
      </c>
      <c r="BM64" s="1773">
        <f t="shared" si="54"/>
        <v>-2.457757296466978E-2</v>
      </c>
      <c r="BN64" s="816"/>
      <c r="BO64" s="1774">
        <f t="shared" ref="BO64:BS65" si="55">BO16/BI16-1</f>
        <v>-6.8825910931174072E-2</v>
      </c>
      <c r="BP64" s="1766">
        <f t="shared" si="55"/>
        <v>-4.3010752688172005E-2</v>
      </c>
      <c r="BQ64" s="1766">
        <f t="shared" si="55"/>
        <v>-7.4725274725274682E-2</v>
      </c>
      <c r="BR64" s="1785">
        <f t="shared" si="55"/>
        <v>-0.15274949083503053</v>
      </c>
      <c r="BS64" s="1773">
        <f t="shared" si="55"/>
        <v>-8.5564304461942298E-2</v>
      </c>
      <c r="BT64" s="734"/>
      <c r="BU64" s="1774">
        <f t="shared" ref="BU64:BY65" si="56">BU16/BO16-1</f>
        <v>-0.19130434782608685</v>
      </c>
      <c r="BV64" s="1766">
        <f t="shared" si="56"/>
        <v>-0.15730337078651691</v>
      </c>
      <c r="BW64" s="1766">
        <f t="shared" si="56"/>
        <v>-0.18527315914489317</v>
      </c>
      <c r="BX64" s="1785">
        <f t="shared" si="56"/>
        <v>-0.11778846153846134</v>
      </c>
      <c r="BY64" s="1773">
        <f t="shared" si="56"/>
        <v>-0.16360505166475314</v>
      </c>
      <c r="BZ64" s="734"/>
      <c r="CA64" s="1774">
        <f t="shared" ref="CA64:CE65" si="57">CA16/BU16-1</f>
        <v>-2.9569892473118364E-2</v>
      </c>
      <c r="CB64" s="1766">
        <f t="shared" si="57"/>
        <v>-1.866666666666672E-2</v>
      </c>
      <c r="CC64" s="1321">
        <f t="shared" si="57"/>
        <v>0.10495626822157433</v>
      </c>
      <c r="CD64" s="1785">
        <f t="shared" si="57"/>
        <v>4.0871934604904681E-2</v>
      </c>
      <c r="CE64" s="1773">
        <f t="shared" si="57"/>
        <v>2.2649279341111939E-2</v>
      </c>
      <c r="CF64" s="734"/>
      <c r="CG64" s="1774">
        <f t="shared" ref="CG64:CK65" si="58">CG16/CA16-1</f>
        <v>4.1551246537396169E-2</v>
      </c>
      <c r="CH64" s="1766">
        <f t="shared" si="58"/>
        <v>0.10597826086956541</v>
      </c>
      <c r="CI64" s="1321">
        <f t="shared" si="58"/>
        <v>7.9155672823219003E-2</v>
      </c>
      <c r="CJ64" s="1785">
        <f t="shared" si="58"/>
        <v>0.1387434554973821</v>
      </c>
      <c r="CK64" s="1773">
        <f t="shared" si="58"/>
        <v>9.1946308724832226E-2</v>
      </c>
      <c r="CL64" s="734"/>
      <c r="CM64" s="1774">
        <f t="shared" ref="CM64:CQ65" si="59">CM16/CG16-1</f>
        <v>4.7924969880099422E-2</v>
      </c>
      <c r="CN64" s="1766">
        <f t="shared" si="59"/>
        <v>-7.6550032107530752E-3</v>
      </c>
      <c r="CO64" s="1321">
        <f t="shared" si="59"/>
        <v>2.5500749994445737E-2</v>
      </c>
      <c r="CP64" s="1785">
        <f t="shared" si="59"/>
        <v>0.19251165967673067</v>
      </c>
      <c r="CQ64" s="1773">
        <f t="shared" si="59"/>
        <v>6.7041537231252057E-2</v>
      </c>
      <c r="CR64" s="734"/>
      <c r="CS64" s="1774">
        <f t="shared" ref="CS64:CW65" si="60">CS16/CM16-1</f>
        <v>-4.4947455223721677E-3</v>
      </c>
      <c r="CT64" s="1766">
        <f t="shared" si="60"/>
        <v>1.2561437378366458E-2</v>
      </c>
      <c r="CU64" s="1321">
        <f t="shared" si="60"/>
        <v>-6.774796951695583E-3</v>
      </c>
      <c r="CV64" s="1785">
        <f t="shared" si="60"/>
        <v>2.6034380134020818E-2</v>
      </c>
      <c r="CW64" s="1773">
        <f t="shared" si="60"/>
        <v>8.0445412235607971E-3</v>
      </c>
      <c r="CX64" s="1766"/>
      <c r="CY64" s="1774">
        <f t="shared" ref="CY64:CY65" si="61">CY16/CS16-1</f>
        <v>4.391479217622507E-3</v>
      </c>
      <c r="CZ64" s="1766">
        <f t="shared" ref="CZ64:CZ65" si="62">CZ16/CT16-1</f>
        <v>-1.2205191485501254E-2</v>
      </c>
      <c r="DA64" s="1321">
        <f t="shared" ref="DA64:DA65" si="63">DA16/CU16-1</f>
        <v>1.1963797127547027E-2</v>
      </c>
      <c r="DB64" s="1785">
        <f t="shared" ref="DB64:DB65" si="64">DB16/CV16-1</f>
        <v>-3.3323052660875208E-3</v>
      </c>
      <c r="DC64" s="1773">
        <f t="shared" ref="DC64:DC65" si="65">DC16/CW16-1</f>
        <v>-3.3422166485941318E-5</v>
      </c>
      <c r="DD64" s="1766"/>
      <c r="DE64" s="1774">
        <f t="shared" ref="DE64:DE65" si="66">DE16/CY16-1</f>
        <v>-1.8006857283974664E-2</v>
      </c>
      <c r="DF64" s="1766">
        <f t="shared" ref="DF64:DF65" si="67">DF16/CZ16-1</f>
        <v>-2.5676348831191742E-3</v>
      </c>
      <c r="DG64" s="1321">
        <f t="shared" ref="DG64:DG65" si="68">DG16/DA16-1</f>
        <v>-1.9247583887308073E-2</v>
      </c>
      <c r="DH64" s="1785">
        <f t="shared" ref="DH64:DH65" si="69">DH16/DB16-1</f>
        <v>-6.4958232518497194E-3</v>
      </c>
      <c r="DI64" s="1773">
        <f t="shared" ref="DI64:DI65" si="70">DI16/DC16-1</f>
        <v>-1.1252409219403625E-2</v>
      </c>
      <c r="DJ64"/>
      <c r="DK64"/>
      <c r="DL64"/>
      <c r="DM64"/>
      <c r="DN64"/>
      <c r="DO64"/>
    </row>
    <row r="65" spans="1:120" s="10" customFormat="1" ht="11.25" customHeight="1">
      <c r="A65" s="1435" t="s">
        <v>8</v>
      </c>
      <c r="B65" s="734"/>
      <c r="C65" s="1784"/>
      <c r="D65" s="734"/>
      <c r="E65" s="1773">
        <f>E17/C17-1</f>
        <v>0.52959469265056502</v>
      </c>
      <c r="F65" s="734"/>
      <c r="G65" s="1773">
        <f>G17/E17-1</f>
        <v>0.27832746001626463</v>
      </c>
      <c r="H65" s="734"/>
      <c r="I65" s="1773">
        <f>I17/G17-1</f>
        <v>0.46943752319355325</v>
      </c>
      <c r="J65" s="734"/>
      <c r="K65" s="1773">
        <f>K17/I17-1</f>
        <v>1.2880438704091208</v>
      </c>
      <c r="L65" s="734"/>
      <c r="M65" s="1773">
        <f>M17/K17-1</f>
        <v>8.4783979817092403E-2</v>
      </c>
      <c r="N65" s="734"/>
      <c r="O65" s="1773">
        <f>O17/M17-1</f>
        <v>0.11015015189615829</v>
      </c>
      <c r="P65" s="734"/>
      <c r="Q65" s="1773">
        <f>Q17/O17-1</f>
        <v>0.25772831423895259</v>
      </c>
      <c r="R65" s="734"/>
      <c r="S65" s="1774"/>
      <c r="T65" s="1766"/>
      <c r="U65" s="1766"/>
      <c r="V65" s="1790"/>
      <c r="W65" s="1773">
        <f>W17/Q17-1</f>
        <v>0.17624584890536044</v>
      </c>
      <c r="X65" s="734"/>
      <c r="Y65" s="1774">
        <f t="shared" si="48"/>
        <v>0.90577459805809979</v>
      </c>
      <c r="Z65" s="1766">
        <f t="shared" si="48"/>
        <v>0.82910166952836772</v>
      </c>
      <c r="AA65" s="1766">
        <f t="shared" si="48"/>
        <v>1.0229260132309328</v>
      </c>
      <c r="AB65" s="1790">
        <f t="shared" si="48"/>
        <v>0.94078228782287732</v>
      </c>
      <c r="AC65" s="1773">
        <f t="shared" si="48"/>
        <v>0.92496614714706715</v>
      </c>
      <c r="AD65" s="734"/>
      <c r="AE65" s="1774">
        <f t="shared" si="49"/>
        <v>0.24791155297951772</v>
      </c>
      <c r="AF65" s="1766">
        <f t="shared" si="49"/>
        <v>0.26228329471918177</v>
      </c>
      <c r="AG65" s="1766">
        <f t="shared" si="49"/>
        <v>0.1577424023154852</v>
      </c>
      <c r="AH65" s="1790">
        <f t="shared" si="49"/>
        <v>-1.5879776101241139E-2</v>
      </c>
      <c r="AI65" s="1773">
        <f t="shared" si="49"/>
        <v>0.14942528735632177</v>
      </c>
      <c r="AJ65" s="734"/>
      <c r="AK65" s="1774">
        <f t="shared" si="50"/>
        <v>-3.3057851239669311E-2</v>
      </c>
      <c r="AL65" s="1766">
        <f t="shared" si="50"/>
        <v>-4.4303797468354333E-2</v>
      </c>
      <c r="AM65" s="1766">
        <f t="shared" si="50"/>
        <v>-6.4935064935065512E-3</v>
      </c>
      <c r="AN65" s="1790">
        <f t="shared" si="50"/>
        <v>0.13137557959814505</v>
      </c>
      <c r="AO65" s="1773">
        <f t="shared" si="50"/>
        <v>1.3200000000000101E-2</v>
      </c>
      <c r="AP65" s="734"/>
      <c r="AQ65" s="1774">
        <f t="shared" si="51"/>
        <v>9.743589743589709E-2</v>
      </c>
      <c r="AR65" s="1766">
        <f t="shared" si="51"/>
        <v>3.4768211920529923E-2</v>
      </c>
      <c r="AS65" s="1766">
        <f t="shared" si="51"/>
        <v>0.1568627450980391</v>
      </c>
      <c r="AT65" s="1790">
        <f t="shared" si="51"/>
        <v>0.28278688524590234</v>
      </c>
      <c r="AU65" s="1773">
        <f t="shared" si="51"/>
        <v>0.15041452822739831</v>
      </c>
      <c r="AV65" s="734"/>
      <c r="AW65" s="1774">
        <f t="shared" si="52"/>
        <v>0.35825545171339601</v>
      </c>
      <c r="AX65" s="1766">
        <f t="shared" si="52"/>
        <v>0.53439999999999999</v>
      </c>
      <c r="AY65" s="1766">
        <f t="shared" si="52"/>
        <v>0.40395480225988689</v>
      </c>
      <c r="AZ65" s="1790">
        <f t="shared" si="52"/>
        <v>0.2172523961661339</v>
      </c>
      <c r="BA65" s="1773">
        <f t="shared" si="52"/>
        <v>0.36170212765957444</v>
      </c>
      <c r="BB65" s="734"/>
      <c r="BC65" s="1774">
        <f t="shared" si="53"/>
        <v>0.18807339449541294</v>
      </c>
      <c r="BD65" s="1766">
        <f t="shared" si="53"/>
        <v>0.14389989572471307</v>
      </c>
      <c r="BE65" s="1766">
        <f t="shared" si="53"/>
        <v>2.7162977867203342E-2</v>
      </c>
      <c r="BF65" s="1785">
        <f t="shared" si="53"/>
        <v>8.1364829396324945E-2</v>
      </c>
      <c r="BG65" s="1773">
        <f t="shared" si="53"/>
        <v>0.10635080645161277</v>
      </c>
      <c r="BH65" s="734"/>
      <c r="BI65" s="1774">
        <f t="shared" si="54"/>
        <v>-3.0888030888031048E-2</v>
      </c>
      <c r="BJ65" s="1766">
        <f t="shared" si="54"/>
        <v>-6.8368277119416287E-2</v>
      </c>
      <c r="BK65" s="1321">
        <f t="shared" si="54"/>
        <v>-7.0519098922624757E-2</v>
      </c>
      <c r="BL65" s="1785">
        <f t="shared" si="54"/>
        <v>-0.10679611650485477</v>
      </c>
      <c r="BM65" s="1773">
        <f t="shared" si="54"/>
        <v>-7.0842824601366816E-2</v>
      </c>
      <c r="BN65" s="816"/>
      <c r="BO65" s="1774">
        <f t="shared" si="55"/>
        <v>5.0796812749004161E-2</v>
      </c>
      <c r="BP65" s="1766">
        <f t="shared" si="55"/>
        <v>6.6536203522504778E-2</v>
      </c>
      <c r="BQ65" s="1766">
        <f t="shared" si="55"/>
        <v>3.1612223393042704E-3</v>
      </c>
      <c r="BR65" s="1785">
        <f t="shared" si="55"/>
        <v>-3.3514492753622505E-2</v>
      </c>
      <c r="BS65" s="1773">
        <f t="shared" si="55"/>
        <v>2.0838440794312296E-2</v>
      </c>
      <c r="BT65" s="734"/>
      <c r="BU65" s="1774">
        <f t="shared" si="56"/>
        <v>-0.23317535545023704</v>
      </c>
      <c r="BV65" s="1766">
        <f t="shared" si="56"/>
        <v>-0.11743119266055047</v>
      </c>
      <c r="BW65" s="1766">
        <f t="shared" si="56"/>
        <v>-8.9285714285714302E-2</v>
      </c>
      <c r="BX65" s="1785">
        <f t="shared" si="56"/>
        <v>-5.0609184629803239E-2</v>
      </c>
      <c r="BY65" s="1773">
        <f t="shared" si="56"/>
        <v>-0.12319884726224772</v>
      </c>
      <c r="BZ65" s="734"/>
      <c r="CA65" s="1774">
        <f t="shared" si="57"/>
        <v>8.7762669962917261E-2</v>
      </c>
      <c r="CB65" s="1766">
        <f t="shared" si="57"/>
        <v>-8.4199584199584288E-2</v>
      </c>
      <c r="CC65" s="1321">
        <f t="shared" si="57"/>
        <v>5.5363321799307919E-2</v>
      </c>
      <c r="CD65" s="1785">
        <f t="shared" si="57"/>
        <v>-7.1076011846002096E-2</v>
      </c>
      <c r="CE65" s="1773">
        <f t="shared" si="57"/>
        <v>-9.3125171185977074E-3</v>
      </c>
      <c r="CF65" s="734"/>
      <c r="CG65" s="1774">
        <f t="shared" si="58"/>
        <v>6.25E-2</v>
      </c>
      <c r="CH65" s="1766">
        <f t="shared" si="58"/>
        <v>7.2644721906923948E-2</v>
      </c>
      <c r="CI65" s="1321">
        <f t="shared" si="58"/>
        <v>6.8852459016393475E-2</v>
      </c>
      <c r="CJ65" s="1785">
        <f t="shared" si="58"/>
        <v>0.11370882040382613</v>
      </c>
      <c r="CK65" s="1773">
        <f t="shared" si="58"/>
        <v>7.990047000276479E-2</v>
      </c>
      <c r="CL65" s="734"/>
      <c r="CM65" s="1774">
        <f t="shared" si="59"/>
        <v>1.0481431481876635E-2</v>
      </c>
      <c r="CN65" s="1766">
        <f t="shared" si="59"/>
        <v>2.4819073261521885E-2</v>
      </c>
      <c r="CO65" s="1321">
        <f t="shared" si="59"/>
        <v>2.8353309417325168E-2</v>
      </c>
      <c r="CP65" s="1785">
        <f t="shared" si="59"/>
        <v>0.18689560809058992</v>
      </c>
      <c r="CQ65" s="1773">
        <f t="shared" si="59"/>
        <v>6.5757884423137458E-2</v>
      </c>
      <c r="CR65" s="734"/>
      <c r="CS65" s="1774">
        <f t="shared" si="60"/>
        <v>8.2599662582509836E-3</v>
      </c>
      <c r="CT65" s="1766">
        <f t="shared" si="60"/>
        <v>2.5534678087890672E-2</v>
      </c>
      <c r="CU65" s="1321">
        <f t="shared" si="60"/>
        <v>5.9507021264377791E-3</v>
      </c>
      <c r="CV65" s="1785">
        <f t="shared" si="60"/>
        <v>3.9180240225424212E-2</v>
      </c>
      <c r="CW65" s="1773">
        <f t="shared" si="60"/>
        <v>2.0959910105349255E-2</v>
      </c>
      <c r="CX65" s="734"/>
      <c r="CY65" s="1774">
        <f t="shared" si="61"/>
        <v>1.3021412614733441E-2</v>
      </c>
      <c r="CZ65" s="1766">
        <f t="shared" si="62"/>
        <v>-3.717860017762753E-3</v>
      </c>
      <c r="DA65" s="1321">
        <f t="shared" si="63"/>
        <v>2.0658793401610698E-2</v>
      </c>
      <c r="DB65" s="1785">
        <f t="shared" si="64"/>
        <v>5.2312638228355635E-3</v>
      </c>
      <c r="DC65" s="1773">
        <f t="shared" si="65"/>
        <v>8.5584915888581303E-3</v>
      </c>
      <c r="DD65" s="734"/>
      <c r="DE65" s="1774">
        <f t="shared" si="66"/>
        <v>6.9253347329247816E-3</v>
      </c>
      <c r="DF65" s="1766">
        <f t="shared" si="67"/>
        <v>2.2756549338964982E-2</v>
      </c>
      <c r="DG65" s="1321">
        <f t="shared" si="68"/>
        <v>5.6531068567520215E-3</v>
      </c>
      <c r="DH65" s="1785">
        <f t="shared" si="69"/>
        <v>1.8728626723194308E-2</v>
      </c>
      <c r="DI65" s="1773">
        <f t="shared" si="70"/>
        <v>1.3851274011424497E-2</v>
      </c>
      <c r="DJ65"/>
      <c r="DK65"/>
      <c r="DL65"/>
      <c r="DM65"/>
      <c r="DN65"/>
      <c r="DO65"/>
    </row>
    <row r="66" spans="1:120" s="10" customFormat="1" ht="11.25" customHeight="1">
      <c r="A66" s="1435" t="s">
        <v>373</v>
      </c>
      <c r="B66" s="734"/>
      <c r="C66" s="1784"/>
      <c r="D66" s="734"/>
      <c r="E66" s="1773"/>
      <c r="F66" s="734"/>
      <c r="G66" s="1773"/>
      <c r="H66" s="734"/>
      <c r="I66" s="1773">
        <f t="shared" ref="I66:AU66" si="71">+I19/C19-1</f>
        <v>1.0349841381741274</v>
      </c>
      <c r="J66" s="734"/>
      <c r="K66" s="1773">
        <f t="shared" si="71"/>
        <v>2.1463504382150265</v>
      </c>
      <c r="L66" s="734"/>
      <c r="M66" s="1773">
        <f t="shared" si="71"/>
        <v>1.676676264911559</v>
      </c>
      <c r="N66" s="734"/>
      <c r="O66" s="1773">
        <f t="shared" si="71"/>
        <v>1.5893993850950507</v>
      </c>
      <c r="P66" s="734"/>
      <c r="Q66" s="1773">
        <f t="shared" si="71"/>
        <v>0.52627661949668791</v>
      </c>
      <c r="R66" s="734"/>
      <c r="S66" s="1774">
        <f t="shared" si="71"/>
        <v>-0.6377554940832949</v>
      </c>
      <c r="T66" s="1766"/>
      <c r="U66" s="1766">
        <f t="shared" si="71"/>
        <v>-0.68026824088164961</v>
      </c>
      <c r="V66" s="1790"/>
      <c r="W66" s="1773">
        <f t="shared" si="71"/>
        <v>0.13507526627054101</v>
      </c>
      <c r="X66" s="734"/>
      <c r="Y66" s="1774">
        <f t="shared" si="71"/>
        <v>0.97393540860158012</v>
      </c>
      <c r="Z66" s="1766">
        <f t="shared" si="71"/>
        <v>0.9599314118566713</v>
      </c>
      <c r="AA66" s="1766">
        <f t="shared" si="71"/>
        <v>1.0934149275589728</v>
      </c>
      <c r="AB66" s="1790">
        <f t="shared" si="71"/>
        <v>1.0296584211749287</v>
      </c>
      <c r="AC66" s="1773">
        <f t="shared" si="71"/>
        <v>1.0147531727913193</v>
      </c>
      <c r="AD66" s="734"/>
      <c r="AE66" s="1774">
        <f t="shared" si="71"/>
        <v>0.2317818523742361</v>
      </c>
      <c r="AF66" s="1766">
        <f t="shared" si="71"/>
        <v>0.28272756513348307</v>
      </c>
      <c r="AG66" s="1766">
        <f t="shared" si="71"/>
        <v>0.18304017589446353</v>
      </c>
      <c r="AH66" s="1790">
        <f t="shared" si="71"/>
        <v>1.6839782685623028E-2</v>
      </c>
      <c r="AI66" s="1773">
        <f t="shared" si="71"/>
        <v>0.16905269570514792</v>
      </c>
      <c r="AJ66" s="734"/>
      <c r="AK66" s="1774">
        <f t="shared" si="71"/>
        <v>-4.4711014176663011E-2</v>
      </c>
      <c r="AL66" s="1766">
        <f t="shared" si="71"/>
        <v>-8.2246740220661918E-2</v>
      </c>
      <c r="AM66" s="1766">
        <f t="shared" si="71"/>
        <v>-2.0063357972544882E-2</v>
      </c>
      <c r="AN66" s="1790">
        <f t="shared" si="71"/>
        <v>0.10337768679631498</v>
      </c>
      <c r="AO66" s="1773">
        <f t="shared" si="71"/>
        <v>-1.0682647212089558E-2</v>
      </c>
      <c r="AP66" s="734"/>
      <c r="AQ66" s="1774">
        <f t="shared" si="71"/>
        <v>0.10730593607305905</v>
      </c>
      <c r="AR66" s="1766">
        <f t="shared" si="71"/>
        <v>2.4043715846994607E-2</v>
      </c>
      <c r="AS66" s="1766">
        <f t="shared" si="71"/>
        <v>0.11314655172413768</v>
      </c>
      <c r="AT66" s="1790">
        <f t="shared" si="71"/>
        <v>0.26159554730983348</v>
      </c>
      <c r="AU66" s="1773">
        <f t="shared" si="71"/>
        <v>0.13247300500395043</v>
      </c>
      <c r="AV66" s="734"/>
      <c r="AW66" s="1774">
        <f>+AW19/AQ19-1</f>
        <v>0.35979381443298997</v>
      </c>
      <c r="AX66" s="1766">
        <f>+AX19/AR19-1</f>
        <v>0.49626467449306277</v>
      </c>
      <c r="AY66" s="1766">
        <f>+AY19/AS19-1</f>
        <v>0.38334946757018384</v>
      </c>
      <c r="AZ66" s="1790">
        <f>+AZ19/AT19-1</f>
        <v>0.16397058823529398</v>
      </c>
      <c r="BA66" s="1773">
        <f>+BA19/AU19-1</f>
        <v>0.33325581395348802</v>
      </c>
      <c r="BB66" s="734"/>
      <c r="BC66" s="1774">
        <f>+BC19/AW19-1</f>
        <v>0.15087187263078095</v>
      </c>
      <c r="BD66" s="1766">
        <f>+BD19/AX19-1</f>
        <v>0.15263908701854501</v>
      </c>
      <c r="BE66" s="1766">
        <f>+BE19/AY19-1</f>
        <v>2.8691392582225417E-2</v>
      </c>
      <c r="BF66" s="1785">
        <f>+BF19/AZ19-1</f>
        <v>9.8547062539481756E-2</v>
      </c>
      <c r="BG66" s="1773">
        <f>+BG19/BA19-1</f>
        <v>0.10640153497296345</v>
      </c>
      <c r="BH66" s="734"/>
      <c r="BI66" s="1774">
        <f>+BI19/BC19-1</f>
        <v>2.700922266139627E-2</v>
      </c>
      <c r="BJ66" s="1766">
        <f>+BJ19/BD19-1</f>
        <v>-5.1980198019801804E-2</v>
      </c>
      <c r="BK66" s="1321">
        <f>+BK19/BE19-1</f>
        <v>2.6530612244898277E-2</v>
      </c>
      <c r="BL66" s="1785">
        <f>+BL19/BF19-1</f>
        <v>-3.9677975848188995E-2</v>
      </c>
      <c r="BM66" s="1773">
        <f>+BM19/BG19-1</f>
        <v>-1.1508749802932261E-2</v>
      </c>
      <c r="BN66" s="816"/>
      <c r="BO66" s="1774">
        <f>+BO19/BI19-1</f>
        <v>-5.1314945477869411E-3</v>
      </c>
      <c r="BP66" s="1766">
        <f>+BP19/BJ19-1</f>
        <v>3.8511749347258428E-2</v>
      </c>
      <c r="BQ66" s="1766">
        <f>+BQ19/BK19-1</f>
        <v>-8.6149768058317866E-3</v>
      </c>
      <c r="BR66" s="1785">
        <f>+BR19/BL19-1</f>
        <v>-4.4910179640718084E-2</v>
      </c>
      <c r="BS66" s="1773">
        <f>+BS19/BM19-1</f>
        <v>-5.9011164274322958E-3</v>
      </c>
      <c r="BT66" s="734"/>
      <c r="BU66" s="1774">
        <f>+BU19/BO19-1</f>
        <v>-0.15344938749194081</v>
      </c>
      <c r="BV66" s="1766">
        <f>+BV19/BP19-1</f>
        <v>-0.14833438089252038</v>
      </c>
      <c r="BW66" s="1766">
        <f>+BW19/BQ19-1</f>
        <v>-0.13168449197860976</v>
      </c>
      <c r="BX66" s="1785">
        <f>+BX19/BR19-1</f>
        <v>-0.1278996865203762</v>
      </c>
      <c r="BY66" s="1773">
        <f>+BY19/BS19-1</f>
        <v>-0.14038183860099473</v>
      </c>
      <c r="BZ66" s="734"/>
      <c r="CA66" s="1774">
        <f>+CA19/BU19-1</f>
        <v>-2.4371667936024299E-2</v>
      </c>
      <c r="CB66" s="1766">
        <f>+CB19/BV19-1</f>
        <v>1.033210332103307E-2</v>
      </c>
      <c r="CC66" s="1321">
        <f>+CC19/BW19-1</f>
        <v>3.1562740569669012E-2</v>
      </c>
      <c r="CD66" s="1785">
        <f>+CD19/BX19-1</f>
        <v>-1.1502516175413535E-2</v>
      </c>
      <c r="CE66" s="1773">
        <f>+CE19/BY19-1</f>
        <v>1.3064576334453903E-3</v>
      </c>
      <c r="CF66" s="734"/>
      <c r="CG66" s="1774">
        <f>+CG19/CA19-1</f>
        <v>4.7619047619047672E-2</v>
      </c>
      <c r="CH66" s="1766">
        <f>+CH19/CB19-1</f>
        <v>3.4331628926223656E-2</v>
      </c>
      <c r="CI66" s="1321">
        <f>+CI19/CC19-1</f>
        <v>6.7164179104477917E-2</v>
      </c>
      <c r="CJ66" s="1785">
        <f>+CJ19/CD19-1</f>
        <v>0.1214545454545457</v>
      </c>
      <c r="CK66" s="1773">
        <f>+CK19/CE19-1</f>
        <v>6.803355079217166E-2</v>
      </c>
      <c r="CL66" s="734"/>
      <c r="CM66" s="1774">
        <f>+CM19/CG19-1</f>
        <v>2.7436607384852651E-2</v>
      </c>
      <c r="CN66" s="1766">
        <f>+CN19/CH19-1</f>
        <v>-2.5858489227671422E-3</v>
      </c>
      <c r="CO66" s="1321">
        <f>+CO19/CI19-1</f>
        <v>2.4586953397113254E-2</v>
      </c>
      <c r="CP66" s="1785">
        <f>+CP19/CJ19-1</f>
        <v>0.16900724334521144</v>
      </c>
      <c r="CQ66" s="1773">
        <f>+CQ19/CK19-1</f>
        <v>5.7404341646076773E-2</v>
      </c>
      <c r="CR66" s="734"/>
      <c r="CS66" s="1774">
        <f>+CS19/CM19-1</f>
        <v>4.3754796872124135E-3</v>
      </c>
      <c r="CT66" s="1766">
        <f>+CT19/CN19-1</f>
        <v>2.110155025319127E-2</v>
      </c>
      <c r="CU66" s="1321">
        <f>+CU19/CO19-1</f>
        <v>2.145326465801789E-3</v>
      </c>
      <c r="CV66" s="1785">
        <f>+CV19/CP19-1</f>
        <v>3.4527802510934347E-2</v>
      </c>
      <c r="CW66" s="1773">
        <f>+CW19/CQ19-1</f>
        <v>1.6705748338909476E-2</v>
      </c>
      <c r="CX66" s="734"/>
      <c r="CY66" s="1774">
        <f>+CY19/CS19-1</f>
        <v>1.020094179630382E-2</v>
      </c>
      <c r="CZ66" s="1766">
        <f>+CZ19/CT19-1</f>
        <v>-6.0215501063594079E-3</v>
      </c>
      <c r="DA66" s="1321">
        <f>+DA19/CU19-1</f>
        <v>1.7629046607059218E-2</v>
      </c>
      <c r="DB66" s="1785">
        <f>+DB19/CV19-1</f>
        <v>2.6749228835574179E-3</v>
      </c>
      <c r="DC66" s="1773">
        <f>+DC19/CW19-1</f>
        <v>5.8953122369147515E-3</v>
      </c>
      <c r="DD66" s="734"/>
      <c r="DE66" s="1774">
        <f>+DE19/CY19-1</f>
        <v>-2.9391357454833233E-4</v>
      </c>
      <c r="DF66" s="1766">
        <f>+DF19/CZ19-1</f>
        <v>1.4984861374664149E-2</v>
      </c>
      <c r="DG66" s="1321">
        <f>+DG19/DA19-1</f>
        <v>-1.5237468109143837E-3</v>
      </c>
      <c r="DH66" s="1785">
        <f>+DH19/DB19-1</f>
        <v>1.1171787417494139E-2</v>
      </c>
      <c r="DI66" s="1773">
        <f>+DI19/DC19-1</f>
        <v>6.4039193226781421E-3</v>
      </c>
      <c r="DJ66"/>
      <c r="DK66"/>
      <c r="DL66"/>
      <c r="DM66"/>
      <c r="DN66"/>
      <c r="DO66"/>
    </row>
    <row r="67" spans="1:120" s="16" customFormat="1" ht="11.25" customHeight="1">
      <c r="A67" s="1435" t="s">
        <v>547</v>
      </c>
      <c r="B67" s="734"/>
      <c r="C67" s="1784"/>
      <c r="D67" s="734"/>
      <c r="E67" s="1773"/>
      <c r="F67" s="734"/>
      <c r="G67" s="1773"/>
      <c r="H67" s="734"/>
      <c r="I67" s="1773"/>
      <c r="J67" s="734"/>
      <c r="K67" s="1773"/>
      <c r="L67" s="734"/>
      <c r="M67" s="1773"/>
      <c r="N67" s="734"/>
      <c r="O67" s="1773"/>
      <c r="P67" s="734"/>
      <c r="Q67" s="1773"/>
      <c r="R67" s="734"/>
      <c r="S67" s="2184" t="s">
        <v>270</v>
      </c>
      <c r="T67" s="2185" t="s">
        <v>270</v>
      </c>
      <c r="U67" s="2185" t="s">
        <v>270</v>
      </c>
      <c r="V67" s="2186" t="s">
        <v>270</v>
      </c>
      <c r="W67" s="2187" t="s">
        <v>270</v>
      </c>
      <c r="X67" s="2188"/>
      <c r="Y67" s="2184" t="s">
        <v>270</v>
      </c>
      <c r="Z67" s="2185" t="s">
        <v>270</v>
      </c>
      <c r="AA67" s="2185" t="s">
        <v>270</v>
      </c>
      <c r="AB67" s="2186" t="s">
        <v>270</v>
      </c>
      <c r="AC67" s="2187" t="s">
        <v>270</v>
      </c>
      <c r="AD67" s="2188"/>
      <c r="AE67" s="2184" t="s">
        <v>270</v>
      </c>
      <c r="AF67" s="2185" t="s">
        <v>270</v>
      </c>
      <c r="AG67" s="2185" t="s">
        <v>270</v>
      </c>
      <c r="AH67" s="2186" t="s">
        <v>270</v>
      </c>
      <c r="AI67" s="2187" t="s">
        <v>270</v>
      </c>
      <c r="AJ67" s="2188"/>
      <c r="AK67" s="2184" t="s">
        <v>270</v>
      </c>
      <c r="AL67" s="2185" t="s">
        <v>270</v>
      </c>
      <c r="AM67" s="2185" t="s">
        <v>270</v>
      </c>
      <c r="AN67" s="2186" t="s">
        <v>270</v>
      </c>
      <c r="AO67" s="2187" t="s">
        <v>270</v>
      </c>
      <c r="AP67" s="2188"/>
      <c r="AQ67" s="2184" t="s">
        <v>270</v>
      </c>
      <c r="AR67" s="2185" t="s">
        <v>270</v>
      </c>
      <c r="AS67" s="2185" t="s">
        <v>270</v>
      </c>
      <c r="AT67" s="2186" t="s">
        <v>270</v>
      </c>
      <c r="AU67" s="2187" t="s">
        <v>270</v>
      </c>
      <c r="AV67" s="2188"/>
      <c r="AW67" s="2184" t="s">
        <v>270</v>
      </c>
      <c r="AX67" s="2185" t="s">
        <v>270</v>
      </c>
      <c r="AY67" s="2185" t="s">
        <v>270</v>
      </c>
      <c r="AZ67" s="2186" t="s">
        <v>270</v>
      </c>
      <c r="BA67" s="2187" t="s">
        <v>270</v>
      </c>
      <c r="BB67" s="2188"/>
      <c r="BC67" s="2184" t="s">
        <v>270</v>
      </c>
      <c r="BD67" s="2185" t="s">
        <v>270</v>
      </c>
      <c r="BE67" s="2185" t="s">
        <v>270</v>
      </c>
      <c r="BF67" s="2189" t="s">
        <v>270</v>
      </c>
      <c r="BG67" s="2187" t="s">
        <v>270</v>
      </c>
      <c r="BH67" s="2188"/>
      <c r="BI67" s="2184" t="s">
        <v>270</v>
      </c>
      <c r="BJ67" s="2185" t="s">
        <v>270</v>
      </c>
      <c r="BK67" s="96" t="s">
        <v>270</v>
      </c>
      <c r="BL67" s="2189" t="s">
        <v>270</v>
      </c>
      <c r="BM67" s="2187" t="s">
        <v>270</v>
      </c>
      <c r="BN67" s="816"/>
      <c r="BO67" s="1774">
        <f>(BO19-(BO128-BO20)*(BO19/(BO19+BO12)))/BI19-1</f>
        <v>4.0405298318888505E-3</v>
      </c>
      <c r="BP67" s="1766">
        <f t="shared" ref="BP67:BS67" si="72">(BP19-(BP128-BP20)*(BP19/(BP19+BP12)))/BJ19-1</f>
        <v>6.1921137744685328E-2</v>
      </c>
      <c r="BQ67" s="1766">
        <f t="shared" si="72"/>
        <v>-1.2709639695965835E-3</v>
      </c>
      <c r="BR67" s="1785">
        <f t="shared" si="72"/>
        <v>-5.9830798896054804E-2</v>
      </c>
      <c r="BS67" s="1773">
        <f t="shared" si="72"/>
        <v>-1.1368313665767182E-3</v>
      </c>
      <c r="BT67" s="734"/>
      <c r="BU67" s="1774">
        <f>(BU19-(BU128-BU20)*(BU19/(BU19+BU12)))/BO19-1</f>
        <v>-0.15256551236060489</v>
      </c>
      <c r="BV67" s="1766">
        <f t="shared" ref="BV67" si="73">(BV19-(BV128-BV20)*(BV19/(BV19+BV12)))/BP19-1</f>
        <v>-0.16367721753902864</v>
      </c>
      <c r="BW67" s="1766">
        <f t="shared" ref="BW67" si="74">(BW19-(BW128-BW20)*(BW19/(BW19+BW12)))/BQ19-1</f>
        <v>-0.13455878164463908</v>
      </c>
      <c r="BX67" s="1785">
        <f t="shared" ref="BX67" si="75">(BX19-(BX128-BX20)*(BX19/(BX19+BX12)))/BR19-1</f>
        <v>-0.13377466539721405</v>
      </c>
      <c r="BY67" s="1773">
        <f t="shared" ref="BY67" si="76">(BY19-(BY128-BY20)*(BY19/(BY19+BY12)))/BS19-1</f>
        <v>-0.14829613761947946</v>
      </c>
      <c r="BZ67" s="734"/>
      <c r="CA67" s="1774">
        <f>(CA19-(CA128-CA20)*(CA19/(CA19+CA12)))/BU19-1</f>
        <v>-8.7884218528235802E-3</v>
      </c>
      <c r="CB67" s="1766">
        <f t="shared" ref="CB67" si="77">(CB19-(CB128-CB20)*(CB19/(CB19+CB12)))/BV19-1</f>
        <v>1.7262411025888547E-2</v>
      </c>
      <c r="CC67" s="1321">
        <f t="shared" ref="CC67" si="78">(CC19-(CC128-CC20)*(CC19/(CC19+CC12)))/BW19-1</f>
        <v>3.8075221993278729E-2</v>
      </c>
      <c r="CD67" s="1785">
        <f t="shared" ref="CD67" si="79">(CD19-(CD128-CD20)*(CD19/(CD19+CD12)))/BX19-1</f>
        <v>1.3423663782516915E-3</v>
      </c>
      <c r="CE67" s="1773">
        <f t="shared" ref="CE67" si="80">(CE19-(CE128-CE20)*(CE19/(CE19+CE12)))/BY19-1</f>
        <v>1.2039554306567446E-2</v>
      </c>
      <c r="CF67" s="734"/>
      <c r="CG67" s="1774">
        <f>(CG19-(CG128-CG20)*(CG19/(CG19+CG12)))/CA19-1</f>
        <v>5.4335935662748192E-2</v>
      </c>
      <c r="CH67" s="1766">
        <f t="shared" ref="CH67:CI67" si="81">(CH19-(CH128-CH20)*(CH19/(CH19+CH12)))/CB19-1</f>
        <v>3.8488389677760804E-2</v>
      </c>
      <c r="CI67" s="1321">
        <f t="shared" si="81"/>
        <v>8.4174430576593906E-2</v>
      </c>
      <c r="CJ67" s="1785">
        <f>(CJ19-(CJ128-CJ20)*(CJ19/(CJ19+CJ12)))/CD19-1</f>
        <v>0.14099346802490342</v>
      </c>
      <c r="CK67" s="1773">
        <f t="shared" ref="CK67" si="82">(CK19-(CK128-CK20)*(CK19/(CK19+CK12)))/CE19-1</f>
        <v>7.9049746661002729E-2</v>
      </c>
      <c r="CL67" s="734"/>
      <c r="CM67" s="1774">
        <f>(CM19-(CM128-CM20)*(CM19/(CM19+CM12)))/CG19-1</f>
        <v>1.8897109465543682E-2</v>
      </c>
      <c r="CN67" s="1766">
        <f t="shared" ref="CN67" si="83">(CN19-(CN128-CN20)*(CN19/(CN19+CN12)))/CH19-1</f>
        <v>-7.5241771465344165E-3</v>
      </c>
      <c r="CO67" s="1321">
        <f t="shared" ref="CO67" si="84">(CO19-(CO128-CO20)*(CO19/(CO19+CO12)))/CI19-1</f>
        <v>3.0964467643696203E-2</v>
      </c>
      <c r="CP67" s="1785">
        <f t="shared" ref="CP67" si="85">(CP19-(CP128-CP20)*(CP19/(CP19+CP12)))/CJ19-1</f>
        <v>0.18843770982827324</v>
      </c>
      <c r="CQ67" s="1773">
        <f t="shared" ref="CQ67" si="86">(CQ19-(CQ128-CQ20)*(CQ19/(CQ19+CQ12)))/CK19-1</f>
        <v>6.2780872884515393E-2</v>
      </c>
      <c r="CR67" s="734"/>
      <c r="CS67" s="1774">
        <f>(CS19-(CS128-CS20)*(CS19/(CS19+CS12)))/CM19-1</f>
        <v>9.2435278283737876E-3</v>
      </c>
      <c r="CT67" s="1766">
        <f t="shared" ref="CT67" si="87">(CT19-(CT128-CT20)*(CT19/(CT19+CT12)))/CN19-1</f>
        <v>2.6052941770444038E-2</v>
      </c>
      <c r="CU67" s="1321">
        <f t="shared" ref="CU67" si="88">(CU19-(CU128-CU20)*(CU19/(CU19+CU12)))/CO19-1</f>
        <v>7.0057585480141071E-3</v>
      </c>
      <c r="CV67" s="1785">
        <f t="shared" ref="CV67" si="89">(CV19-(CV128-CV20)*(CV19/(CV19+CV12)))/CP19-1</f>
        <v>4.3279115678303004E-2</v>
      </c>
      <c r="CW67" s="1773">
        <f t="shared" ref="CW67" si="90">(CW19-(CW128-CW20)*(CW19/(CW19+CW12)))/CQ19-1</f>
        <v>2.2760012275919506E-2</v>
      </c>
      <c r="CX67" s="734"/>
      <c r="CY67" s="1774">
        <f>(CY19-(CY128-CY20)*(CY19/(CY19+CY12)))/CS19-1</f>
        <v>1.5164853491304697E-2</v>
      </c>
      <c r="CZ67" s="1766">
        <f t="shared" ref="CZ67" si="91">(CZ19-(CZ128-CZ20)*(CZ19/(CZ19+CZ12)))/CT19-1</f>
        <v>-1.1360104527927684E-3</v>
      </c>
      <c r="DA67" s="1321">
        <f t="shared" ref="DA67" si="92">(DA19-(DA128-DA20)*(DA19/(DA19+DA12)))/CU19-1</f>
        <v>2.2633095182405416E-2</v>
      </c>
      <c r="DB67" s="1785">
        <f t="shared" ref="DB67" si="93">(DB19-(DB128-DB20)*(DB19/(DB19+DB12)))/CV19-1</f>
        <v>7.6159669256636864E-3</v>
      </c>
      <c r="DC67" s="1773">
        <f t="shared" ref="DC67" si="94">(DC19-(DC128-DC20)*(DC19/(DC19+DC12)))/CW19-1</f>
        <v>1.0843531509467708E-2</v>
      </c>
      <c r="DD67" s="734"/>
      <c r="DE67" s="1774">
        <f>(DE19-(DE128-DE20)*(DE19/(DE19+DE12)))/CY19-1</f>
        <v>4.6928250173412511E-3</v>
      </c>
      <c r="DF67" s="1766">
        <f t="shared" ref="DF67" si="95">(DF19-(DF128-DF20)*(DF19/(DF19+DF12)))/CZ19-1</f>
        <v>2.0050051137827429E-2</v>
      </c>
      <c r="DG67" s="1321">
        <f t="shared" ref="DG67" si="96">(DG19-(DG128-DG20)*(DG19/(DG19+DG12)))/DA19-1</f>
        <v>3.4604101506012785E-3</v>
      </c>
      <c r="DH67" s="1785">
        <f t="shared" ref="DH67" si="97">(DH19-(DH128-DH20)*(DH19/(DH19+DH12)))/DB19-1</f>
        <v>1.6230636358656181E-2</v>
      </c>
      <c r="DI67" s="1773">
        <f t="shared" ref="DI67" si="98">(DI19-(DI128-DI20)*(DI19/(DI19+DI12)))/DC19-1</f>
        <v>1.1429955343636111E-2</v>
      </c>
      <c r="DJ67"/>
      <c r="DK67"/>
      <c r="DL67"/>
      <c r="DM67"/>
      <c r="DN67"/>
      <c r="DO67"/>
    </row>
    <row r="68" spans="1:120" s="10" customFormat="1" ht="11.25" customHeight="1">
      <c r="A68" s="1435" t="s">
        <v>10</v>
      </c>
      <c r="B68" s="734"/>
      <c r="C68" s="1784"/>
      <c r="D68" s="734"/>
      <c r="E68" s="1773">
        <f>E20/C20-1</f>
        <v>-20.739130434782034</v>
      </c>
      <c r="F68" s="734"/>
      <c r="G68" s="1773">
        <f>G20/E20-1</f>
        <v>-0.33322844556324827</v>
      </c>
      <c r="H68" s="734"/>
      <c r="I68" s="1773">
        <f>I20/G20-1</f>
        <v>0.37659273242095748</v>
      </c>
      <c r="J68" s="734"/>
      <c r="K68" s="1773">
        <f>K20/I20-1</f>
        <v>1.850531367843661</v>
      </c>
      <c r="L68" s="734"/>
      <c r="M68" s="1773">
        <f>M20/K20-1</f>
        <v>-0.60709561034275028</v>
      </c>
      <c r="N68" s="734"/>
      <c r="O68" s="1773">
        <f>O20/M20-1</f>
        <v>-1.3422099785736108</v>
      </c>
      <c r="P68" s="734"/>
      <c r="Q68" s="1773">
        <f>Q20/O20-1</f>
        <v>-21.055456171735329</v>
      </c>
      <c r="R68" s="734"/>
      <c r="S68" s="1774"/>
      <c r="T68" s="1766"/>
      <c r="U68" s="1766"/>
      <c r="V68" s="1790"/>
      <c r="W68" s="1773">
        <f>W20/Q20-1</f>
        <v>0.62278119703862145</v>
      </c>
      <c r="X68" s="734"/>
      <c r="Y68" s="1774">
        <f>Y20/S20-1</f>
        <v>2.3272095332671348</v>
      </c>
      <c r="Z68" s="1766">
        <f>Z20/T20-1</f>
        <v>2.3795309168443532</v>
      </c>
      <c r="AA68" s="1766">
        <f>AA20/U20-1</f>
        <v>2.9093769666456821</v>
      </c>
      <c r="AB68" s="1790">
        <f>AB20/V20-1</f>
        <v>3.6704351670561479</v>
      </c>
      <c r="AC68" s="1773">
        <f>AC20/W20-1</f>
        <v>3.0482603199032647</v>
      </c>
      <c r="AD68" s="734"/>
      <c r="AE68" s="1774">
        <f>AE20/Y20-1</f>
        <v>0.10928717106899399</v>
      </c>
      <c r="AF68" s="1766">
        <f>AF20/Z20-1</f>
        <v>0.34745380802163273</v>
      </c>
      <c r="AG68" s="1766">
        <f>AG20/AA20-1</f>
        <v>-0.47198969735994789</v>
      </c>
      <c r="AH68" s="1790">
        <f>AH20/AB20-1</f>
        <v>-0.28867973007694903</v>
      </c>
      <c r="AI68" s="1773">
        <f>AI20/AC20-1</f>
        <v>-0.1771894093686367</v>
      </c>
      <c r="AJ68" s="734"/>
      <c r="AK68" s="1774">
        <f>AK20/AE20-1</f>
        <v>-0.32286995515695149</v>
      </c>
      <c r="AL68" s="1766">
        <f>AL20/AF20-1</f>
        <v>-0.34113712374581995</v>
      </c>
      <c r="AM68" s="1766">
        <f>AM20/AG20-1</f>
        <v>0.60975609756097193</v>
      </c>
      <c r="AN68" s="1790">
        <f>AN20/AH20-1</f>
        <v>0.34980988593156082</v>
      </c>
      <c r="AO68" s="1773">
        <f>AO20/AI20-1</f>
        <v>9.075907590759047E-2</v>
      </c>
      <c r="AP68" s="734"/>
      <c r="AQ68" s="1774">
        <f>AQ20/AK20-1</f>
        <v>0.9536423841059638</v>
      </c>
      <c r="AR68" s="1766">
        <f>AR20/AL20-1</f>
        <v>1.1522842639593902</v>
      </c>
      <c r="AS68" s="1766">
        <f>AS20/AM20-1</f>
        <v>0.84469696969697328</v>
      </c>
      <c r="AT68" s="1790">
        <f>AT20/AN20-1</f>
        <v>-5.6338028169014454E-2</v>
      </c>
      <c r="AU68" s="1773">
        <f>AU20/AO20-1</f>
        <v>0.41906202723147001</v>
      </c>
      <c r="AV68" s="734"/>
      <c r="AW68" s="1774">
        <f>AW20/AQ20-1</f>
        <v>0.2745762711864399</v>
      </c>
      <c r="AX68" s="1766">
        <f>AX20/AR20-1</f>
        <v>0.23113207547170167</v>
      </c>
      <c r="AY68" s="1766">
        <f>AY20/AS20-1</f>
        <v>7.1868583162217448E-2</v>
      </c>
      <c r="AZ68" s="1790">
        <f>AZ20/AT20-1</f>
        <v>-6.417910447761388E-2</v>
      </c>
      <c r="BA68" s="1773">
        <f>BA20/AU20-1</f>
        <v>9.1151385927503936E-2</v>
      </c>
      <c r="BB68" s="734"/>
      <c r="BC68" s="1774">
        <f>BC20/AW20-1</f>
        <v>0.15957446808510567</v>
      </c>
      <c r="BD68" s="1766">
        <f>BD20/AX20-1</f>
        <v>-0.36781609195402365</v>
      </c>
      <c r="BE68" s="1766">
        <f>BE20/AY20-1</f>
        <v>0.3295019157088126</v>
      </c>
      <c r="BF68" s="1785">
        <f>BF20/AZ20-1</f>
        <v>0.16427432216906412</v>
      </c>
      <c r="BG68" s="1773">
        <f>BG20/BA20-1</f>
        <v>6.9858329262336705E-2</v>
      </c>
      <c r="BH68" s="734"/>
      <c r="BI68" s="1774">
        <f>BI20/BC20-1</f>
        <v>-0.45871559633027359</v>
      </c>
      <c r="BJ68" s="1766">
        <f>BJ20/BD20-1</f>
        <v>0.61515151515151323</v>
      </c>
      <c r="BK68" s="1321">
        <f>BK20/BE20-1</f>
        <v>-0.31844380403458283</v>
      </c>
      <c r="BL68" s="1785">
        <f>BL20/BF20-1</f>
        <v>0.113698630136986</v>
      </c>
      <c r="BM68" s="1773">
        <f>BM20/BG20-1</f>
        <v>-6.1643835616438825E-2</v>
      </c>
      <c r="BN68" s="816"/>
      <c r="BO68" s="1774">
        <f>BO20/BI20-1</f>
        <v>0.36016949152542299</v>
      </c>
      <c r="BP68" s="1766">
        <f>BP20/BJ20-1</f>
        <v>-1.1257035647279978E-2</v>
      </c>
      <c r="BQ68" s="1766">
        <f>BQ20/BK20-1</f>
        <v>-0.24101479915433377</v>
      </c>
      <c r="BR68" s="1785">
        <f>BR20/BL20-1</f>
        <v>-0.21648216482164784</v>
      </c>
      <c r="BS68" s="1773">
        <f>BS20/BM20-1</f>
        <v>-0.10267639902676351</v>
      </c>
      <c r="BT68" s="734"/>
      <c r="BU68" s="1774">
        <f>BU20/BO20-1</f>
        <v>0.11526479750778673</v>
      </c>
      <c r="BV68" s="1766">
        <f>BV20/BP20-1</f>
        <v>-0.18595825426944956</v>
      </c>
      <c r="BW68" s="1766">
        <f>BW20/BQ20-1</f>
        <v>0.47075208913649158</v>
      </c>
      <c r="BX68" s="1785">
        <f>BX20/BR20-1</f>
        <v>0.3139717425431674</v>
      </c>
      <c r="BY68" s="1773">
        <f>BY20/BS20-1</f>
        <v>0.16702819956616022</v>
      </c>
      <c r="BZ68" s="734"/>
      <c r="CA68" s="1774">
        <f>CA20/BU20-1</f>
        <v>0.32122905027933024</v>
      </c>
      <c r="CB68" s="1766">
        <f>CB20/BV20-1</f>
        <v>-6.7599067599065754E-2</v>
      </c>
      <c r="CC68" s="1321">
        <f>CC20/BW20-1</f>
        <v>0.10984848484848397</v>
      </c>
      <c r="CD68" s="1785">
        <f>CD20/BX20-1</f>
        <v>9.9163679808841776E-2</v>
      </c>
      <c r="CE68" s="1773">
        <f>CE20/BY20-1</f>
        <v>0.10548327137546498</v>
      </c>
      <c r="CF68" s="734"/>
      <c r="CG68" s="1774">
        <f>CG20/CA20-1</f>
        <v>4.0169133192387907E-2</v>
      </c>
      <c r="CH68" s="1766">
        <f>CH20/CB20-1</f>
        <v>0.29249999999999798</v>
      </c>
      <c r="CI68" s="1321">
        <f>CI20/CC20-1</f>
        <v>9.8976109215016761E-2</v>
      </c>
      <c r="CJ68" s="1785">
        <f>CJ20/CD20-1</f>
        <v>0.20434782608695956</v>
      </c>
      <c r="CK68" s="1773">
        <f>CK20/CE20-1</f>
        <v>0.1605716687683898</v>
      </c>
      <c r="CL68" s="734"/>
      <c r="CM68" s="1774">
        <f>CM20/CG20-1</f>
        <v>0.10706204294821675</v>
      </c>
      <c r="CN68" s="1766">
        <f>CN20/CH20-1</f>
        <v>8.1842080856572297E-2</v>
      </c>
      <c r="CO68" s="1321">
        <f>CO20/CI20-1</f>
        <v>0.21245282889345174</v>
      </c>
      <c r="CP68" s="1785">
        <f>CP20/CJ20-1</f>
        <v>8.1488014585824331E-2</v>
      </c>
      <c r="CQ68" s="1773">
        <f>CQ20/CK20-1</f>
        <v>0.11665890000066947</v>
      </c>
      <c r="CR68" s="734"/>
      <c r="CS68" s="1774">
        <f>CS20/CM20-1</f>
        <v>0.38269435658919049</v>
      </c>
      <c r="CT68" s="1766">
        <f>CT20/CN20-1</f>
        <v>0.40691268464719821</v>
      </c>
      <c r="CU68" s="1321">
        <f>CU20/CO20-1</f>
        <v>2.755140029577996E-2</v>
      </c>
      <c r="CV68" s="1785">
        <f>CV20/CP20-1</f>
        <v>-0.13527252569011916</v>
      </c>
      <c r="CW68" s="1773">
        <f>CW20/CQ20-1</f>
        <v>9.5829765257912092E-2</v>
      </c>
      <c r="CX68" s="734"/>
      <c r="CY68" s="1774">
        <f>CY20/CS20-1</f>
        <v>9.3049383070497926E-2</v>
      </c>
      <c r="CZ68" s="1766">
        <f>CZ20/CT20-1</f>
        <v>7.3949609187472731E-2</v>
      </c>
      <c r="DA68" s="1321">
        <f>DA20/CU20-1</f>
        <v>0.10137595418451184</v>
      </c>
      <c r="DB68" s="1785">
        <f>DB20/CV20-1</f>
        <v>8.3074797137331124E-2</v>
      </c>
      <c r="DC68" s="1773">
        <f>DC20/CW20-1</f>
        <v>8.7519017536062949E-2</v>
      </c>
      <c r="DD68" s="734"/>
      <c r="DE68" s="1774">
        <f>DE20/CY20-1</f>
        <v>8.2615453903143843E-2</v>
      </c>
      <c r="DF68" s="1766">
        <f>DF20/CZ20-1</f>
        <v>0.10028009720934028</v>
      </c>
      <c r="DG68" s="1321">
        <f>DG20/DA20-1</f>
        <v>8.092873861656491E-2</v>
      </c>
      <c r="DH68" s="1785">
        <f>DH20/DB20-1</f>
        <v>9.4691600918777263E-2</v>
      </c>
      <c r="DI68" s="1773">
        <f>DI20/DC20-1</f>
        <v>8.996135240246117E-2</v>
      </c>
      <c r="DJ68"/>
      <c r="DK68"/>
      <c r="DL68"/>
      <c r="DM68"/>
      <c r="DN68"/>
      <c r="DO68"/>
    </row>
    <row r="69" spans="1:120" s="10" customFormat="1" ht="11.25" customHeight="1">
      <c r="A69" s="1435" t="s">
        <v>12</v>
      </c>
      <c r="B69" s="734"/>
      <c r="C69" s="1784"/>
      <c r="D69" s="734"/>
      <c r="E69" s="1773">
        <f>E24/C24-1</f>
        <v>1.819010416666675</v>
      </c>
      <c r="F69" s="734"/>
      <c r="G69" s="1773">
        <f>G24/E24-1</f>
        <v>-0.18106235565819917</v>
      </c>
      <c r="H69" s="734"/>
      <c r="I69" s="1773">
        <f>I24/G24-1</f>
        <v>0.34555367550291582</v>
      </c>
      <c r="J69" s="734"/>
      <c r="K69" s="1773">
        <f>K24/I24-1</f>
        <v>1.8138885007684724</v>
      </c>
      <c r="L69" s="734"/>
      <c r="M69" s="1773">
        <f>M24/K24-1</f>
        <v>-0.33238989026267252</v>
      </c>
      <c r="N69" s="734"/>
      <c r="O69" s="1773">
        <f>O24/M24-1</f>
        <v>-0.39196727407958432</v>
      </c>
      <c r="P69" s="734"/>
      <c r="Q69" s="1773">
        <f>Q24/O24-1</f>
        <v>2.9667278287461749</v>
      </c>
      <c r="R69" s="734"/>
      <c r="S69" s="1774"/>
      <c r="T69" s="1766"/>
      <c r="U69" s="1766"/>
      <c r="V69" s="1790"/>
      <c r="W69" s="1773">
        <f>W24/Q24-1</f>
        <v>0.49485012951769991</v>
      </c>
      <c r="X69" s="734"/>
      <c r="Y69" s="1774">
        <f>Y24/S24-1</f>
        <v>1.9134576463286317</v>
      </c>
      <c r="Z69" s="1766">
        <f>Z24/T24-1</f>
        <v>1.9707046714172627</v>
      </c>
      <c r="AA69" s="1766">
        <f>AA24/U24-1</f>
        <v>2.4874740705281591</v>
      </c>
      <c r="AB69" s="1790">
        <f>AB24/V24-1</f>
        <v>3.2742850950271603</v>
      </c>
      <c r="AC69" s="1773">
        <f>AC24/W24-1</f>
        <v>2.5729757607013966</v>
      </c>
      <c r="AD69" s="734"/>
      <c r="AE69" s="1774">
        <f>AE24/Y24-1</f>
        <v>8.5547034196583605E-2</v>
      </c>
      <c r="AF69" s="1766">
        <f>AF24/Z24-1</f>
        <v>0.26212256688905788</v>
      </c>
      <c r="AG69" s="1766">
        <f>AG24/AA24-1</f>
        <v>-0.37774524158125866</v>
      </c>
      <c r="AH69" s="1790">
        <f>AH24/AB24-1</f>
        <v>-0.25332454394483161</v>
      </c>
      <c r="AI69" s="1773">
        <f>AI24/AC24-1</f>
        <v>-0.14145496535796875</v>
      </c>
      <c r="AJ69" s="734"/>
      <c r="AK69" s="1774">
        <f>AK24/AE24-1</f>
        <v>-0.27303754266211666</v>
      </c>
      <c r="AL69" s="1766">
        <f>AL24/AF24-1</f>
        <v>-0.28882833787465978</v>
      </c>
      <c r="AM69" s="1766">
        <f>AM24/AG24-1</f>
        <v>0.38235294117646812</v>
      </c>
      <c r="AN69" s="1790">
        <f>AN24/AH24-1</f>
        <v>0.35483870967742104</v>
      </c>
      <c r="AO69" s="1773">
        <f>AO24/AI24-1</f>
        <v>7.6664425016812032E-2</v>
      </c>
      <c r="AP69" s="734"/>
      <c r="AQ69" s="1774">
        <f>AQ24/AK24-1</f>
        <v>0.71361502347418071</v>
      </c>
      <c r="AR69" s="1766">
        <f>AR24/AL24-1</f>
        <v>0.8773946360153253</v>
      </c>
      <c r="AS69" s="1766">
        <f>AS24/AM24-1</f>
        <v>0.72644376899696339</v>
      </c>
      <c r="AT69" s="1790">
        <f>AT24/AN24-1</f>
        <v>-5.2631578947368807E-2</v>
      </c>
      <c r="AU69" s="1773">
        <f>AU24/AO24-1</f>
        <v>0.36102435977514258</v>
      </c>
      <c r="AV69" s="734"/>
      <c r="AW69" s="1774">
        <f>AW24/AQ24-1</f>
        <v>0.24931506849314999</v>
      </c>
      <c r="AX69" s="1766">
        <f>AX24/AR24-1</f>
        <v>0.2612244897959215</v>
      </c>
      <c r="AY69" s="1766">
        <f>AY24/AS24-1</f>
        <v>7.042253521126729E-2</v>
      </c>
      <c r="AZ69" s="1790">
        <f>AZ24/AT24-1</f>
        <v>-5.6878306878308527E-2</v>
      </c>
      <c r="BA69" s="1773">
        <f>BA24/AU24-1</f>
        <v>9.9128040385496607E-2</v>
      </c>
      <c r="BB69" s="734"/>
      <c r="BC69" s="1774">
        <f>BC24/AW24-1</f>
        <v>0.1425438596491222</v>
      </c>
      <c r="BD69" s="1766">
        <f>BD24/AX24-1</f>
        <v>-0.31391585760517859</v>
      </c>
      <c r="BE69" s="1766">
        <f>BE24/AY24-1</f>
        <v>0.27960526315789536</v>
      </c>
      <c r="BF69" s="1785">
        <f>BF24/AZ24-1</f>
        <v>0.17531556802244497</v>
      </c>
      <c r="BG69" s="1773">
        <f>BG24/BA24-1</f>
        <v>6.9311064718164062E-2</v>
      </c>
      <c r="BH69" s="734"/>
      <c r="BI69" s="1774">
        <f>BI24/BC24-1</f>
        <v>-0.35316698656429801</v>
      </c>
      <c r="BJ69" s="1766">
        <f>BJ24/BD24-1</f>
        <v>0.49056603773584739</v>
      </c>
      <c r="BK69" s="1321">
        <f>BK24/BE24-1</f>
        <v>-0.2622107969151678</v>
      </c>
      <c r="BL69" s="1785">
        <f>BL24/BF24-1</f>
        <v>9.5465393794749165E-2</v>
      </c>
      <c r="BM69" s="1773">
        <f>BM24/BG24-1</f>
        <v>-3.904724716907515E-2</v>
      </c>
      <c r="BN69" s="816"/>
      <c r="BO69" s="1774">
        <f>BO24/BI24-1</f>
        <v>0.24925816023738823</v>
      </c>
      <c r="BP69" s="1766">
        <f>BP24/BJ24-1</f>
        <v>-7.9113924050636664E-3</v>
      </c>
      <c r="BQ69" s="1766">
        <f>BQ24/BK24-1</f>
        <v>-0.15679442508710772</v>
      </c>
      <c r="BR69" s="1785">
        <f>BR24/BL24-1</f>
        <v>-0.22984749455337661</v>
      </c>
      <c r="BS69" s="1773">
        <f>BS24/BM24-1</f>
        <v>-9.0207232832181683E-2</v>
      </c>
      <c r="BT69" s="734"/>
      <c r="BU69" s="1774">
        <f>BU24/BO24-1</f>
        <v>4.7505938242279111E-2</v>
      </c>
      <c r="BV69" s="1766">
        <f>BV24/BP24-1</f>
        <v>-0.18819776714513536</v>
      </c>
      <c r="BW69" s="1766">
        <f>BW24/BQ24-1</f>
        <v>0.26033057851239749</v>
      </c>
      <c r="BX69" s="1785">
        <f>BX24/BR24-1</f>
        <v>0.29844413012729509</v>
      </c>
      <c r="BY69" s="1773">
        <f>BY24/BS24-1</f>
        <v>0.10674408217954423</v>
      </c>
      <c r="BZ69" s="734"/>
      <c r="CA69" s="1774">
        <f>CA24/BU24-1</f>
        <v>0.24943310657596429</v>
      </c>
      <c r="CB69" s="1766">
        <f>CB24/BV24-1</f>
        <v>-5.5009823182709638E-2</v>
      </c>
      <c r="CC69" s="1321">
        <f>CC24/BW24-1</f>
        <v>9.6721311475409077E-2</v>
      </c>
      <c r="CD69" s="1785">
        <f>CD24/BX24-1</f>
        <v>9.3681917211329457E-2</v>
      </c>
      <c r="CE69" s="1773">
        <f>CE24/BY24-1</f>
        <v>9.1606133979015514E-2</v>
      </c>
      <c r="CF69" s="734"/>
      <c r="CG69" s="1774">
        <f>CG24/CA24-1</f>
        <v>4.174228675136038E-2</v>
      </c>
      <c r="CH69" s="1766">
        <f>CH24/CB24-1</f>
        <v>0.25155925155924974</v>
      </c>
      <c r="CI69" s="1321">
        <f>CI24/CC24-1</f>
        <v>9.5665171898355661E-2</v>
      </c>
      <c r="CJ69" s="1785">
        <f>CJ24/CD24-1</f>
        <v>0.19023904382470391</v>
      </c>
      <c r="CK69" s="1773">
        <f>CK24/CE24-1</f>
        <v>0.14750462107208828</v>
      </c>
      <c r="CL69" s="734"/>
      <c r="CM69" s="1774">
        <f>CM24/CG24-1</f>
        <v>0.14684628942599764</v>
      </c>
      <c r="CN69" s="1766">
        <f>CN24/CH24-1</f>
        <v>0.12026591410655074</v>
      </c>
      <c r="CO69" s="1321">
        <f>CO24/CI24-1</f>
        <v>0.2243065355786229</v>
      </c>
      <c r="CP69" s="1785">
        <f>CP24/CJ24-1</f>
        <v>0.1016344999461456</v>
      </c>
      <c r="CQ69" s="1773">
        <f>CQ24/CK24-1</f>
        <v>0.14257724498628943</v>
      </c>
      <c r="CR69" s="734"/>
      <c r="CS69" s="1774">
        <f>CS24/CM24-1</f>
        <v>0.32650014662220328</v>
      </c>
      <c r="CT69" s="1766">
        <f>CT24/CN24-1</f>
        <v>0.3469207801534937</v>
      </c>
      <c r="CU69" s="1321">
        <f>CU24/CO24-1</f>
        <v>3.0966644844148128E-2</v>
      </c>
      <c r="CV69" s="1785">
        <f>CV24/CP24-1</f>
        <v>-0.11845824020703977</v>
      </c>
      <c r="CW69" s="1773">
        <f>CW24/CQ24-1</f>
        <v>9.0437037776701867E-2</v>
      </c>
      <c r="CX69" s="1766"/>
      <c r="CY69" s="1774">
        <f>CY24/CS24-1</f>
        <v>8.7183409707545678E-2</v>
      </c>
      <c r="CZ69" s="1766">
        <f>CZ24/CT24-1</f>
        <v>7.0765748822035457E-2</v>
      </c>
      <c r="DA69" s="1321">
        <f>DA24/CU24-1</f>
        <v>9.4509847374810052E-2</v>
      </c>
      <c r="DB69" s="1785">
        <f>DB24/CV24-1</f>
        <v>7.9478508905557632E-2</v>
      </c>
      <c r="DC69" s="1773">
        <f>DC24/CW24-1</f>
        <v>8.2767838934918903E-2</v>
      </c>
      <c r="DD69" s="1766"/>
      <c r="DE69" s="1774">
        <f>DE24/CY24-1</f>
        <v>7.8156184336953816E-2</v>
      </c>
      <c r="DF69" s="1766">
        <f>DF24/CZ24-1</f>
        <v>9.3516057839551081E-2</v>
      </c>
      <c r="DG69" s="1321">
        <f>DG24/DA24-1</f>
        <v>7.6800623486081188E-2</v>
      </c>
      <c r="DH69" s="1785">
        <f>DH24/DB24-1</f>
        <v>8.9842800135008005E-2</v>
      </c>
      <c r="DI69" s="1773">
        <f>DI24/DC24-1</f>
        <v>8.4892442604223239E-2</v>
      </c>
      <c r="DJ69"/>
      <c r="DK69"/>
      <c r="DL69"/>
      <c r="DM69"/>
      <c r="DN69"/>
      <c r="DO69"/>
    </row>
    <row r="70" spans="1:120" s="10" customFormat="1" ht="11.25" customHeight="1">
      <c r="A70" s="2275" t="s">
        <v>51</v>
      </c>
      <c r="B70" s="2251"/>
      <c r="C70" s="2252"/>
      <c r="D70" s="2251"/>
      <c r="E70" s="2276">
        <f>E37/C37-1</f>
        <v>-2.3802927927927895</v>
      </c>
      <c r="F70" s="2251"/>
      <c r="G70" s="2276">
        <f>G37/E37-1</f>
        <v>1.2056824408498654</v>
      </c>
      <c r="H70" s="2251"/>
      <c r="I70" s="2276">
        <f>I37/G37-1</f>
        <v>3.8752081471854716E-2</v>
      </c>
      <c r="J70" s="2251"/>
      <c r="K70" s="2276">
        <f>K37/I37-1</f>
        <v>0.12812530041560044</v>
      </c>
      <c r="L70" s="2251"/>
      <c r="M70" s="2276">
        <f>M37/K37-1</f>
        <v>-0.60596377788561329</v>
      </c>
      <c r="N70" s="2251"/>
      <c r="O70" s="2276">
        <f>O37/M37-1</f>
        <v>-4.2253535136767244</v>
      </c>
      <c r="P70" s="2251"/>
      <c r="Q70" s="2276">
        <f>Q37/O37-1</f>
        <v>-2.0891619691736985</v>
      </c>
      <c r="R70" s="2251"/>
      <c r="S70" s="2277"/>
      <c r="T70" s="2278"/>
      <c r="U70" s="2278"/>
      <c r="V70" s="2279"/>
      <c r="W70" s="2276">
        <f>W37/Q37-1</f>
        <v>1.3754362683044548</v>
      </c>
      <c r="X70" s="2251"/>
      <c r="Y70" s="2277">
        <f>Y37/S37-1</f>
        <v>1.1268093419263301</v>
      </c>
      <c r="Z70" s="2278">
        <f>Z37/T37-1</f>
        <v>0.93033532835200505</v>
      </c>
      <c r="AA70" s="2278">
        <f>AA37/U37-1</f>
        <v>3.5434186747169818</v>
      </c>
      <c r="AB70" s="2279">
        <f>AB37/V37-1</f>
        <v>2.1067100893951611</v>
      </c>
      <c r="AC70" s="2276">
        <f>AC37/W37-1</f>
        <v>1.8684648960427852</v>
      </c>
      <c r="AD70" s="2251"/>
      <c r="AE70" s="2277">
        <f>AE37/Y37-1</f>
        <v>-0.62275959789788937</v>
      </c>
      <c r="AF70" s="2278">
        <f>AF37/Z37-1</f>
        <v>0.27259199081821595</v>
      </c>
      <c r="AG70" s="2278">
        <f>AG37/AA37-1</f>
        <v>-0.3250455178347248</v>
      </c>
      <c r="AH70" s="2279">
        <f>AH37/AB37-1</f>
        <v>-0.35885441661476558</v>
      </c>
      <c r="AI70" s="2276">
        <f>AI37/AC37-1</f>
        <v>-0.28370281572219902</v>
      </c>
      <c r="AJ70" s="2251"/>
      <c r="AK70" s="2277">
        <f>AK37/AE37-1</f>
        <v>0.65236540696065703</v>
      </c>
      <c r="AL70" s="2278">
        <f>AL37/AF37-1</f>
        <v>-0.4626197830046731</v>
      </c>
      <c r="AM70" s="2278">
        <f>AM37/AG37-1</f>
        <v>-0.10626262626262895</v>
      </c>
      <c r="AN70" s="2279">
        <f>AN37/AH37-1</f>
        <v>0.31324574286508478</v>
      </c>
      <c r="AO70" s="2276">
        <f>AO37/AI37-1</f>
        <v>1.19798749932849E-2</v>
      </c>
      <c r="AP70" s="2251"/>
      <c r="AQ70" s="2277">
        <f>AQ37/AK37-1</f>
        <v>0.97351528040328272</v>
      </c>
      <c r="AR70" s="2278">
        <f>AR37/AL37-1</f>
        <v>1.1401777045514723</v>
      </c>
      <c r="AS70" s="2278">
        <f>AS37/AM37-1</f>
        <v>1.0863867574790995</v>
      </c>
      <c r="AT70" s="2279">
        <f>AT37/AN37-1</f>
        <v>0.16281925711598499</v>
      </c>
      <c r="AU70" s="2276">
        <f>AU37/AO37-1</f>
        <v>0.61002348654041083</v>
      </c>
      <c r="AV70" s="2251"/>
      <c r="AW70" s="2277">
        <f>AW37/AQ37-1</f>
        <v>0.23768033278590051</v>
      </c>
      <c r="AX70" s="2278">
        <f>AX37/AR37-1</f>
        <v>0.26777566003902686</v>
      </c>
      <c r="AY70" s="2278">
        <f>AY37/AS37-1</f>
        <v>2.1014897325561943E-2</v>
      </c>
      <c r="AZ70" s="2279">
        <f>AZ37/AT37-1</f>
        <v>7.6960778057151957E-2</v>
      </c>
      <c r="BA70" s="2276">
        <f>BA37/AU37-1</f>
        <v>0.12336068087354635</v>
      </c>
      <c r="BB70" s="2251"/>
      <c r="BC70" s="2277">
        <f>BC37/AW37-1</f>
        <v>4.2608768776343231E-2</v>
      </c>
      <c r="BD70" s="2278">
        <f>BD37/AX37-1</f>
        <v>-0.39455645410428553</v>
      </c>
      <c r="BE70" s="2278">
        <f>BE37/AY37-1</f>
        <v>0.29799414159894133</v>
      </c>
      <c r="BF70" s="2280">
        <f>BF37/AZ37-1</f>
        <v>-8.2276891148887032E-2</v>
      </c>
      <c r="BG70" s="2276">
        <f>BG37/BA37-1</f>
        <v>-4.0452904921890687E-2</v>
      </c>
      <c r="BH70" s="2251"/>
      <c r="BI70" s="2277">
        <f>BI37/BC37-1</f>
        <v>-0.44099400616879414</v>
      </c>
      <c r="BJ70" s="2278">
        <f>BJ37/BD37-1</f>
        <v>0.44727709866171983</v>
      </c>
      <c r="BK70" s="2281">
        <f>BK37/BE37-1</f>
        <v>-0.28833328928474011</v>
      </c>
      <c r="BL70" s="2280">
        <f>BL37/BF37-1</f>
        <v>0.10444480892242014</v>
      </c>
      <c r="BM70" s="2276">
        <f>BM37/BG37-1</f>
        <v>-7.1179283843020413E-2</v>
      </c>
      <c r="BN70" s="2254"/>
      <c r="BO70" s="2277">
        <f>BO37/BI37-1</f>
        <v>0.38481294824578249</v>
      </c>
      <c r="BP70" s="2278">
        <f>BP37/BJ37-1</f>
        <v>0.15964917473189821</v>
      </c>
      <c r="BQ70" s="2278">
        <f>BQ37/BK37-1</f>
        <v>-0.29959459082282003</v>
      </c>
      <c r="BR70" s="2280">
        <f>BR37/BL37-1</f>
        <v>-3.9807435118918155E-2</v>
      </c>
      <c r="BS70" s="2276">
        <f>BS37/BM37-1</f>
        <v>-1.8201023436839936E-2</v>
      </c>
      <c r="BT70" s="2251"/>
      <c r="BU70" s="2277">
        <f>BU37/BO37-1</f>
        <v>0.23311033311379714</v>
      </c>
      <c r="BV70" s="2278">
        <f>BV37/BP37-1</f>
        <v>-8.7037127713999851E-2</v>
      </c>
      <c r="BW70" s="2278">
        <f>BW37/BQ37-1</f>
        <v>0.33481442369479097</v>
      </c>
      <c r="BX70" s="2280">
        <f>BX37/BR37-1</f>
        <v>0.28714847842405722</v>
      </c>
      <c r="BY70" s="2276">
        <f>BY37/BS37-1</f>
        <v>0.18525595221280611</v>
      </c>
      <c r="BZ70" s="2251"/>
      <c r="CA70" s="2277">
        <f>CA37/BU37-1</f>
        <v>0.53365056529998767</v>
      </c>
      <c r="CB70" s="2278">
        <f>CB37/BV37-1</f>
        <v>6.7880692434797218E-2</v>
      </c>
      <c r="CC70" s="2281">
        <f>CC37/BW37-1</f>
        <v>0.70901555825527907</v>
      </c>
      <c r="CD70" s="2280">
        <f>CD37/BX37-1</f>
        <v>0.20138118557398399</v>
      </c>
      <c r="CE70" s="2276">
        <f>CE37/BY37-1</f>
        <v>0.32768514057536713</v>
      </c>
      <c r="CF70" s="2251"/>
      <c r="CG70" s="2277">
        <f>CG37/CA37-1</f>
        <v>-0.10764102703832001</v>
      </c>
      <c r="CH70" s="2278">
        <f>CH37/CB37-1</f>
        <v>0.1211694689656202</v>
      </c>
      <c r="CI70" s="2281">
        <f>CI37/CC37-1</f>
        <v>-8.6679854085236041E-2</v>
      </c>
      <c r="CJ70" s="2280">
        <f>CJ37/CD37-1</f>
        <v>0.11753894740695214</v>
      </c>
      <c r="CK70" s="2276">
        <f>CK37/CE37-1</f>
        <v>1.8954447681363895E-2</v>
      </c>
      <c r="CL70" s="2251"/>
      <c r="CM70" s="2277">
        <f>CM37/CG37-1</f>
        <v>0.29583227495694309</v>
      </c>
      <c r="CN70" s="2278">
        <f>CN37/CH37-1</f>
        <v>0.11992367318651165</v>
      </c>
      <c r="CO70" s="2281">
        <f>CO37/CI37-1</f>
        <v>0.22042171507586761</v>
      </c>
      <c r="CP70" s="2280">
        <f>CP37/CJ37-1</f>
        <v>9.4672135778588018E-2</v>
      </c>
      <c r="CQ70" s="2276">
        <f>CQ37/CK37-1</f>
        <v>0.16522199538297921</v>
      </c>
      <c r="CR70" s="2251"/>
      <c r="CS70" s="2277">
        <f>CS37/CM37-1</f>
        <v>0.43266060526685557</v>
      </c>
      <c r="CT70" s="2278">
        <f>CT37/CN37-1</f>
        <v>0.45287251327044342</v>
      </c>
      <c r="CU70" s="2281">
        <f>CU37/CO37-1</f>
        <v>5.3962425596058239E-2</v>
      </c>
      <c r="CV70" s="2280">
        <f>CV37/CP37-1</f>
        <v>-0.11990277803437366</v>
      </c>
      <c r="CW70" s="2276">
        <f>CW37/CQ37-1</f>
        <v>0.12245659730623704</v>
      </c>
      <c r="CX70" s="2278"/>
      <c r="CY70" s="2277">
        <f>CY37/CS37-1</f>
        <v>0.11676349175463052</v>
      </c>
      <c r="CZ70" s="2278">
        <f>CZ37/CT37-1</f>
        <v>0.24170172204906626</v>
      </c>
      <c r="DA70" s="2281">
        <f>DA37/CU37-1</f>
        <v>0.24749594165959121</v>
      </c>
      <c r="DB70" s="2280">
        <f>DB37/CV37-1</f>
        <v>0.19135330533617578</v>
      </c>
      <c r="DC70" s="2276">
        <f>DC37/CW37-1</f>
        <v>0.19995240004693504</v>
      </c>
      <c r="DD70" s="2278"/>
      <c r="DE70" s="2277">
        <f>DE37/CY37-1</f>
        <v>0.19884011071691443</v>
      </c>
      <c r="DF70" s="2278">
        <f>DF37/CZ37-1</f>
        <v>-4.0876335491200066E-3</v>
      </c>
      <c r="DG70" s="2281">
        <f>DG37/DA37-1</f>
        <v>-2.8885748919749155E-3</v>
      </c>
      <c r="DH70" s="2280">
        <f>DH37/DB37-1</f>
        <v>3.7086655206014951E-2</v>
      </c>
      <c r="DI70" s="2276">
        <f>DI37/DC37-1</f>
        <v>5.072476392605596E-2</v>
      </c>
      <c r="DJ70"/>
      <c r="DK70"/>
      <c r="DL70"/>
      <c r="DM70"/>
      <c r="DN70"/>
      <c r="DO70"/>
    </row>
    <row r="71" spans="1:120" s="10" customFormat="1" ht="11.25" customHeight="1">
      <c r="A71" s="1437" t="s">
        <v>52</v>
      </c>
      <c r="B71" s="1752"/>
      <c r="C71" s="1791"/>
      <c r="D71" s="1752"/>
      <c r="E71" s="1792">
        <f>E32/C32-1</f>
        <v>-2.3802927927927895</v>
      </c>
      <c r="F71" s="1752"/>
      <c r="G71" s="1792">
        <f>G32/E32-1</f>
        <v>1.4200456881781753</v>
      </c>
      <c r="H71" s="1752"/>
      <c r="I71" s="1792">
        <f>I32/G32-1</f>
        <v>0.14811630847029367</v>
      </c>
      <c r="J71" s="1752"/>
      <c r="K71" s="1792">
        <f>K32/I32-1</f>
        <v>0.58415550857410503</v>
      </c>
      <c r="L71" s="1752"/>
      <c r="M71" s="1792">
        <f>M32/K32-1</f>
        <v>-0.58665430954587006</v>
      </c>
      <c r="N71" s="1752"/>
      <c r="O71" s="1792">
        <f>O32/M32-1</f>
        <v>-4.5116591928250713</v>
      </c>
      <c r="P71" s="1752"/>
      <c r="Q71" s="1792">
        <f>Q32/O32-1</f>
        <v>-2.2446686246967182</v>
      </c>
      <c r="R71" s="1752"/>
      <c r="S71" s="1793"/>
      <c r="T71" s="1794"/>
      <c r="U71" s="1794"/>
      <c r="V71" s="1795"/>
      <c r="W71" s="1792">
        <f>W32/Q32-1</f>
        <v>1.4090489381348084</v>
      </c>
      <c r="X71" s="1752"/>
      <c r="Y71" s="1793">
        <f>Y32/S32-1</f>
        <v>2.4141703060292738</v>
      </c>
      <c r="Z71" s="1794">
        <f>Z32/T32-1</f>
        <v>2.1141672036375496</v>
      </c>
      <c r="AA71" s="1794">
        <f>AA32/U32-1</f>
        <v>6.264939909221857</v>
      </c>
      <c r="AB71" s="1795">
        <f>AB32/V32-1</f>
        <v>3.9499385868567574</v>
      </c>
      <c r="AC71" s="1792">
        <f>AC32/W32-1</f>
        <v>3.5952046335335028</v>
      </c>
      <c r="AD71" s="1752"/>
      <c r="AE71" s="1793">
        <f>AE32/Y32-1</f>
        <v>-0.62416290829574994</v>
      </c>
      <c r="AF71" s="1794">
        <f>AF32/Z32-1</f>
        <v>0.28155123418955919</v>
      </c>
      <c r="AG71" s="1794">
        <f>AG32/AA32-1</f>
        <v>-0.3181572206789558</v>
      </c>
      <c r="AH71" s="1795">
        <f>AH32/AB32-1</f>
        <v>-0.35924369747899454</v>
      </c>
      <c r="AI71" s="1792">
        <f>AI32/AC32-1</f>
        <v>-0.27803521779425544</v>
      </c>
      <c r="AJ71" s="1752"/>
      <c r="AK71" s="1793">
        <f>AK32/AE32-1</f>
        <v>0.67272727272727018</v>
      </c>
      <c r="AL71" s="1794">
        <f>AL32/AF32-1</f>
        <v>-0.46521739130434836</v>
      </c>
      <c r="AM71" s="1794">
        <f>AM32/AG32-1</f>
        <v>-0.11111111111111382</v>
      </c>
      <c r="AN71" s="1795">
        <f>AN32/AH32-1</f>
        <v>0.31803278688524905</v>
      </c>
      <c r="AO71" s="1792">
        <f>AO32/AI32-1</f>
        <v>7.7021822849798749E-3</v>
      </c>
      <c r="AP71" s="1752"/>
      <c r="AQ71" s="1793">
        <f>AQ32/AK32-1</f>
        <v>0.98913043478261464</v>
      </c>
      <c r="AR71" s="1794">
        <f>AR32/AL32-1</f>
        <v>1.154471544715447</v>
      </c>
      <c r="AS71" s="1794">
        <f>AS32/AM32-1</f>
        <v>1.0952380952381016</v>
      </c>
      <c r="AT71" s="1795">
        <f>AT32/AN32-1</f>
        <v>0.16915422885572085</v>
      </c>
      <c r="AU71" s="1792">
        <f>AU32/AO32-1</f>
        <v>0.61783439490446357</v>
      </c>
      <c r="AV71" s="1752"/>
      <c r="AW71" s="1793">
        <f>AW32/AQ32-1</f>
        <v>0.24590163934426079</v>
      </c>
      <c r="AX71" s="1794">
        <f>AX32/AR32-1</f>
        <v>0.27924528301887341</v>
      </c>
      <c r="AY71" s="1794">
        <f>AY32/AS32-1</f>
        <v>2.8409090909090606E-2</v>
      </c>
      <c r="AZ71" s="1795">
        <f>AZ32/AT32-1</f>
        <v>8.0851063829784575E-2</v>
      </c>
      <c r="BA71" s="1792">
        <f>BA32/AU32-1</f>
        <v>0.1314960629921238</v>
      </c>
      <c r="BB71" s="1752"/>
      <c r="BC71" s="1793">
        <f>BC32/AW32-1</f>
        <v>4.38596491228056E-2</v>
      </c>
      <c r="BD71" s="1794">
        <f>BD32/AX32-1</f>
        <v>-0.39528023598820161</v>
      </c>
      <c r="BE71" s="1794">
        <f>BE32/AY32-1</f>
        <v>0.30110497237569134</v>
      </c>
      <c r="BF71" s="1796">
        <f>BF32/AZ32-1</f>
        <v>-7.677165354330151E-2</v>
      </c>
      <c r="BG71" s="1792">
        <f>BG32/BA32-1</f>
        <v>-3.7578288100206692E-2</v>
      </c>
      <c r="BH71" s="1752"/>
      <c r="BI71" s="1793">
        <f>BI32/BC32-1</f>
        <v>-0.4369747899159635</v>
      </c>
      <c r="BJ71" s="1794">
        <f>BJ32/BD32-1</f>
        <v>0.45853658536585074</v>
      </c>
      <c r="BK71" s="1416">
        <f>BK32/BE32-1</f>
        <v>-0.28237791932059564</v>
      </c>
      <c r="BL71" s="1796">
        <f>BL32/BF32-1</f>
        <v>0.11300639658848532</v>
      </c>
      <c r="BM71" s="1792">
        <f>BM32/BG32-1</f>
        <v>-6.5075921908894441E-2</v>
      </c>
      <c r="BN71" s="1694"/>
      <c r="BO71" s="1793">
        <f>BO32/BI32-1</f>
        <v>0.39552238805969986</v>
      </c>
      <c r="BP71" s="1794">
        <f>BP32/BJ32-1</f>
        <v>0.16722408026755775</v>
      </c>
      <c r="BQ71" s="1794">
        <f>BQ32/BK32-1</f>
        <v>-0.29585798816568032</v>
      </c>
      <c r="BR71" s="1796">
        <f>BR32/BL32-1</f>
        <v>-3.6398467432949833E-2</v>
      </c>
      <c r="BS71" s="1792">
        <f>BS32/BM32-1</f>
        <v>-1.2374323279195187E-2</v>
      </c>
      <c r="BT71" s="1752"/>
      <c r="BU71" s="1793">
        <f>BU32/BO32-1</f>
        <v>0.23529411764705621</v>
      </c>
      <c r="BV71" s="1794">
        <f>BV32/BP32-1</f>
        <v>-8.5959885386818868E-2</v>
      </c>
      <c r="BW71" s="1794">
        <f>BW32/BQ32-1</f>
        <v>0.32773109243697673</v>
      </c>
      <c r="BX71" s="1796">
        <f>BX32/BR32-1</f>
        <v>0.28031809145128794</v>
      </c>
      <c r="BY71" s="1792">
        <f>BY32/BS32-1</f>
        <v>0.18245888801879362</v>
      </c>
      <c r="BZ71" s="1752"/>
      <c r="CA71" s="1793">
        <f>CA32/BU32-1</f>
        <v>0.48484848484848575</v>
      </c>
      <c r="CB71" s="1794">
        <f>CB32/BV32-1</f>
        <v>2.1943573667714045E-2</v>
      </c>
      <c r="CC71" s="1416">
        <f>CC32/BW32-1</f>
        <v>0.63607594936708711</v>
      </c>
      <c r="CD71" s="1796">
        <f>CD32/BX32-1</f>
        <v>0.14440993788819934</v>
      </c>
      <c r="CE71" s="1792">
        <f>CE32/BY32-1</f>
        <v>0.27350993377483457</v>
      </c>
      <c r="CF71" s="1752"/>
      <c r="CG71" s="1793">
        <f>CG32/CA32-1</f>
        <v>-0.12827988338192553</v>
      </c>
      <c r="CH71" s="1794">
        <f>CH32/CB32-1</f>
        <v>0.10736196319018165</v>
      </c>
      <c r="CI71" s="1416">
        <f>CI32/CC32-1</f>
        <v>-0.10251450676982643</v>
      </c>
      <c r="CJ71" s="1796">
        <f>CJ32/CD32-1</f>
        <v>8.2767978290370081E-2</v>
      </c>
      <c r="CK71" s="1792">
        <f>CK32/CE32-1</f>
        <v>-5.2002080083213276E-4</v>
      </c>
      <c r="CL71" s="1752"/>
      <c r="CM71" s="1793">
        <f>CM32/CG32-1</f>
        <v>0.27662325660430542</v>
      </c>
      <c r="CN71" s="1794">
        <f>CN32/CH32-1</f>
        <v>9.6243723515254009E-2</v>
      </c>
      <c r="CO71" s="1416">
        <f>CO32/CI32-1</f>
        <v>0.19904737773018222</v>
      </c>
      <c r="CP71" s="1796">
        <f>CP32/CJ32-1</f>
        <v>8.8741858649773464E-2</v>
      </c>
      <c r="CQ71" s="1792">
        <f>CQ32/CK32-1</f>
        <v>0.14600849343549371</v>
      </c>
      <c r="CR71" s="1752"/>
      <c r="CS71" s="1793">
        <f>CS32/CM32-1</f>
        <v>0.40703539140484812</v>
      </c>
      <c r="CT71" s="1794">
        <f>CT32/CN32-1</f>
        <v>0.42487317133230262</v>
      </c>
      <c r="CU71" s="1416">
        <f>CU32/CO32-1</f>
        <v>3.2202651226499235E-2</v>
      </c>
      <c r="CV71" s="1796">
        <f>CV32/CP32-1</f>
        <v>-0.1392721031741041</v>
      </c>
      <c r="CW71" s="1792">
        <f>CW32/CQ32-1</f>
        <v>0.10007362224686767</v>
      </c>
      <c r="CX71" s="1766"/>
      <c r="CY71" s="1793">
        <f>CY32/CS32-1</f>
        <v>9.5110471175938738E-2</v>
      </c>
      <c r="CZ71" s="1794">
        <f>CZ32/CT32-1</f>
        <v>0.21830933256642693</v>
      </c>
      <c r="DA71" s="1416">
        <f>DA32/CU32-1</f>
        <v>0.22467697525934938</v>
      </c>
      <c r="DB71" s="1796">
        <f>DB32/CV32-1</f>
        <v>0.17020950917515543</v>
      </c>
      <c r="DC71" s="1792">
        <f>DC32/CW32-1</f>
        <v>0.17766615001821484</v>
      </c>
      <c r="DD71" s="1766"/>
      <c r="DE71" s="1793">
        <f>DE32/CY32-1</f>
        <v>0.17720576349158779</v>
      </c>
      <c r="DF71" s="1794">
        <f>DF32/CZ32-1</f>
        <v>-2.1537860325530511E-2</v>
      </c>
      <c r="DG71" s="1416">
        <f>DG32/DA32-1</f>
        <v>-1.984049080898409E-2</v>
      </c>
      <c r="DH71" s="1796">
        <f>DH32/DB32-1</f>
        <v>1.9991645750748521E-2</v>
      </c>
      <c r="DI71" s="1792">
        <f>DI32/DC32-1</f>
        <v>3.2580604109316624E-2</v>
      </c>
      <c r="DJ71"/>
      <c r="DK71"/>
      <c r="DL71"/>
      <c r="DM71"/>
      <c r="DN71"/>
      <c r="DO71"/>
    </row>
    <row r="72" spans="1:120" s="10" customFormat="1" ht="11.25" customHeight="1">
      <c r="A72" s="1797"/>
      <c r="B72" s="734"/>
      <c r="C72" s="1720"/>
      <c r="D72" s="734"/>
      <c r="E72" s="1720"/>
      <c r="F72" s="734"/>
      <c r="G72" s="1720"/>
      <c r="H72" s="734"/>
      <c r="I72" s="1720"/>
      <c r="J72" s="734"/>
      <c r="K72" s="1720"/>
      <c r="L72" s="734"/>
      <c r="M72" s="1720"/>
      <c r="N72" s="734"/>
      <c r="O72" s="1720"/>
      <c r="P72" s="734"/>
      <c r="Q72" s="1720"/>
      <c r="R72" s="734"/>
      <c r="S72" s="1720"/>
      <c r="T72" s="1720"/>
      <c r="U72" s="1720"/>
      <c r="V72" s="1720"/>
      <c r="W72" s="1720"/>
      <c r="X72" s="734"/>
      <c r="Y72" s="1720"/>
      <c r="Z72" s="1720"/>
      <c r="AA72" s="1720"/>
      <c r="AB72" s="1720"/>
      <c r="AC72" s="1720"/>
      <c r="AD72" s="734"/>
      <c r="AE72" s="1720"/>
      <c r="AF72" s="1720"/>
      <c r="AG72" s="1720"/>
      <c r="AH72" s="1720"/>
      <c r="AI72" s="1720"/>
      <c r="AJ72" s="734"/>
      <c r="AK72" s="1720"/>
      <c r="AL72" s="1720"/>
      <c r="AM72" s="1720"/>
      <c r="AN72" s="1720"/>
      <c r="AO72" s="1720"/>
      <c r="AP72" s="734"/>
      <c r="AQ72" s="1720"/>
      <c r="AR72" s="1720"/>
      <c r="AS72" s="1720"/>
      <c r="AT72" s="1720"/>
      <c r="AU72" s="1720"/>
      <c r="AV72" s="734"/>
      <c r="AW72" s="1720"/>
      <c r="AX72" s="1720"/>
      <c r="AY72" s="1720"/>
      <c r="AZ72" s="1720"/>
      <c r="BA72" s="1720"/>
      <c r="BB72" s="734"/>
      <c r="BC72" s="1720"/>
      <c r="BD72" s="1720"/>
      <c r="BE72" s="734"/>
      <c r="BF72" s="734"/>
      <c r="BG72" s="734"/>
      <c r="BH72" s="734"/>
      <c r="BI72" s="1720"/>
      <c r="BJ72" s="734"/>
      <c r="BK72" s="734"/>
      <c r="BL72" s="734"/>
      <c r="BM72" s="734"/>
      <c r="BN72" s="734"/>
      <c r="BO72" s="734"/>
      <c r="BP72" s="734"/>
      <c r="BQ72" s="734"/>
      <c r="BR72" s="734"/>
      <c r="BS72" s="734"/>
      <c r="BT72" s="734"/>
      <c r="BU72" s="734"/>
      <c r="BV72" s="734"/>
      <c r="BW72" s="734"/>
      <c r="BX72" s="734"/>
      <c r="BY72" s="734"/>
      <c r="BZ72" s="734"/>
      <c r="CA72" s="734"/>
      <c r="CB72" s="734"/>
      <c r="CC72" s="734"/>
      <c r="CD72" s="734"/>
      <c r="CE72" s="734"/>
      <c r="CF72" s="734"/>
      <c r="CG72" s="734"/>
      <c r="CH72" s="734"/>
      <c r="CI72" s="734"/>
      <c r="CJ72" s="734"/>
      <c r="CK72" s="734"/>
      <c r="CL72" s="734"/>
      <c r="CM72" s="734"/>
      <c r="CN72" s="734"/>
      <c r="CO72" s="734"/>
      <c r="CP72" s="734"/>
      <c r="CQ72" s="734"/>
      <c r="CR72" s="734"/>
      <c r="CS72" s="734"/>
      <c r="CT72" s="734"/>
      <c r="CU72" s="734"/>
      <c r="CV72" s="734"/>
      <c r="CW72" s="734"/>
      <c r="CX72" s="1720"/>
      <c r="CY72" s="734"/>
      <c r="CZ72" s="734"/>
      <c r="DA72" s="734"/>
      <c r="DB72" s="734"/>
      <c r="DC72" s="734"/>
      <c r="DD72" s="1720"/>
      <c r="DE72" s="734"/>
      <c r="DF72" s="734"/>
      <c r="DG72" s="734"/>
      <c r="DH72" s="734"/>
      <c r="DI72" s="734"/>
      <c r="DJ72"/>
      <c r="DK72"/>
      <c r="DL72"/>
      <c r="DM72"/>
      <c r="DN72"/>
      <c r="DO72"/>
    </row>
    <row r="73" spans="1:120" s="10" customFormat="1" ht="11.25" customHeight="1">
      <c r="A73" s="352" t="s">
        <v>54</v>
      </c>
      <c r="B73" s="471"/>
      <c r="C73" s="472"/>
      <c r="D73" s="471"/>
      <c r="E73" s="472"/>
      <c r="F73" s="471"/>
      <c r="G73" s="472"/>
      <c r="H73" s="471"/>
      <c r="I73" s="472"/>
      <c r="J73" s="471"/>
      <c r="K73" s="472"/>
      <c r="L73" s="471"/>
      <c r="M73" s="472"/>
      <c r="N73" s="471"/>
      <c r="O73" s="472"/>
      <c r="P73" s="471"/>
      <c r="Q73" s="472"/>
      <c r="R73" s="471"/>
      <c r="S73" s="473"/>
      <c r="T73" s="471"/>
      <c r="U73" s="471"/>
      <c r="V73" s="474"/>
      <c r="W73" s="472"/>
      <c r="X73" s="471"/>
      <c r="Y73" s="473"/>
      <c r="Z73" s="471"/>
      <c r="AA73" s="471"/>
      <c r="AB73" s="474"/>
      <c r="AC73" s="472"/>
      <c r="AD73" s="471"/>
      <c r="AE73" s="473"/>
      <c r="AF73" s="471"/>
      <c r="AG73" s="471"/>
      <c r="AH73" s="474"/>
      <c r="AI73" s="472"/>
      <c r="AJ73" s="471"/>
      <c r="AK73" s="473"/>
      <c r="AL73" s="471"/>
      <c r="AM73" s="471"/>
      <c r="AN73" s="474"/>
      <c r="AO73" s="472"/>
      <c r="AP73" s="471"/>
      <c r="AQ73" s="473"/>
      <c r="AR73" s="471"/>
      <c r="AS73" s="471"/>
      <c r="AT73" s="474"/>
      <c r="AU73" s="472"/>
      <c r="AV73" s="471"/>
      <c r="AW73" s="473"/>
      <c r="AX73" s="471"/>
      <c r="AY73" s="471"/>
      <c r="AZ73" s="471"/>
      <c r="BA73" s="472"/>
      <c r="BB73" s="471"/>
      <c r="BC73" s="473"/>
      <c r="BD73" s="471"/>
      <c r="BE73" s="484"/>
      <c r="BF73" s="485"/>
      <c r="BG73" s="485"/>
      <c r="BH73" s="471"/>
      <c r="BI73" s="473"/>
      <c r="BJ73" s="484"/>
      <c r="BK73" s="484"/>
      <c r="BL73" s="485"/>
      <c r="BM73" s="485"/>
      <c r="BN73" s="484"/>
      <c r="BO73" s="486"/>
      <c r="BP73" s="484"/>
      <c r="BQ73" s="484"/>
      <c r="BR73" s="485"/>
      <c r="BS73" s="485"/>
      <c r="BT73" s="484"/>
      <c r="BU73" s="486"/>
      <c r="BV73" s="484"/>
      <c r="BW73" s="484"/>
      <c r="BX73" s="485"/>
      <c r="BY73" s="485"/>
      <c r="BZ73" s="484"/>
      <c r="CA73" s="486"/>
      <c r="CB73" s="484"/>
      <c r="CC73" s="484"/>
      <c r="CD73" s="485"/>
      <c r="CE73" s="485"/>
      <c r="CF73" s="484"/>
      <c r="CG73" s="486"/>
      <c r="CH73" s="484"/>
      <c r="CI73" s="484"/>
      <c r="CJ73" s="485"/>
      <c r="CK73" s="485"/>
      <c r="CL73" s="484"/>
      <c r="CM73" s="486"/>
      <c r="CN73" s="484"/>
      <c r="CO73" s="484"/>
      <c r="CP73" s="485"/>
      <c r="CQ73" s="485"/>
      <c r="CR73" s="484"/>
      <c r="CS73" s="486"/>
      <c r="CT73" s="484"/>
      <c r="CU73" s="484"/>
      <c r="CV73" s="485"/>
      <c r="CW73" s="485"/>
      <c r="CX73" s="483"/>
      <c r="CY73" s="486"/>
      <c r="CZ73" s="484"/>
      <c r="DA73" s="484"/>
      <c r="DB73" s="485"/>
      <c r="DC73" s="485"/>
      <c r="DD73" s="483"/>
      <c r="DE73" s="486"/>
      <c r="DF73" s="484"/>
      <c r="DG73" s="484"/>
      <c r="DH73" s="485"/>
      <c r="DI73" s="485"/>
      <c r="DJ73"/>
      <c r="DK73"/>
      <c r="DL73"/>
      <c r="DM73"/>
      <c r="DN73"/>
      <c r="DO73"/>
    </row>
    <row r="74" spans="1:120" s="10" customFormat="1" ht="11.25" customHeight="1">
      <c r="A74" s="1798" t="s">
        <v>400</v>
      </c>
      <c r="B74" s="734"/>
      <c r="C74" s="1799">
        <f>42.207-19.672</f>
        <v>22.535</v>
      </c>
      <c r="D74" s="733"/>
      <c r="E74" s="1799">
        <f>64.69-31.618</f>
        <v>33.072000000000003</v>
      </c>
      <c r="F74" s="733"/>
      <c r="G74" s="1799">
        <f>76.602-35.587</f>
        <v>41.015000000000001</v>
      </c>
      <c r="H74" s="733"/>
      <c r="I74" s="1799">
        <f>92.691-43.588</f>
        <v>49.103000000000002</v>
      </c>
      <c r="J74" s="733"/>
      <c r="K74" s="1799">
        <f>220.658-118.986</f>
        <v>101.67199999999998</v>
      </c>
      <c r="L74" s="733"/>
      <c r="M74" s="1799">
        <f>260.679-154.329</f>
        <v>106.34999999999997</v>
      </c>
      <c r="N74" s="733"/>
      <c r="O74" s="1800">
        <v>118.476</v>
      </c>
      <c r="P74" s="733"/>
      <c r="Q74" s="1800">
        <v>165.97900000000001</v>
      </c>
      <c r="R74" s="733"/>
      <c r="S74" s="1801">
        <v>43.756</v>
      </c>
      <c r="T74" s="1442">
        <v>46.222999999999999</v>
      </c>
      <c r="U74" s="1442">
        <v>46.183</v>
      </c>
      <c r="V74" s="1802">
        <f>199.334-SUM(S74:U74)</f>
        <v>63.171999999999997</v>
      </c>
      <c r="W74" s="817">
        <f>SUM(S74:V74)</f>
        <v>199.334</v>
      </c>
      <c r="X74" s="733"/>
      <c r="Y74" s="1801">
        <v>94.548000000000002</v>
      </c>
      <c r="Z74" s="1442">
        <v>99.915000000000006</v>
      </c>
      <c r="AA74" s="1442">
        <v>111.108</v>
      </c>
      <c r="AB74" s="1802">
        <f>475.6-SUM(Y74:AA74)</f>
        <v>170.029</v>
      </c>
      <c r="AC74" s="817">
        <f>SUM(Y74:AB74)</f>
        <v>475.6</v>
      </c>
      <c r="AD74" s="733"/>
      <c r="AE74" s="1801">
        <v>114</v>
      </c>
      <c r="AF74" s="1442">
        <v>129.6</v>
      </c>
      <c r="AG74" s="1442">
        <v>111.1</v>
      </c>
      <c r="AH74" s="1802">
        <f>505-SUM(AE74:AG74)</f>
        <v>150.30000000000001</v>
      </c>
      <c r="AI74" s="817">
        <f>SUM(AE74:AH74)</f>
        <v>505</v>
      </c>
      <c r="AJ74" s="733"/>
      <c r="AK74" s="1801">
        <v>102.7</v>
      </c>
      <c r="AL74" s="1442">
        <v>111.2</v>
      </c>
      <c r="AM74" s="1442">
        <v>119.2</v>
      </c>
      <c r="AN74" s="1802">
        <f>518.6-SUM(AK74:AM74)</f>
        <v>185.5</v>
      </c>
      <c r="AO74" s="817">
        <f>SUM(AK74:AN74)</f>
        <v>518.6</v>
      </c>
      <c r="AP74" s="733"/>
      <c r="AQ74" s="1801">
        <v>126.3</v>
      </c>
      <c r="AR74" s="1442">
        <v>135.30000000000001</v>
      </c>
      <c r="AS74" s="1442">
        <v>146.5</v>
      </c>
      <c r="AT74" s="1802">
        <f>601.7-SUM(AQ74:AS74)</f>
        <v>193.60000000000002</v>
      </c>
      <c r="AU74" s="817">
        <f>SUM(AQ74:AT74)</f>
        <v>601.70000000000005</v>
      </c>
      <c r="AV74" s="733"/>
      <c r="AW74" s="1801">
        <v>165.1</v>
      </c>
      <c r="AX74" s="1442">
        <v>183.6</v>
      </c>
      <c r="AY74" s="1442">
        <v>189.4</v>
      </c>
      <c r="AZ74" s="1802">
        <f>752.5-SUM(AW74:AY74)</f>
        <v>214.39999999999998</v>
      </c>
      <c r="BA74" s="817">
        <f>SUM(AW74:AZ74)</f>
        <v>752.5</v>
      </c>
      <c r="BB74" s="733"/>
      <c r="BC74" s="1801">
        <v>190.4</v>
      </c>
      <c r="BD74" s="1442">
        <v>188.2</v>
      </c>
      <c r="BE74" s="1442">
        <v>210.6</v>
      </c>
      <c r="BF74" s="1802">
        <f>831.4-SUM(BC74:BE74)</f>
        <v>242.19999999999993</v>
      </c>
      <c r="BG74" s="817">
        <f>SUM(BC74:BF74)</f>
        <v>831.4</v>
      </c>
      <c r="BH74" s="733"/>
      <c r="BI74" s="1801">
        <v>174.5</v>
      </c>
      <c r="BJ74" s="1442">
        <v>201.6</v>
      </c>
      <c r="BK74" s="1442">
        <v>193.2</v>
      </c>
      <c r="BL74" s="1802">
        <v>235.9</v>
      </c>
      <c r="BM74" s="817">
        <f>SUM(BI74:BL74)</f>
        <v>805.19999999999993</v>
      </c>
      <c r="BN74" s="733"/>
      <c r="BO74" s="1801">
        <v>179.7</v>
      </c>
      <c r="BP74" s="1442">
        <v>200.5</v>
      </c>
      <c r="BQ74" s="1442">
        <v>167.3</v>
      </c>
      <c r="BR74" s="1802">
        <v>215.8</v>
      </c>
      <c r="BS74" s="817">
        <f>SUM(BO74:BR74)</f>
        <v>763.3</v>
      </c>
      <c r="BT74" s="733"/>
      <c r="BU74" s="1456">
        <v>160.19999999999999</v>
      </c>
      <c r="BV74" s="1442">
        <v>169.4</v>
      </c>
      <c r="BW74" s="1442">
        <v>167.5</v>
      </c>
      <c r="BX74" s="1802">
        <v>211.5</v>
      </c>
      <c r="BY74" s="817">
        <f>SUM(BU74:BX74)</f>
        <v>708.6</v>
      </c>
      <c r="BZ74" s="733"/>
      <c r="CA74" s="1456">
        <v>166.8</v>
      </c>
      <c r="CB74" s="1442">
        <v>170.1</v>
      </c>
      <c r="CC74" s="1442">
        <v>185.2</v>
      </c>
      <c r="CD74" s="1442">
        <v>220.4</v>
      </c>
      <c r="CE74" s="817">
        <f>SUM(CA74:CD74)</f>
        <v>742.49999999999989</v>
      </c>
      <c r="CF74" s="733"/>
      <c r="CG74" s="1456">
        <v>176.4</v>
      </c>
      <c r="CH74" s="1442">
        <v>183.4</v>
      </c>
      <c r="CI74" s="1442">
        <v>198</v>
      </c>
      <c r="CJ74" s="1442">
        <v>255.2</v>
      </c>
      <c r="CK74" s="817">
        <f>SUM(CG74:CJ74)</f>
        <v>813</v>
      </c>
      <c r="CL74" s="733"/>
      <c r="CM74" s="1709"/>
      <c r="CN74" s="1804"/>
      <c r="CO74" s="733"/>
      <c r="CP74" s="1803"/>
      <c r="CQ74" s="1744"/>
      <c r="CR74" s="733"/>
      <c r="CS74" s="1709"/>
      <c r="CT74" s="1804"/>
      <c r="CU74" s="733"/>
      <c r="CV74" s="1803"/>
      <c r="CW74" s="1744"/>
      <c r="CX74" s="478"/>
      <c r="CY74" s="1709"/>
      <c r="CZ74" s="1804"/>
      <c r="DA74" s="733"/>
      <c r="DB74" s="1803"/>
      <c r="DC74" s="1744"/>
      <c r="DD74" s="478"/>
      <c r="DE74" s="1709"/>
      <c r="DF74" s="1804"/>
      <c r="DG74" s="733"/>
      <c r="DH74" s="1803"/>
      <c r="DI74" s="1744"/>
      <c r="DJ74"/>
      <c r="DK74"/>
      <c r="DL74"/>
      <c r="DM74"/>
      <c r="DN74"/>
      <c r="DO74"/>
    </row>
    <row r="75" spans="1:120" s="10" customFormat="1" ht="11.25" customHeight="1">
      <c r="A75" s="1463" t="s">
        <v>55</v>
      </c>
      <c r="B75" s="734"/>
      <c r="C75" s="1101">
        <v>0</v>
      </c>
      <c r="D75" s="734"/>
      <c r="E75" s="1101">
        <v>0</v>
      </c>
      <c r="F75" s="734"/>
      <c r="G75" s="1101">
        <v>0</v>
      </c>
      <c r="H75" s="734"/>
      <c r="I75" s="1101">
        <v>0</v>
      </c>
      <c r="J75" s="734"/>
      <c r="K75" s="1101">
        <v>0.7</v>
      </c>
      <c r="L75" s="734"/>
      <c r="M75" s="1101">
        <v>1.0289999999999999</v>
      </c>
      <c r="N75" s="734"/>
      <c r="O75" s="1101">
        <v>0</v>
      </c>
      <c r="P75" s="734"/>
      <c r="Q75" s="1101">
        <v>0</v>
      </c>
      <c r="R75" s="734"/>
      <c r="S75" s="1107">
        <v>0</v>
      </c>
      <c r="T75" s="1104">
        <v>0</v>
      </c>
      <c r="U75" s="1104">
        <v>0</v>
      </c>
      <c r="V75" s="1104">
        <v>0</v>
      </c>
      <c r="W75" s="533">
        <f>SUM(S75:V75)</f>
        <v>0</v>
      </c>
      <c r="X75" s="734"/>
      <c r="Y75" s="1107">
        <v>0</v>
      </c>
      <c r="Z75" s="1104">
        <v>0</v>
      </c>
      <c r="AA75" s="1104">
        <v>0</v>
      </c>
      <c r="AB75" s="1104">
        <v>0</v>
      </c>
      <c r="AC75" s="533">
        <f>SUM(Y75:AB75)</f>
        <v>0</v>
      </c>
      <c r="AD75" s="734"/>
      <c r="AE75" s="1107">
        <v>0</v>
      </c>
      <c r="AF75" s="1104">
        <v>0</v>
      </c>
      <c r="AG75" s="1104">
        <v>0</v>
      </c>
      <c r="AH75" s="1104">
        <v>0</v>
      </c>
      <c r="AI75" s="533">
        <f>SUM(AE75:AH75)</f>
        <v>0</v>
      </c>
      <c r="AJ75" s="734"/>
      <c r="AK75" s="1107">
        <v>0</v>
      </c>
      <c r="AL75" s="1104">
        <v>0</v>
      </c>
      <c r="AM75" s="1104">
        <v>0</v>
      </c>
      <c r="AN75" s="23">
        <f>-6.7-SUM(AK75:AM75)</f>
        <v>-6.7</v>
      </c>
      <c r="AO75" s="533">
        <f>SUM(AK75:AN75)</f>
        <v>-6.7</v>
      </c>
      <c r="AP75" s="734"/>
      <c r="AQ75" s="1107">
        <v>0</v>
      </c>
      <c r="AR75" s="1104">
        <v>0.2</v>
      </c>
      <c r="AS75" s="1104">
        <v>4.9000000000000004</v>
      </c>
      <c r="AT75" s="23">
        <f>10.6-SUM(AQ75:AS75)</f>
        <v>5.4999999999999991</v>
      </c>
      <c r="AU75" s="533">
        <f>SUM(AQ75:AT75)</f>
        <v>10.6</v>
      </c>
      <c r="AV75" s="734"/>
      <c r="AW75" s="1107">
        <v>4.0999999999999996</v>
      </c>
      <c r="AX75" s="1104">
        <v>5</v>
      </c>
      <c r="AY75" s="1104">
        <v>1.3</v>
      </c>
      <c r="AZ75" s="23">
        <f>9.3-SUM(AW75:AY75)</f>
        <v>-1.0999999999999996</v>
      </c>
      <c r="BA75" s="533">
        <f>SUM(AW75:AZ75)</f>
        <v>9.3000000000000007</v>
      </c>
      <c r="BB75" s="734"/>
      <c r="BC75" s="1107">
        <v>0.7</v>
      </c>
      <c r="BD75" s="1104">
        <v>1.7</v>
      </c>
      <c r="BE75" s="1104">
        <v>1.1000000000000001</v>
      </c>
      <c r="BF75" s="23">
        <f>3.3-SUM(BC75:BE75)</f>
        <v>-0.20000000000000018</v>
      </c>
      <c r="BG75" s="533">
        <f>SUM(BC75:BF75)</f>
        <v>3.3</v>
      </c>
      <c r="BH75" s="734"/>
      <c r="BI75" s="1107">
        <v>0</v>
      </c>
      <c r="BJ75" s="1104">
        <v>0</v>
      </c>
      <c r="BK75" s="1104">
        <v>0</v>
      </c>
      <c r="BL75" s="23">
        <v>0</v>
      </c>
      <c r="BM75" s="533">
        <f>SUM(BI75:BL75)</f>
        <v>0</v>
      </c>
      <c r="BN75" s="734"/>
      <c r="BO75" s="1107">
        <v>0</v>
      </c>
      <c r="BP75" s="1104">
        <v>0</v>
      </c>
      <c r="BQ75" s="1104">
        <v>0</v>
      </c>
      <c r="BR75" s="23">
        <v>0</v>
      </c>
      <c r="BS75" s="533">
        <f>SUM(BO75:BR75)</f>
        <v>0</v>
      </c>
      <c r="BT75" s="734"/>
      <c r="BU75" s="1455">
        <v>0</v>
      </c>
      <c r="BV75" s="1104">
        <v>0</v>
      </c>
      <c r="BW75" s="1104">
        <v>0</v>
      </c>
      <c r="BX75" s="23">
        <v>0</v>
      </c>
      <c r="BY75" s="533">
        <f>SUM(BU75:BX75)</f>
        <v>0</v>
      </c>
      <c r="BZ75" s="734"/>
      <c r="CA75" s="1455">
        <v>0</v>
      </c>
      <c r="CB75" s="1104">
        <v>0</v>
      </c>
      <c r="CC75" s="1104">
        <v>0</v>
      </c>
      <c r="CD75" s="1104">
        <v>0</v>
      </c>
      <c r="CE75" s="533">
        <f>SUM(CA75:CD75)</f>
        <v>0</v>
      </c>
      <c r="CF75" s="734"/>
      <c r="CG75" s="1455">
        <f>0</f>
        <v>0</v>
      </c>
      <c r="CH75" s="1104">
        <v>0</v>
      </c>
      <c r="CI75" s="1104">
        <f>1.6+0.2</f>
        <v>1.8</v>
      </c>
      <c r="CJ75" s="1104">
        <v>4.0999999999999996</v>
      </c>
      <c r="CK75" s="533">
        <f>SUM(CG75:CJ75)</f>
        <v>5.8999999999999995</v>
      </c>
      <c r="CL75" s="734"/>
      <c r="CM75" s="822"/>
      <c r="CN75" s="15"/>
      <c r="CO75" s="734"/>
      <c r="CP75" s="815"/>
      <c r="CQ75" s="816"/>
      <c r="CR75" s="734"/>
      <c r="CS75" s="822"/>
      <c r="CT75" s="15"/>
      <c r="CU75" s="734"/>
      <c r="CV75" s="815"/>
      <c r="CW75" s="816"/>
      <c r="CX75" s="1720"/>
      <c r="CY75" s="822"/>
      <c r="CZ75" s="15"/>
      <c r="DA75" s="734"/>
      <c r="DB75" s="815"/>
      <c r="DC75" s="816"/>
      <c r="DD75" s="1720"/>
      <c r="DE75" s="822"/>
      <c r="DF75" s="15"/>
      <c r="DG75" s="734"/>
      <c r="DH75" s="815"/>
      <c r="DI75" s="816"/>
      <c r="DJ75"/>
      <c r="DK75"/>
      <c r="DL75"/>
      <c r="DM75"/>
      <c r="DN75"/>
      <c r="DO75"/>
    </row>
    <row r="76" spans="1:120" s="10" customFormat="1" ht="11.25" customHeight="1">
      <c r="A76" s="1463" t="s">
        <v>477</v>
      </c>
      <c r="B76" s="734"/>
      <c r="C76" s="1101">
        <v>0</v>
      </c>
      <c r="D76" s="734"/>
      <c r="E76" s="1101">
        <v>0</v>
      </c>
      <c r="F76" s="734"/>
      <c r="G76" s="1101">
        <v>0</v>
      </c>
      <c r="H76" s="734"/>
      <c r="I76" s="1101">
        <v>0</v>
      </c>
      <c r="J76" s="734"/>
      <c r="K76" s="1101">
        <v>0</v>
      </c>
      <c r="L76" s="734"/>
      <c r="M76" s="1101">
        <v>0</v>
      </c>
      <c r="N76" s="734"/>
      <c r="O76" s="1101">
        <v>0</v>
      </c>
      <c r="P76" s="734"/>
      <c r="Q76" s="1101">
        <v>0</v>
      </c>
      <c r="R76" s="734"/>
      <c r="S76" s="1107">
        <v>0</v>
      </c>
      <c r="T76" s="1104">
        <v>0</v>
      </c>
      <c r="U76" s="1104">
        <v>0</v>
      </c>
      <c r="V76" s="1104">
        <v>0</v>
      </c>
      <c r="W76" s="533">
        <f>SUM(S76:V76)</f>
        <v>0</v>
      </c>
      <c r="X76" s="734"/>
      <c r="Y76" s="1107">
        <v>0</v>
      </c>
      <c r="Z76" s="1104">
        <v>0</v>
      </c>
      <c r="AA76" s="1104">
        <v>0</v>
      </c>
      <c r="AB76" s="1104">
        <v>0</v>
      </c>
      <c r="AC76" s="533">
        <f>SUM(Y76:AB76)</f>
        <v>0</v>
      </c>
      <c r="AD76" s="734"/>
      <c r="AE76" s="1107">
        <v>0</v>
      </c>
      <c r="AF76" s="1104">
        <v>0</v>
      </c>
      <c r="AG76" s="1104">
        <v>0</v>
      </c>
      <c r="AH76" s="1104">
        <v>0</v>
      </c>
      <c r="AI76" s="533">
        <f>SUM(AE76:AH76)</f>
        <v>0</v>
      </c>
      <c r="AJ76" s="734"/>
      <c r="AK76" s="1107">
        <v>0</v>
      </c>
      <c r="AL76" s="1104">
        <v>0</v>
      </c>
      <c r="AM76" s="1104">
        <v>0</v>
      </c>
      <c r="AN76" s="1104">
        <v>0</v>
      </c>
      <c r="AO76" s="533">
        <f>SUM(AK76:AN76)</f>
        <v>0</v>
      </c>
      <c r="AP76" s="734"/>
      <c r="AQ76" s="1107">
        <v>0</v>
      </c>
      <c r="AR76" s="1104">
        <v>0.4</v>
      </c>
      <c r="AS76" s="1104">
        <v>0.3</v>
      </c>
      <c r="AT76" s="23">
        <f>4.3-SUM(AQ76:AS76)</f>
        <v>3.5999999999999996</v>
      </c>
      <c r="AU76" s="533">
        <f>SUM(AQ76:AT76)</f>
        <v>4.3</v>
      </c>
      <c r="AV76" s="734"/>
      <c r="AW76" s="1107">
        <v>0</v>
      </c>
      <c r="AX76" s="1104">
        <v>3.5</v>
      </c>
      <c r="AY76" s="1104">
        <v>4.2</v>
      </c>
      <c r="AZ76" s="23">
        <f>15.1-SUM(AW76:AY76)</f>
        <v>7.3999999999999995</v>
      </c>
      <c r="BA76" s="533">
        <f>SUM(AW76:AZ76)</f>
        <v>15.1</v>
      </c>
      <c r="BB76" s="734"/>
      <c r="BC76" s="1107">
        <v>4.3</v>
      </c>
      <c r="BD76" s="1104">
        <v>4.7</v>
      </c>
      <c r="BE76" s="1104">
        <v>4.7</v>
      </c>
      <c r="BF76" s="23">
        <f>18.6-SUM(BC76:BE76)</f>
        <v>4.9000000000000021</v>
      </c>
      <c r="BG76" s="533">
        <f>SUM(BC76:BF76)</f>
        <v>18.600000000000001</v>
      </c>
      <c r="BH76" s="734"/>
      <c r="BI76" s="1107">
        <v>4.8</v>
      </c>
      <c r="BJ76" s="1104">
        <v>4.7</v>
      </c>
      <c r="BK76" s="1104">
        <v>4.8</v>
      </c>
      <c r="BL76" s="23">
        <v>5</v>
      </c>
      <c r="BM76" s="533">
        <f>SUM(BI76:BL76)</f>
        <v>19.3</v>
      </c>
      <c r="BN76" s="734"/>
      <c r="BO76" s="1107">
        <f>4.8</f>
        <v>4.8</v>
      </c>
      <c r="BP76" s="1104">
        <v>4.4000000000000004</v>
      </c>
      <c r="BQ76" s="1104">
        <v>0.2</v>
      </c>
      <c r="BR76" s="23">
        <v>4.5</v>
      </c>
      <c r="BS76" s="533">
        <f>SUM(BO76:BR76)</f>
        <v>13.899999999999999</v>
      </c>
      <c r="BT76" s="734"/>
      <c r="BU76" s="1455">
        <v>4.7</v>
      </c>
      <c r="BV76" s="1104">
        <v>4.7</v>
      </c>
      <c r="BW76" s="1104">
        <v>4.5999999999999996</v>
      </c>
      <c r="BX76" s="23">
        <v>4.7</v>
      </c>
      <c r="BY76" s="533">
        <f>SUM(BU76:BX76)</f>
        <v>18.7</v>
      </c>
      <c r="BZ76" s="734"/>
      <c r="CA76" s="1455">
        <v>4.5999999999999996</v>
      </c>
      <c r="CB76" s="1104">
        <v>4.7</v>
      </c>
      <c r="CC76" s="1104">
        <v>4.7</v>
      </c>
      <c r="CD76" s="1104">
        <v>4.7</v>
      </c>
      <c r="CE76" s="533">
        <f>SUM(CA76:CD76)</f>
        <v>18.7</v>
      </c>
      <c r="CF76" s="734"/>
      <c r="CG76" s="1455">
        <v>5.4</v>
      </c>
      <c r="CH76" s="1104">
        <v>5.6</v>
      </c>
      <c r="CI76" s="1104">
        <v>7.4</v>
      </c>
      <c r="CJ76" s="1104">
        <v>5.6</v>
      </c>
      <c r="CK76" s="533">
        <f>SUM(CG76:CJ76)</f>
        <v>24</v>
      </c>
      <c r="CL76" s="734"/>
      <c r="CM76" s="822"/>
      <c r="CN76" s="15"/>
      <c r="CO76" s="734"/>
      <c r="CP76" s="815"/>
      <c r="CQ76" s="816"/>
      <c r="CR76" s="734"/>
      <c r="CS76" s="822"/>
      <c r="CT76" s="15"/>
      <c r="CU76" s="734"/>
      <c r="CV76" s="815"/>
      <c r="CW76" s="816"/>
      <c r="CY76" s="822"/>
      <c r="CZ76" s="15"/>
      <c r="DA76" s="734"/>
      <c r="DB76" s="815"/>
      <c r="DC76" s="816"/>
      <c r="DE76" s="822"/>
      <c r="DF76" s="15"/>
      <c r="DG76" s="734"/>
      <c r="DH76" s="815"/>
      <c r="DI76" s="816"/>
      <c r="DJ76"/>
      <c r="DK76"/>
      <c r="DL76"/>
      <c r="DM76"/>
      <c r="DN76"/>
      <c r="DO76"/>
      <c r="DP76" s="1720"/>
    </row>
    <row r="77" spans="1:120" s="10" customFormat="1" ht="11.25" customHeight="1">
      <c r="A77" s="1463" t="s">
        <v>56</v>
      </c>
      <c r="B77" s="734"/>
      <c r="C77" s="1101">
        <v>0</v>
      </c>
      <c r="D77" s="734"/>
      <c r="E77" s="1101">
        <v>0</v>
      </c>
      <c r="F77" s="734"/>
      <c r="G77" s="1101">
        <v>0</v>
      </c>
      <c r="H77" s="734"/>
      <c r="I77" s="1101">
        <v>0</v>
      </c>
      <c r="J77" s="734"/>
      <c r="K77" s="1101">
        <v>0</v>
      </c>
      <c r="L77" s="734"/>
      <c r="M77" s="1101">
        <v>0</v>
      </c>
      <c r="N77" s="734"/>
      <c r="O77" s="1101">
        <v>0</v>
      </c>
      <c r="P77" s="734"/>
      <c r="Q77" s="1101">
        <v>0</v>
      </c>
      <c r="R77" s="734"/>
      <c r="S77" s="1107">
        <v>0</v>
      </c>
      <c r="T77" s="1104">
        <v>0</v>
      </c>
      <c r="U77" s="1104">
        <v>0</v>
      </c>
      <c r="V77" s="1104">
        <v>0</v>
      </c>
      <c r="W77" s="533">
        <f>SUM(S77:V77)</f>
        <v>0</v>
      </c>
      <c r="X77" s="734"/>
      <c r="Y77" s="1107">
        <v>0</v>
      </c>
      <c r="Z77" s="1104">
        <v>0</v>
      </c>
      <c r="AA77" s="1104">
        <v>0</v>
      </c>
      <c r="AB77" s="1104">
        <v>0</v>
      </c>
      <c r="AC77" s="533">
        <f>SUM(Y77:AB77)</f>
        <v>0</v>
      </c>
      <c r="AD77" s="734"/>
      <c r="AE77" s="1107">
        <v>0</v>
      </c>
      <c r="AF77" s="1104">
        <v>0</v>
      </c>
      <c r="AG77" s="1104">
        <v>0</v>
      </c>
      <c r="AH77" s="1104">
        <v>0</v>
      </c>
      <c r="AI77" s="533">
        <f>SUM(AE77:AH77)</f>
        <v>0</v>
      </c>
      <c r="AJ77" s="734"/>
      <c r="AK77" s="1107">
        <v>0</v>
      </c>
      <c r="AL77" s="1104">
        <v>0</v>
      </c>
      <c r="AM77" s="1104">
        <v>0</v>
      </c>
      <c r="AN77" s="1104">
        <v>0</v>
      </c>
      <c r="AO77" s="533">
        <f>SUM(AK77:AN77)</f>
        <v>0</v>
      </c>
      <c r="AP77" s="734"/>
      <c r="AQ77" s="1107">
        <v>0.2</v>
      </c>
      <c r="AR77" s="1104">
        <v>0.2</v>
      </c>
      <c r="AS77" s="1104">
        <v>0.3</v>
      </c>
      <c r="AT77" s="23">
        <f>1-SUM(AQ77:AS77)</f>
        <v>0.30000000000000004</v>
      </c>
      <c r="AU77" s="533">
        <f>SUM(AQ77:AT77)</f>
        <v>1</v>
      </c>
      <c r="AV77" s="734"/>
      <c r="AW77" s="1107">
        <v>0.3</v>
      </c>
      <c r="AX77" s="1104">
        <v>0.3</v>
      </c>
      <c r="AY77" s="1104">
        <v>0.2</v>
      </c>
      <c r="AZ77" s="23">
        <f>1.1-SUM(AW77:AY77)</f>
        <v>0.30000000000000004</v>
      </c>
      <c r="BA77" s="533">
        <f>SUM(AW77:AZ77)</f>
        <v>1.1000000000000001</v>
      </c>
      <c r="BB77" s="734"/>
      <c r="BC77" s="1107">
        <v>0</v>
      </c>
      <c r="BD77" s="1104">
        <v>0</v>
      </c>
      <c r="BE77" s="1104">
        <v>0</v>
      </c>
      <c r="BF77" s="1105">
        <v>0</v>
      </c>
      <c r="BG77" s="533">
        <f>SUM(BC77:BF77)</f>
        <v>0</v>
      </c>
      <c r="BH77" s="734"/>
      <c r="BI77" s="1107">
        <v>0.2</v>
      </c>
      <c r="BJ77" s="1104">
        <v>0.2</v>
      </c>
      <c r="BK77" s="1104">
        <v>0.2</v>
      </c>
      <c r="BL77" s="23">
        <f>0.3+7.1</f>
        <v>7.3999999999999995</v>
      </c>
      <c r="BM77" s="533">
        <f>SUM(BI77:BL77)</f>
        <v>8</v>
      </c>
      <c r="BN77" s="734"/>
      <c r="BO77" s="1107">
        <f>2.2+0.5</f>
        <v>2.7</v>
      </c>
      <c r="BP77" s="1104">
        <f>0.2+6.7</f>
        <v>6.9</v>
      </c>
      <c r="BQ77" s="23">
        <f>13.4+4.6</f>
        <v>18</v>
      </c>
      <c r="BR77" s="23">
        <f>2.7+0.2</f>
        <v>2.9000000000000004</v>
      </c>
      <c r="BS77" s="533">
        <f>SUM(BO77:BR77)</f>
        <v>30.5</v>
      </c>
      <c r="BT77" s="734"/>
      <c r="BU77" s="1455">
        <f>2+0.2</f>
        <v>2.2000000000000002</v>
      </c>
      <c r="BV77" s="1104">
        <f>0.1+4.2</f>
        <v>4.3</v>
      </c>
      <c r="BW77" s="1104">
        <f>9.7+0.9</f>
        <v>10.6</v>
      </c>
      <c r="BX77" s="23">
        <f>5.3+1.3</f>
        <v>6.6</v>
      </c>
      <c r="BY77" s="533">
        <f>SUM(BU77:BX77)</f>
        <v>23.700000000000003</v>
      </c>
      <c r="BZ77" s="734"/>
      <c r="CA77" s="1455">
        <f>2+2</f>
        <v>4</v>
      </c>
      <c r="CB77" s="1104">
        <f>0.2+0.1+1.8</f>
        <v>2.1</v>
      </c>
      <c r="CC77" s="1104">
        <f>0.2+2.5</f>
        <v>2.7</v>
      </c>
      <c r="CD77" s="1104">
        <f>-0.2+4.6</f>
        <v>4.3999999999999995</v>
      </c>
      <c r="CE77" s="533">
        <f>SUM(CA77:CD77)</f>
        <v>13.2</v>
      </c>
      <c r="CF77" s="734"/>
      <c r="CG77" s="1455">
        <f>0.5-1.4+2.5</f>
        <v>1.6</v>
      </c>
      <c r="CH77" s="1104">
        <f>1.4+2.9</f>
        <v>4.3</v>
      </c>
      <c r="CI77" s="1104">
        <v>0.2</v>
      </c>
      <c r="CJ77" s="1104">
        <v>0.1</v>
      </c>
      <c r="CK77" s="533">
        <f>SUM(CG77:CJ77)</f>
        <v>6.2</v>
      </c>
      <c r="CL77" s="734"/>
      <c r="CM77" s="822"/>
      <c r="CN77" s="15"/>
      <c r="CO77" s="734"/>
      <c r="CP77" s="815"/>
      <c r="CQ77" s="816"/>
      <c r="CR77" s="734"/>
      <c r="CS77" s="822"/>
      <c r="CT77" s="15"/>
      <c r="CU77" s="734"/>
      <c r="CV77" s="815"/>
      <c r="CW77" s="816"/>
      <c r="CX77" s="1720"/>
      <c r="CY77" s="822"/>
      <c r="CZ77" s="15"/>
      <c r="DA77" s="734"/>
      <c r="DB77" s="815"/>
      <c r="DC77" s="816"/>
      <c r="DD77" s="1720"/>
      <c r="DE77" s="822"/>
      <c r="DF77" s="15"/>
      <c r="DG77" s="734"/>
      <c r="DH77" s="815"/>
      <c r="DI77" s="816"/>
      <c r="DJ77"/>
      <c r="DK77"/>
      <c r="DL77"/>
      <c r="DM77"/>
      <c r="DN77"/>
      <c r="DO77"/>
    </row>
    <row r="78" spans="1:120" s="10" customFormat="1" ht="11.25" customHeight="1">
      <c r="A78" s="1798" t="s">
        <v>401</v>
      </c>
      <c r="B78" s="734"/>
      <c r="C78" s="817">
        <f>SUM(C74:C77)</f>
        <v>22.535</v>
      </c>
      <c r="D78" s="733"/>
      <c r="E78" s="817">
        <f>SUM(E74:E77)</f>
        <v>33.072000000000003</v>
      </c>
      <c r="F78" s="733"/>
      <c r="G78" s="817">
        <f>SUM(G74:G77)</f>
        <v>41.015000000000001</v>
      </c>
      <c r="H78" s="733"/>
      <c r="I78" s="817">
        <f>SUM(I74:I77)</f>
        <v>49.103000000000002</v>
      </c>
      <c r="J78" s="733"/>
      <c r="K78" s="817">
        <f>SUM(K74:K77)</f>
        <v>102.37199999999999</v>
      </c>
      <c r="L78" s="733"/>
      <c r="M78" s="817">
        <f>SUM(M74:M77)</f>
        <v>107.37899999999996</v>
      </c>
      <c r="N78" s="733"/>
      <c r="O78" s="817">
        <f>SUM(O74:O77)</f>
        <v>118.476</v>
      </c>
      <c r="P78" s="733"/>
      <c r="Q78" s="817">
        <f>SUM(Q74:Q77)</f>
        <v>165.97900000000001</v>
      </c>
      <c r="R78" s="733"/>
      <c r="S78" s="1710">
        <f>SUM(S74:S77)</f>
        <v>43.756</v>
      </c>
      <c r="T78" s="478">
        <f>SUM(T74:T77)</f>
        <v>46.222999999999999</v>
      </c>
      <c r="U78" s="478">
        <f>SUM(U74:U77)</f>
        <v>46.183</v>
      </c>
      <c r="V78" s="478">
        <f>SUM(V74:V77)</f>
        <v>63.171999999999997</v>
      </c>
      <c r="W78" s="817">
        <f>SUM(W74:W77)</f>
        <v>199.334</v>
      </c>
      <c r="X78" s="733"/>
      <c r="Y78" s="1710">
        <f>SUM(Y74:Y77)</f>
        <v>94.548000000000002</v>
      </c>
      <c r="Z78" s="478">
        <f>SUM(Z74:Z77)</f>
        <v>99.915000000000006</v>
      </c>
      <c r="AA78" s="478">
        <f>SUM(AA74:AA77)</f>
        <v>111.108</v>
      </c>
      <c r="AB78" s="478">
        <f>SUM(AB74:AB77)</f>
        <v>170.029</v>
      </c>
      <c r="AC78" s="817">
        <f>SUM(AC74:AC77)</f>
        <v>475.6</v>
      </c>
      <c r="AD78" s="733"/>
      <c r="AE78" s="1710">
        <f>SUM(AE74:AE77)</f>
        <v>114</v>
      </c>
      <c r="AF78" s="478">
        <f>SUM(AF74:AF77)</f>
        <v>129.6</v>
      </c>
      <c r="AG78" s="478">
        <f>SUM(AG74:AG77)</f>
        <v>111.1</v>
      </c>
      <c r="AH78" s="478">
        <f>SUM(AH74:AH77)</f>
        <v>150.30000000000001</v>
      </c>
      <c r="AI78" s="817">
        <f>SUM(AI74:AI77)</f>
        <v>505</v>
      </c>
      <c r="AJ78" s="733"/>
      <c r="AK78" s="1710">
        <f>SUM(AK74:AK77)</f>
        <v>102.7</v>
      </c>
      <c r="AL78" s="478">
        <f>SUM(AL74:AL77)</f>
        <v>111.2</v>
      </c>
      <c r="AM78" s="478">
        <f>SUM(AM74:AM77)</f>
        <v>119.2</v>
      </c>
      <c r="AN78" s="478">
        <f>SUM(AN74:AN77)</f>
        <v>178.8</v>
      </c>
      <c r="AO78" s="817">
        <f>SUM(AO74:AO77)</f>
        <v>511.90000000000003</v>
      </c>
      <c r="AP78" s="733"/>
      <c r="AQ78" s="1710">
        <f>SUM(AQ74:AQ77)</f>
        <v>126.5</v>
      </c>
      <c r="AR78" s="478">
        <f>SUM(AR74:AR77)</f>
        <v>136.1</v>
      </c>
      <c r="AS78" s="478">
        <f>SUM(AS74:AS77)</f>
        <v>152.00000000000003</v>
      </c>
      <c r="AT78" s="478">
        <f>SUM(AT74:AT77)</f>
        <v>203.00000000000003</v>
      </c>
      <c r="AU78" s="817">
        <f>SUM(AU74:AU77)</f>
        <v>617.6</v>
      </c>
      <c r="AV78" s="733"/>
      <c r="AW78" s="1710">
        <f>SUM(AW74:AW77)</f>
        <v>169.5</v>
      </c>
      <c r="AX78" s="478">
        <f>SUM(AX74:AX77)</f>
        <v>192.4</v>
      </c>
      <c r="AY78" s="478">
        <f>SUM(AY74:AY77)</f>
        <v>195.1</v>
      </c>
      <c r="AZ78" s="478">
        <f>SUM(AZ74:AZ77)</f>
        <v>221</v>
      </c>
      <c r="BA78" s="817">
        <f>SUM(BA74:BA77)</f>
        <v>778</v>
      </c>
      <c r="BB78" s="733"/>
      <c r="BC78" s="1710">
        <f>SUM(BC74:BC77)</f>
        <v>195.4</v>
      </c>
      <c r="BD78" s="478">
        <f>SUM(BD74:BD77)</f>
        <v>194.59999999999997</v>
      </c>
      <c r="BE78" s="478">
        <f>SUM(BE74:BE77)</f>
        <v>216.39999999999998</v>
      </c>
      <c r="BF78" s="478">
        <f>SUM(BF74:BF77)</f>
        <v>246.89999999999995</v>
      </c>
      <c r="BG78" s="817">
        <f>SUM(BG74:BG77)</f>
        <v>853.3</v>
      </c>
      <c r="BH78" s="733"/>
      <c r="BI78" s="1710">
        <f>SUM(BI74:BI77)</f>
        <v>179.5</v>
      </c>
      <c r="BJ78" s="478">
        <f>SUM(BJ74:BJ77)</f>
        <v>206.49999999999997</v>
      </c>
      <c r="BK78" s="478">
        <f>SUM(BK74:BK77)</f>
        <v>198.2</v>
      </c>
      <c r="BL78" s="478">
        <f>SUM(BL74:BL77)</f>
        <v>248.3</v>
      </c>
      <c r="BM78" s="817">
        <f>SUM(BM74:BM77)</f>
        <v>832.49999999999989</v>
      </c>
      <c r="BN78" s="733"/>
      <c r="BO78" s="1710">
        <f>SUM(BO74:BO77)</f>
        <v>187.2</v>
      </c>
      <c r="BP78" s="478">
        <f>SUM(BP74:BP77)</f>
        <v>211.8</v>
      </c>
      <c r="BQ78" s="478">
        <f>SUM(BQ74:BQ77)</f>
        <v>185.5</v>
      </c>
      <c r="BR78" s="478">
        <f>SUM(BR74:BR77)</f>
        <v>223.20000000000002</v>
      </c>
      <c r="BS78" s="817">
        <f>SUM(BS74:BS77)</f>
        <v>807.69999999999993</v>
      </c>
      <c r="BT78" s="733"/>
      <c r="BU78" s="1710">
        <f>SUM(BU74:BU77)</f>
        <v>167.09999999999997</v>
      </c>
      <c r="BV78" s="478">
        <f>SUM(BV74:BV77)</f>
        <v>178.4</v>
      </c>
      <c r="BW78" s="478">
        <f>SUM(BW74:BW77)</f>
        <v>182.7</v>
      </c>
      <c r="BX78" s="478">
        <f>SUM(BX74:BX77)</f>
        <v>222.79999999999998</v>
      </c>
      <c r="BY78" s="817">
        <f>SUM(BY74:BY77)</f>
        <v>751.00000000000011</v>
      </c>
      <c r="BZ78" s="733"/>
      <c r="CA78" s="1710">
        <f>SUM(CA74:CA77)</f>
        <v>175.4</v>
      </c>
      <c r="CB78" s="478">
        <f>SUM(CB74:CB77)</f>
        <v>176.89999999999998</v>
      </c>
      <c r="CC78" s="478">
        <f>SUM(CC74:CC77)</f>
        <v>192.59999999999997</v>
      </c>
      <c r="CD78" s="478">
        <f>SUM(CD74:CD77)</f>
        <v>229.5</v>
      </c>
      <c r="CE78" s="817">
        <f>SUM(CE74:CE77)</f>
        <v>774.4</v>
      </c>
      <c r="CF78" s="733"/>
      <c r="CG78" s="1710">
        <f>SUM(CG74:CG77)</f>
        <v>183.4</v>
      </c>
      <c r="CH78" s="478">
        <f>SUM(CH74:CH77)</f>
        <v>193.3</v>
      </c>
      <c r="CI78" s="478">
        <f>SUM(CI74:CI77)</f>
        <v>207.4</v>
      </c>
      <c r="CJ78" s="478">
        <f>SUM(CJ74:CJ77)</f>
        <v>265.00000000000006</v>
      </c>
      <c r="CK78" s="817">
        <f>SUM(CK74:CK77)</f>
        <v>849.1</v>
      </c>
      <c r="CL78" s="733"/>
      <c r="CM78" s="1709"/>
      <c r="CN78" s="733"/>
      <c r="CO78" s="733"/>
      <c r="CP78" s="1803"/>
      <c r="CQ78" s="818"/>
      <c r="CR78" s="733"/>
      <c r="CS78" s="1709"/>
      <c r="CT78" s="733"/>
      <c r="CU78" s="733"/>
      <c r="CV78" s="1803"/>
      <c r="CW78" s="818"/>
      <c r="CX78" s="478"/>
      <c r="CY78" s="1709"/>
      <c r="CZ78" s="733"/>
      <c r="DA78" s="733"/>
      <c r="DB78" s="1803"/>
      <c r="DC78" s="818"/>
      <c r="DD78" s="478"/>
      <c r="DE78" s="1709"/>
      <c r="DF78" s="733"/>
      <c r="DG78" s="733"/>
      <c r="DH78" s="1803"/>
      <c r="DI78" s="818"/>
      <c r="DJ78"/>
      <c r="DK78"/>
      <c r="DL78"/>
      <c r="DM78"/>
      <c r="DN78"/>
      <c r="DO78"/>
    </row>
    <row r="79" spans="1:120" s="10" customFormat="1" ht="11.25" customHeight="1">
      <c r="A79" s="1805" t="s">
        <v>57</v>
      </c>
      <c r="B79" s="734"/>
      <c r="C79" s="1806">
        <f>C78/C9</f>
        <v>0.53391617504205469</v>
      </c>
      <c r="D79" s="734"/>
      <c r="E79" s="1806">
        <f>E78/E9</f>
        <v>0.5112382130159222</v>
      </c>
      <c r="F79" s="734"/>
      <c r="G79" s="1806">
        <f>G78/G9</f>
        <v>0.5354298843372236</v>
      </c>
      <c r="H79" s="734"/>
      <c r="I79" s="1806">
        <f>I78/I9</f>
        <v>0.52974938235643154</v>
      </c>
      <c r="J79" s="734"/>
      <c r="K79" s="1806">
        <f>K78/K9</f>
        <v>0.46393967134660874</v>
      </c>
      <c r="L79" s="734"/>
      <c r="M79" s="1806">
        <f>M78/M9</f>
        <v>0.41192040785794004</v>
      </c>
      <c r="N79" s="734"/>
      <c r="O79" s="1806">
        <f>O78/O9</f>
        <v>0.41655884338433846</v>
      </c>
      <c r="P79" s="734"/>
      <c r="Q79" s="1806">
        <f>Q78/Q9</f>
        <v>0.44587686331607812</v>
      </c>
      <c r="R79" s="734"/>
      <c r="S79" s="1807">
        <f>S78/S9</f>
        <v>0.46128869022518348</v>
      </c>
      <c r="T79" s="1441">
        <f>T78/T9</f>
        <v>0.46000816058437749</v>
      </c>
      <c r="U79" s="1441">
        <f>U78/U9</f>
        <v>0.44038333174406408</v>
      </c>
      <c r="V79" s="1441">
        <f>V78/V9</f>
        <v>0.46578433179723489</v>
      </c>
      <c r="W79" s="1806">
        <f>W78/W9</f>
        <v>0.45736220671172972</v>
      </c>
      <c r="X79" s="734"/>
      <c r="Y79" s="1807">
        <f>Y78/Y9</f>
        <v>0.45557397270834937</v>
      </c>
      <c r="Z79" s="1441">
        <f>Z78/Z9</f>
        <v>0.41920853227714799</v>
      </c>
      <c r="AA79" s="1441">
        <f>AA78/AA9</f>
        <v>0.45957974851091993</v>
      </c>
      <c r="AB79" s="1441">
        <f>AB78/AB9</f>
        <v>0.49317790243704346</v>
      </c>
      <c r="AC79" s="1806">
        <f>AC78/AC9</f>
        <v>0.46067415730337075</v>
      </c>
      <c r="AD79" s="734"/>
      <c r="AE79" s="1807">
        <f>AE78/AE9</f>
        <v>0.47838858581619803</v>
      </c>
      <c r="AF79" s="1441">
        <f>AF78/AF9</f>
        <v>0.41605136436597107</v>
      </c>
      <c r="AG79" s="1441">
        <f>AG78/AG9</f>
        <v>0.45890128046261869</v>
      </c>
      <c r="AH79" s="1441">
        <f>AH78/AH9</f>
        <v>0.47684010152284279</v>
      </c>
      <c r="AI79" s="1806">
        <f>AI78/AI9</f>
        <v>0.4561466895492729</v>
      </c>
      <c r="AJ79" s="734"/>
      <c r="AK79" s="1807">
        <f>AK78/AK9</f>
        <v>0.44555314533622559</v>
      </c>
      <c r="AL79" s="1441">
        <f>AL78/AL9</f>
        <v>0.4403960396039604</v>
      </c>
      <c r="AM79" s="1441">
        <f>AM78/AM9</f>
        <v>0.44964164466239159</v>
      </c>
      <c r="AN79" s="1441">
        <f>AN78/AN9</f>
        <v>0.48799126637554585</v>
      </c>
      <c r="AO79" s="1806">
        <f>AO78/AO9</f>
        <v>0.45930910722296997</v>
      </c>
      <c r="AP79" s="734"/>
      <c r="AQ79" s="1807">
        <f>AQ78/AQ9</f>
        <v>0.45552754771335974</v>
      </c>
      <c r="AR79" s="1441">
        <f>AR78/AR9</f>
        <v>0.45230973745430375</v>
      </c>
      <c r="AS79" s="1441">
        <f>AS78/AS9</f>
        <v>0.49000644745325606</v>
      </c>
      <c r="AT79" s="1441">
        <f>AT78/AT9</f>
        <v>0.48786349435231918</v>
      </c>
      <c r="AU79" s="1806">
        <f>AU78/AU9</f>
        <v>0.47329297264158171</v>
      </c>
      <c r="AV79" s="734"/>
      <c r="AW79" s="1807">
        <f>AW78/AW9</f>
        <v>0.47478991596638653</v>
      </c>
      <c r="AX79" s="1441">
        <f>AX78/AX9</f>
        <v>0.47956131605184443</v>
      </c>
      <c r="AY79" s="1441">
        <f>AY78/AY9</f>
        <v>0.46630019120458893</v>
      </c>
      <c r="AZ79" s="1441">
        <f>AZ78/AZ9</f>
        <v>0.46516522837297419</v>
      </c>
      <c r="BA79" s="1806">
        <f>BA78/BA9</f>
        <v>0.47102984803535758</v>
      </c>
      <c r="BB79" s="734"/>
      <c r="BC79" s="1807">
        <f>BC78/BC9</f>
        <v>0.48175542406311633</v>
      </c>
      <c r="BD79" s="1441">
        <f>BD78/BD9</f>
        <v>0.46256239600665544</v>
      </c>
      <c r="BE79" s="1441">
        <f>BE78/BE9</f>
        <v>0.48325145154086641</v>
      </c>
      <c r="BF79" s="1441">
        <f>BF78/BF9</f>
        <v>0.47728590759713885</v>
      </c>
      <c r="BG79" s="1806">
        <f>BG78/BG9</f>
        <v>0.4763313609467455</v>
      </c>
      <c r="BH79" s="734"/>
      <c r="BI79" s="1807">
        <f>BI78/BI9</f>
        <v>0.45627859684799182</v>
      </c>
      <c r="BJ79" s="1441">
        <f>BJ78/BJ9</f>
        <v>0.45394592218069896</v>
      </c>
      <c r="BK79" s="1441">
        <f>BK78/BK9</f>
        <v>0.45148063781321179</v>
      </c>
      <c r="BL79" s="1441">
        <f>BL78/BL9</f>
        <v>0.44973736641912698</v>
      </c>
      <c r="BM79" s="1806">
        <f>BM78/BM9</f>
        <v>0.45259323692508419</v>
      </c>
      <c r="BN79" s="734"/>
      <c r="BO79" s="1807">
        <f>BO78/BO9</f>
        <v>0.44182204389898505</v>
      </c>
      <c r="BP79" s="1441">
        <f>BP78/BP9</f>
        <v>0.46305203323130745</v>
      </c>
      <c r="BQ79" s="1441">
        <f>BQ78/BQ9</f>
        <v>0.44187708432586947</v>
      </c>
      <c r="BR79" s="1441">
        <f>BR78/BR9</f>
        <v>0.43937007874015749</v>
      </c>
      <c r="BS79" s="1806">
        <f>BS78/BS9</f>
        <v>0.44651445629940845</v>
      </c>
      <c r="BT79" s="734"/>
      <c r="BU79" s="1807">
        <f>BU78/BU9</f>
        <v>0.47270155586987261</v>
      </c>
      <c r="BV79" s="1441">
        <f>BV78/BV9</f>
        <v>0.45050505050505052</v>
      </c>
      <c r="BW79" s="1441">
        <f>BW78/BW9</f>
        <v>0.46124715980812919</v>
      </c>
      <c r="BX79" s="1441">
        <f>BX78/BX9</f>
        <v>0.46591384358009214</v>
      </c>
      <c r="BY79" s="1806">
        <f>BY78/BY9</f>
        <v>0.46249538120458195</v>
      </c>
      <c r="BZ79" s="734"/>
      <c r="CA79" s="1807">
        <f>CA78/CA9</f>
        <v>0.46723494938732019</v>
      </c>
      <c r="CB79" s="1441">
        <f>CB78/CB9</f>
        <v>0.4759214420231368</v>
      </c>
      <c r="CC79" s="1441">
        <f>CC78/CC9</f>
        <v>0.48895658796648889</v>
      </c>
      <c r="CD79" s="1441">
        <f>CD78/CD9</f>
        <v>0.48798639166489477</v>
      </c>
      <c r="CE79" s="1806">
        <f>CE78/CE9</f>
        <v>0.48060572208775515</v>
      </c>
      <c r="CF79" s="734"/>
      <c r="CG79" s="1807">
        <f>CG78/CG9</f>
        <v>0.47648739932449991</v>
      </c>
      <c r="CH79" s="1441">
        <f>CH78/CH9</f>
        <v>0.4658953964810798</v>
      </c>
      <c r="CI79" s="1441">
        <f>CI78/CI9</f>
        <v>0.47612488521579438</v>
      </c>
      <c r="CJ79" s="1441">
        <f>CJ78/CJ9</f>
        <v>0.49952874646559836</v>
      </c>
      <c r="CK79" s="1806">
        <f>CK78/CK9</f>
        <v>0.4808313041508579</v>
      </c>
      <c r="CL79" s="734"/>
      <c r="CM79" s="1808"/>
      <c r="CN79" s="1809"/>
      <c r="CO79" s="734"/>
      <c r="CP79" s="815"/>
      <c r="CQ79" s="816"/>
      <c r="CR79" s="734"/>
      <c r="CS79" s="1808"/>
      <c r="CT79" s="1809"/>
      <c r="CU79" s="734"/>
      <c r="CV79" s="815"/>
      <c r="CW79" s="816"/>
      <c r="CX79" s="1720"/>
      <c r="CY79" s="1808"/>
      <c r="CZ79" s="1809"/>
      <c r="DA79" s="734"/>
      <c r="DB79" s="815"/>
      <c r="DC79" s="816"/>
      <c r="DD79" s="1720"/>
      <c r="DE79" s="1808"/>
      <c r="DF79" s="1809"/>
      <c r="DG79" s="734"/>
      <c r="DH79" s="815"/>
      <c r="DI79" s="816"/>
      <c r="DJ79"/>
      <c r="DK79"/>
      <c r="DL79"/>
      <c r="DM79"/>
      <c r="DN79"/>
      <c r="DO79"/>
    </row>
    <row r="80" spans="1:120" s="10" customFormat="1" ht="11.25" hidden="1" customHeight="1" outlineLevel="1">
      <c r="A80" s="1810" t="s">
        <v>68</v>
      </c>
      <c r="B80" s="734"/>
      <c r="C80" s="1448">
        <f>C78-C15</f>
        <v>0</v>
      </c>
      <c r="D80" s="15"/>
      <c r="E80" s="1448">
        <f>E78-E15</f>
        <v>0</v>
      </c>
      <c r="F80" s="15"/>
      <c r="G80" s="1448">
        <f>G78-G15</f>
        <v>0</v>
      </c>
      <c r="H80" s="15"/>
      <c r="I80" s="1448">
        <f>I78-I15</f>
        <v>0</v>
      </c>
      <c r="J80" s="15"/>
      <c r="K80" s="1448">
        <f>K78-K15</f>
        <v>0</v>
      </c>
      <c r="L80" s="15"/>
      <c r="M80" s="1448">
        <f>M78-M15</f>
        <v>0</v>
      </c>
      <c r="N80" s="15"/>
      <c r="O80" s="1448">
        <f>O78-O15</f>
        <v>0</v>
      </c>
      <c r="P80" s="15"/>
      <c r="Q80" s="1448">
        <f>Q78-Q15</f>
        <v>0</v>
      </c>
      <c r="R80" s="15"/>
      <c r="S80" s="1811">
        <f>S78-S15</f>
        <v>0</v>
      </c>
      <c r="T80" s="1438">
        <f>T78-T15</f>
        <v>0</v>
      </c>
      <c r="U80" s="1438">
        <f>U78-U15</f>
        <v>0</v>
      </c>
      <c r="V80" s="1438">
        <f>V78-V15</f>
        <v>0</v>
      </c>
      <c r="W80" s="1448">
        <f>W78-W15</f>
        <v>0</v>
      </c>
      <c r="X80" s="15"/>
      <c r="Y80" s="1811">
        <f>Y78-Y15</f>
        <v>0</v>
      </c>
      <c r="Z80" s="1438">
        <f>Z78-Z15</f>
        <v>0</v>
      </c>
      <c r="AA80" s="1438">
        <f>AA78-AA15</f>
        <v>0</v>
      </c>
      <c r="AB80" s="1438">
        <f>AB78-AB15</f>
        <v>0</v>
      </c>
      <c r="AC80" s="1448">
        <f>AC78-AC15</f>
        <v>0</v>
      </c>
      <c r="AD80" s="15"/>
      <c r="AE80" s="1811">
        <f>AE78-AE15</f>
        <v>0</v>
      </c>
      <c r="AF80" s="1438">
        <f>AF78-AF15</f>
        <v>0</v>
      </c>
      <c r="AG80" s="1438">
        <f>AG78-AG15</f>
        <v>0</v>
      </c>
      <c r="AH80" s="1438">
        <f>AH78-AH15</f>
        <v>0</v>
      </c>
      <c r="AI80" s="1448">
        <f>AI78-AI15</f>
        <v>0</v>
      </c>
      <c r="AJ80" s="15"/>
      <c r="AK80" s="1811">
        <f>AK78-AK15</f>
        <v>0</v>
      </c>
      <c r="AL80" s="1438">
        <f>AL78-AL15</f>
        <v>0</v>
      </c>
      <c r="AM80" s="1438">
        <f>AM78-AM15</f>
        <v>0</v>
      </c>
      <c r="AN80" s="1438">
        <f>AN78-AN15</f>
        <v>0</v>
      </c>
      <c r="AO80" s="1448">
        <f>AO78-AO15</f>
        <v>0</v>
      </c>
      <c r="AP80" s="15"/>
      <c r="AQ80" s="1811">
        <f>AQ78-AQ15</f>
        <v>0</v>
      </c>
      <c r="AR80" s="1438">
        <f>AR78-AR15</f>
        <v>0</v>
      </c>
      <c r="AS80" s="1438">
        <f>AS78-AS15</f>
        <v>0</v>
      </c>
      <c r="AT80" s="1438">
        <f>AT78-AT15</f>
        <v>0</v>
      </c>
      <c r="AU80" s="1448">
        <f>AU78-AU15</f>
        <v>0</v>
      </c>
      <c r="AV80" s="15"/>
      <c r="AW80" s="1811">
        <f>AW78-AW15</f>
        <v>0</v>
      </c>
      <c r="AX80" s="1438">
        <f>AX78-AX15</f>
        <v>0</v>
      </c>
      <c r="AY80" s="1438">
        <f>AY78-AY15</f>
        <v>0</v>
      </c>
      <c r="AZ80" s="1438">
        <f>AZ78-AZ15</f>
        <v>0</v>
      </c>
      <c r="BA80" s="1448">
        <f>BA78-BA15</f>
        <v>0</v>
      </c>
      <c r="BB80" s="15"/>
      <c r="BC80" s="1811">
        <f>BC78-BC15</f>
        <v>0</v>
      </c>
      <c r="BD80" s="1438">
        <f>BD78-BD15</f>
        <v>0</v>
      </c>
      <c r="BE80" s="1438">
        <f>BE78-BE15</f>
        <v>0</v>
      </c>
      <c r="BF80" s="1438">
        <f>BF78-BF15</f>
        <v>0</v>
      </c>
      <c r="BG80" s="1448">
        <f>BG78-BG15</f>
        <v>0</v>
      </c>
      <c r="BH80" s="15"/>
      <c r="BI80" s="1811">
        <f>BI78-BI15</f>
        <v>0</v>
      </c>
      <c r="BJ80" s="1438">
        <f>BJ78-BJ15</f>
        <v>0</v>
      </c>
      <c r="BK80" s="1438">
        <f>BK78-BK15</f>
        <v>0</v>
      </c>
      <c r="BL80" s="1438">
        <f>BL78-BL15</f>
        <v>0</v>
      </c>
      <c r="BM80" s="1448">
        <f>BM78-BM15</f>
        <v>0</v>
      </c>
      <c r="BN80" s="734"/>
      <c r="BO80" s="1811">
        <f>BO78-BO15</f>
        <v>0</v>
      </c>
      <c r="BP80" s="1438">
        <f>BP78-BP15</f>
        <v>0</v>
      </c>
      <c r="BQ80" s="1438">
        <f>BQ78-BQ15</f>
        <v>0</v>
      </c>
      <c r="BR80" s="1438">
        <f>BR78-BR15</f>
        <v>0</v>
      </c>
      <c r="BS80" s="1448">
        <f>BS78-BS15</f>
        <v>0</v>
      </c>
      <c r="BT80" s="734"/>
      <c r="BU80" s="1811">
        <f>BU78-BU15</f>
        <v>0</v>
      </c>
      <c r="BV80" s="1438">
        <f>BV78-BV15</f>
        <v>0</v>
      </c>
      <c r="BW80" s="1438">
        <f>BW78-BW15</f>
        <v>0</v>
      </c>
      <c r="BX80" s="1438">
        <f>BX78-BX15</f>
        <v>0</v>
      </c>
      <c r="BY80" s="1448">
        <f>BY78-BY15</f>
        <v>0</v>
      </c>
      <c r="BZ80" s="734"/>
      <c r="CA80" s="1811">
        <f>CA78-CA15</f>
        <v>0</v>
      </c>
      <c r="CB80" s="1438">
        <f>CB78-CB15</f>
        <v>0</v>
      </c>
      <c r="CC80" s="1438">
        <f>CC78-CC15</f>
        <v>0</v>
      </c>
      <c r="CD80" s="1438">
        <f>CD78-CD15</f>
        <v>0</v>
      </c>
      <c r="CE80" s="1448">
        <f>CE78-CE15</f>
        <v>0</v>
      </c>
      <c r="CF80" s="734"/>
      <c r="CG80" s="1811">
        <f>CG78-CG15</f>
        <v>0</v>
      </c>
      <c r="CH80" s="1438">
        <f>CH78-CH15</f>
        <v>0</v>
      </c>
      <c r="CI80" s="1438">
        <f>CI78-CI15</f>
        <v>0</v>
      </c>
      <c r="CJ80" s="1438">
        <f>CJ78-CJ15</f>
        <v>0</v>
      </c>
      <c r="CK80" s="1448">
        <f>CK78-CK15</f>
        <v>0</v>
      </c>
      <c r="CL80" s="734"/>
      <c r="CM80" s="1812"/>
      <c r="CN80" s="1443"/>
      <c r="CO80" s="734"/>
      <c r="CP80" s="815"/>
      <c r="CQ80" s="816"/>
      <c r="CR80" s="734"/>
      <c r="CS80" s="1812"/>
      <c r="CT80" s="1443"/>
      <c r="CU80" s="734"/>
      <c r="CV80" s="815"/>
      <c r="CW80" s="816"/>
      <c r="CX80" s="1720"/>
      <c r="CY80" s="1812"/>
      <c r="CZ80" s="1443"/>
      <c r="DA80" s="734"/>
      <c r="DB80" s="815"/>
      <c r="DC80" s="816"/>
      <c r="DD80" s="1720"/>
      <c r="DE80" s="1812"/>
      <c r="DF80" s="1443"/>
      <c r="DG80" s="734"/>
      <c r="DH80" s="815"/>
      <c r="DI80" s="816"/>
      <c r="DJ80"/>
      <c r="DK80"/>
      <c r="DL80"/>
      <c r="DM80"/>
      <c r="DN80"/>
      <c r="DO80"/>
    </row>
    <row r="81" spans="1:119" s="10" customFormat="1" ht="11.25" customHeight="1" collapsed="1">
      <c r="A81" s="1810"/>
      <c r="B81" s="734"/>
      <c r="C81" s="1813"/>
      <c r="D81" s="734"/>
      <c r="E81" s="1813"/>
      <c r="F81" s="734"/>
      <c r="G81" s="1813"/>
      <c r="H81" s="734"/>
      <c r="I81" s="1813"/>
      <c r="J81" s="734"/>
      <c r="K81" s="1813"/>
      <c r="L81" s="734"/>
      <c r="M81" s="1813"/>
      <c r="N81" s="734"/>
      <c r="O81" s="1813"/>
      <c r="P81" s="734"/>
      <c r="Q81" s="1813"/>
      <c r="R81" s="734"/>
      <c r="S81" s="1814"/>
      <c r="T81" s="1815"/>
      <c r="U81" s="1815"/>
      <c r="V81" s="1815"/>
      <c r="W81" s="1813"/>
      <c r="X81" s="734"/>
      <c r="Y81" s="1814"/>
      <c r="Z81" s="1815"/>
      <c r="AA81" s="1815"/>
      <c r="AB81" s="1815"/>
      <c r="AC81" s="1813"/>
      <c r="AD81" s="734"/>
      <c r="AE81" s="1814"/>
      <c r="AF81" s="1815"/>
      <c r="AG81" s="1815"/>
      <c r="AH81" s="1815"/>
      <c r="AI81" s="1813"/>
      <c r="AJ81" s="734"/>
      <c r="AK81" s="1814"/>
      <c r="AL81" s="1815"/>
      <c r="AM81" s="1815"/>
      <c r="AN81" s="1815"/>
      <c r="AO81" s="1813"/>
      <c r="AP81" s="734"/>
      <c r="AQ81" s="1814"/>
      <c r="AR81" s="1815"/>
      <c r="AS81" s="1815"/>
      <c r="AT81" s="1815"/>
      <c r="AU81" s="1813"/>
      <c r="AV81" s="734"/>
      <c r="AW81" s="1814"/>
      <c r="AX81" s="1815"/>
      <c r="AY81" s="1815"/>
      <c r="AZ81" s="1815"/>
      <c r="BA81" s="1813"/>
      <c r="BB81" s="734"/>
      <c r="BC81" s="1814"/>
      <c r="BD81" s="1815"/>
      <c r="BE81" s="1815"/>
      <c r="BF81" s="815"/>
      <c r="BG81" s="1813"/>
      <c r="BH81" s="734"/>
      <c r="BI81" s="1814"/>
      <c r="BJ81" s="1815"/>
      <c r="BK81" s="1815"/>
      <c r="BL81" s="815"/>
      <c r="BM81" s="1813"/>
      <c r="BN81" s="734"/>
      <c r="BO81" s="1814"/>
      <c r="BP81" s="1443"/>
      <c r="BQ81" s="1443"/>
      <c r="BR81" s="815"/>
      <c r="BS81" s="1813"/>
      <c r="BT81" s="734"/>
      <c r="BU81" s="1812"/>
      <c r="BV81" s="1443"/>
      <c r="BW81" s="1443"/>
      <c r="BX81" s="815"/>
      <c r="BY81" s="1813"/>
      <c r="BZ81" s="734"/>
      <c r="CA81" s="1812"/>
      <c r="CB81" s="1443"/>
      <c r="CC81" s="734"/>
      <c r="CD81" s="815"/>
      <c r="CE81" s="1813"/>
      <c r="CF81" s="734"/>
      <c r="CG81" s="1812"/>
      <c r="CH81" s="1443"/>
      <c r="CI81" s="1443"/>
      <c r="CJ81" s="815"/>
      <c r="CK81" s="1813"/>
      <c r="CL81" s="734"/>
      <c r="CM81" s="1812"/>
      <c r="CN81" s="1443"/>
      <c r="CO81" s="734"/>
      <c r="CP81" s="815"/>
      <c r="CQ81" s="816"/>
      <c r="CR81" s="734"/>
      <c r="CS81" s="1812"/>
      <c r="CT81" s="1443"/>
      <c r="CU81" s="734"/>
      <c r="CV81" s="815"/>
      <c r="CW81" s="816"/>
      <c r="CX81" s="1720"/>
      <c r="CY81" s="1812"/>
      <c r="CZ81" s="1443"/>
      <c r="DA81" s="734"/>
      <c r="DB81" s="815"/>
      <c r="DC81" s="816"/>
      <c r="DD81" s="1720"/>
      <c r="DE81" s="1812"/>
      <c r="DF81" s="1443"/>
      <c r="DG81" s="734"/>
      <c r="DH81" s="815"/>
      <c r="DI81" s="816"/>
      <c r="DJ81"/>
      <c r="DK81"/>
      <c r="DL81"/>
      <c r="DM81"/>
      <c r="DN81"/>
      <c r="DO81"/>
    </row>
    <row r="82" spans="1:119" s="10" customFormat="1" ht="11.25" customHeight="1">
      <c r="A82" s="1798" t="s">
        <v>58</v>
      </c>
      <c r="B82" s="734"/>
      <c r="C82" s="1816">
        <f>7.435+2.212</f>
        <v>9.6470000000000002</v>
      </c>
      <c r="D82" s="733"/>
      <c r="E82" s="1816">
        <f>11.345+3.411</f>
        <v>14.756</v>
      </c>
      <c r="F82" s="733"/>
      <c r="G82" s="1816">
        <f>13.806+5.057</f>
        <v>18.863</v>
      </c>
      <c r="H82" s="733"/>
      <c r="I82" s="1816">
        <f>21.711+6.007</f>
        <v>27.717999999999996</v>
      </c>
      <c r="J82" s="733"/>
      <c r="K82" s="1816">
        <f>48.146+15.274</f>
        <v>63.42</v>
      </c>
      <c r="L82" s="733"/>
      <c r="M82" s="1816">
        <f>51.707+17.335</f>
        <v>69.042000000000002</v>
      </c>
      <c r="N82" s="733"/>
      <c r="O82" s="1816">
        <f>55.976+20.399</f>
        <v>76.375</v>
      </c>
      <c r="P82" s="733"/>
      <c r="Q82" s="1816">
        <f>70.458+25.601</f>
        <v>96.058999999999997</v>
      </c>
      <c r="R82" s="733"/>
      <c r="S82" s="1456">
        <f>18.832+6.607</f>
        <v>25.439</v>
      </c>
      <c r="T82" s="1817">
        <f>20.9+6.473</f>
        <v>27.372999999999998</v>
      </c>
      <c r="U82" s="1817">
        <f>19.063+7.239</f>
        <v>26.302</v>
      </c>
      <c r="V82" s="1817">
        <f>84.007+28.982-SUM(S82:U82)</f>
        <v>33.875</v>
      </c>
      <c r="W82" s="817">
        <f>SUM(S82:V82)</f>
        <v>112.989</v>
      </c>
      <c r="X82" s="733"/>
      <c r="Y82" s="1456">
        <f>35.462+13.413</f>
        <v>48.875</v>
      </c>
      <c r="Z82" s="1817">
        <f>37.029+13.442</f>
        <v>50.471000000000004</v>
      </c>
      <c r="AA82" s="1817">
        <f>38.327+15.58</f>
        <v>53.906999999999996</v>
      </c>
      <c r="AB82" s="1817">
        <f>160.1+59.6-SUM(Y82:AA82)</f>
        <v>66.447000000000003</v>
      </c>
      <c r="AC82" s="817">
        <f>SUM(Y82:AB82)</f>
        <v>219.7</v>
      </c>
      <c r="AD82" s="733"/>
      <c r="AE82" s="1456">
        <f>44.4+16.8</f>
        <v>61.2</v>
      </c>
      <c r="AF82" s="1817">
        <f>47.1+17.2</f>
        <v>64.3</v>
      </c>
      <c r="AG82" s="1817">
        <f>45.2+17.7</f>
        <v>62.900000000000006</v>
      </c>
      <c r="AH82" s="1817">
        <f>183.8+70.7-SUM(AE82:AG82)</f>
        <v>66.099999999999994</v>
      </c>
      <c r="AI82" s="817">
        <f>SUM(AE82:AH82)</f>
        <v>254.5</v>
      </c>
      <c r="AJ82" s="733"/>
      <c r="AK82" s="1456">
        <f>42.6+16.3</f>
        <v>58.900000000000006</v>
      </c>
      <c r="AL82" s="1817">
        <f>60.4+0.5</f>
        <v>60.9</v>
      </c>
      <c r="AM82" s="1817">
        <f>61.2+0.4</f>
        <v>61.6</v>
      </c>
      <c r="AN82" s="1817">
        <f>253.3+1.8-SUM(AK82:AM82)</f>
        <v>73.700000000000017</v>
      </c>
      <c r="AO82" s="817">
        <f>SUM(AK82:AN82)</f>
        <v>255.10000000000002</v>
      </c>
      <c r="AP82" s="733"/>
      <c r="AQ82" s="1456">
        <f>65.6+0.5</f>
        <v>66.099999999999994</v>
      </c>
      <c r="AR82" s="1817">
        <f>64+0.3</f>
        <v>64.3</v>
      </c>
      <c r="AS82" s="1817">
        <f>72.2+0.6</f>
        <v>72.8</v>
      </c>
      <c r="AT82" s="1817">
        <f>297.3+1.5-AQ82-AR82-AS82</f>
        <v>95.600000000000037</v>
      </c>
      <c r="AU82" s="817">
        <f>SUM(AQ82:AT82)</f>
        <v>298.8</v>
      </c>
      <c r="AV82" s="733"/>
      <c r="AW82" s="1456">
        <f>88.7+3.9</f>
        <v>92.600000000000009</v>
      </c>
      <c r="AX82" s="1817">
        <f>97.5+0.7</f>
        <v>98.2</v>
      </c>
      <c r="AY82" s="1817">
        <f>101.3+0.8</f>
        <v>102.1</v>
      </c>
      <c r="AZ82" s="1817">
        <f>403.6+3-AW82-AX82-AY82</f>
        <v>113.70000000000002</v>
      </c>
      <c r="BA82" s="817">
        <f>SUM(AW82:AZ82)</f>
        <v>406.6</v>
      </c>
      <c r="BB82" s="733"/>
      <c r="BC82" s="1801">
        <v>104.4</v>
      </c>
      <c r="BD82" s="1440">
        <v>110.6</v>
      </c>
      <c r="BE82" s="1440">
        <v>102.9</v>
      </c>
      <c r="BF82" s="1817">
        <f>442.4-BC82-BD82-BE82</f>
        <v>124.5</v>
      </c>
      <c r="BG82" s="817">
        <f>SUM(BC82:BF82)</f>
        <v>442.4</v>
      </c>
      <c r="BH82" s="733"/>
      <c r="BI82" s="1801">
        <v>106.8</v>
      </c>
      <c r="BJ82" s="1440">
        <v>107.1</v>
      </c>
      <c r="BK82" s="1440">
        <v>105.7</v>
      </c>
      <c r="BL82" s="1817">
        <v>118.3</v>
      </c>
      <c r="BM82" s="817">
        <f>SUM(BI82:BL82)</f>
        <v>437.9</v>
      </c>
      <c r="BN82" s="733"/>
      <c r="BO82" s="1801">
        <v>109.5</v>
      </c>
      <c r="BP82" s="1440">
        <v>115</v>
      </c>
      <c r="BQ82" s="1440">
        <v>108</v>
      </c>
      <c r="BR82" s="1817">
        <v>118.5</v>
      </c>
      <c r="BS82" s="817">
        <f>SUM(BO82:BR82)</f>
        <v>451</v>
      </c>
      <c r="BT82" s="733"/>
      <c r="BU82" s="1456">
        <v>94.6</v>
      </c>
      <c r="BV82" s="1440">
        <v>98.5</v>
      </c>
      <c r="BW82" s="1440">
        <v>96.1</v>
      </c>
      <c r="BX82" s="1817">
        <v>103</v>
      </c>
      <c r="BY82" s="817">
        <f>SUM(BU82:BX82)</f>
        <v>392.2</v>
      </c>
      <c r="BZ82" s="733"/>
      <c r="CA82" s="2044">
        <v>92.7</v>
      </c>
      <c r="CB82" s="2045">
        <v>100.9</v>
      </c>
      <c r="CC82" s="2045">
        <v>96.8</v>
      </c>
      <c r="CD82" s="2045">
        <v>100.1</v>
      </c>
      <c r="CE82" s="817">
        <f>SUM(CA82:CD82)</f>
        <v>390.5</v>
      </c>
      <c r="CF82" s="733"/>
      <c r="CG82" s="2044">
        <v>98.1</v>
      </c>
      <c r="CH82" s="2045">
        <v>102.8</v>
      </c>
      <c r="CI82" s="2045">
        <v>102.9</v>
      </c>
      <c r="CJ82" s="2045">
        <v>112.1</v>
      </c>
      <c r="CK82" s="817">
        <f>SUM(CG82:CJ82)</f>
        <v>415.9</v>
      </c>
      <c r="CL82" s="733"/>
      <c r="CM82" s="1709"/>
      <c r="CN82" s="733"/>
      <c r="CO82" s="733"/>
      <c r="CP82" s="1803"/>
      <c r="CQ82" s="818"/>
      <c r="CR82" s="733"/>
      <c r="CS82" s="1709"/>
      <c r="CT82" s="733"/>
      <c r="CU82" s="733"/>
      <c r="CV82" s="1803"/>
      <c r="CW82" s="818"/>
      <c r="CX82" s="478"/>
      <c r="CY82" s="1709"/>
      <c r="CZ82" s="733"/>
      <c r="DA82" s="733"/>
      <c r="DB82" s="1803"/>
      <c r="DC82" s="818"/>
      <c r="DD82" s="478"/>
      <c r="DE82" s="1709"/>
      <c r="DF82" s="733"/>
      <c r="DG82" s="733"/>
      <c r="DH82" s="1803"/>
      <c r="DI82" s="818"/>
      <c r="DJ82"/>
      <c r="DK82"/>
      <c r="DL82"/>
      <c r="DM82"/>
      <c r="DN82"/>
      <c r="DO82"/>
    </row>
    <row r="83" spans="1:119" s="10" customFormat="1" ht="11.25" customHeight="1">
      <c r="A83" s="1463" t="s">
        <v>477</v>
      </c>
      <c r="B83" s="734"/>
      <c r="C83" s="1101">
        <v>0</v>
      </c>
      <c r="D83" s="734"/>
      <c r="E83" s="1101">
        <v>0</v>
      </c>
      <c r="F83" s="734"/>
      <c r="G83" s="1101">
        <v>0</v>
      </c>
      <c r="H83" s="734"/>
      <c r="I83" s="1101">
        <v>0</v>
      </c>
      <c r="J83" s="734"/>
      <c r="K83" s="1101">
        <v>0</v>
      </c>
      <c r="L83" s="734"/>
      <c r="M83" s="1101">
        <v>-0.245</v>
      </c>
      <c r="N83" s="734"/>
      <c r="O83" s="1101">
        <v>0</v>
      </c>
      <c r="P83" s="734"/>
      <c r="Q83" s="1101">
        <v>0</v>
      </c>
      <c r="R83" s="734"/>
      <c r="S83" s="1107">
        <v>0</v>
      </c>
      <c r="T83" s="1104">
        <v>0</v>
      </c>
      <c r="U83" s="1104">
        <v>0</v>
      </c>
      <c r="V83" s="1104">
        <v>0</v>
      </c>
      <c r="W83" s="533">
        <f>SUM(S83:V83)</f>
        <v>0</v>
      </c>
      <c r="X83" s="734"/>
      <c r="Y83" s="1107">
        <v>0</v>
      </c>
      <c r="Z83" s="1104">
        <v>0</v>
      </c>
      <c r="AA83" s="1104">
        <v>0</v>
      </c>
      <c r="AB83" s="1104">
        <v>0</v>
      </c>
      <c r="AC83" s="533">
        <f>SUM(Y83:AB83)</f>
        <v>0</v>
      </c>
      <c r="AD83" s="734"/>
      <c r="AE83" s="1107">
        <v>0</v>
      </c>
      <c r="AF83" s="1104">
        <v>0</v>
      </c>
      <c r="AG83" s="1104">
        <v>0</v>
      </c>
      <c r="AH83" s="1104">
        <v>0</v>
      </c>
      <c r="AI83" s="533">
        <f>SUM(AE83:AH83)</f>
        <v>0</v>
      </c>
      <c r="AJ83" s="734"/>
      <c r="AK83" s="1107">
        <v>-0.4</v>
      </c>
      <c r="AL83" s="1104">
        <v>-0.5</v>
      </c>
      <c r="AM83" s="1104">
        <v>-0.4</v>
      </c>
      <c r="AN83" s="23">
        <f>-1.8-SUM(AK83:AM83)</f>
        <v>-0.5</v>
      </c>
      <c r="AO83" s="533">
        <f>SUM(AK83:AN83)</f>
        <v>-1.8</v>
      </c>
      <c r="AP83" s="734"/>
      <c r="AQ83" s="1107">
        <v>-0.5</v>
      </c>
      <c r="AR83" s="1104">
        <v>-0.3</v>
      </c>
      <c r="AS83" s="1104">
        <v>-0.6</v>
      </c>
      <c r="AT83" s="23">
        <f>-1.5-SUM(AQ83:AS83)</f>
        <v>-0.10000000000000009</v>
      </c>
      <c r="AU83" s="533">
        <f>SUM(AQ83:AT83)</f>
        <v>-1.5</v>
      </c>
      <c r="AV83" s="734"/>
      <c r="AW83" s="1107">
        <v>-3.9</v>
      </c>
      <c r="AX83" s="1104">
        <v>-0.7</v>
      </c>
      <c r="AY83" s="1104">
        <v>-0.8</v>
      </c>
      <c r="AZ83" s="23">
        <f>-3-SUM(AW83:AY83)</f>
        <v>2.3999999999999995</v>
      </c>
      <c r="BA83" s="533">
        <f>SUM(AW83:AZ83)</f>
        <v>-3</v>
      </c>
      <c r="BB83" s="734"/>
      <c r="BC83" s="1455">
        <f>-(5.1-4.3)</f>
        <v>-0.79999999999999982</v>
      </c>
      <c r="BD83" s="1104">
        <v>-0.9</v>
      </c>
      <c r="BE83" s="23">
        <f>(4.7-5.5)</f>
        <v>-0.79999999999999982</v>
      </c>
      <c r="BF83" s="23">
        <f>(18.6-22)-SUM(BC83:BE83)</f>
        <v>-0.89999999999999902</v>
      </c>
      <c r="BG83" s="533">
        <f>SUM(BC83:BF83)</f>
        <v>-3.3999999999999986</v>
      </c>
      <c r="BH83" s="734"/>
      <c r="BI83" s="1455">
        <f>-5.1+BI76</f>
        <v>-0.29999999999999982</v>
      </c>
      <c r="BJ83" s="23">
        <f>-5.1+BJ76</f>
        <v>-0.39999999999999947</v>
      </c>
      <c r="BK83" s="23">
        <f>-5.1+BK76</f>
        <v>-0.29999999999999982</v>
      </c>
      <c r="BL83" s="23">
        <f>-5.4+BL76</f>
        <v>-0.40000000000000036</v>
      </c>
      <c r="BM83" s="533">
        <f>SUM(BI83:BL83)</f>
        <v>-1.3999999999999995</v>
      </c>
      <c r="BN83" s="734"/>
      <c r="BO83" s="1455">
        <f>-5.2+BO76</f>
        <v>-0.40000000000000036</v>
      </c>
      <c r="BP83" s="23">
        <f>-4.8+BP76</f>
        <v>-0.39999999999999947</v>
      </c>
      <c r="BQ83" s="23">
        <f>-1.4+BQ76</f>
        <v>-1.2</v>
      </c>
      <c r="BR83" s="23">
        <f>-5.1+BR76</f>
        <v>-0.59999999999999964</v>
      </c>
      <c r="BS83" s="533">
        <f>SUM(BO83:BR83)</f>
        <v>-2.5999999999999996</v>
      </c>
      <c r="BT83" s="734"/>
      <c r="BU83" s="1455">
        <f>-5.2+BU76</f>
        <v>-0.5</v>
      </c>
      <c r="BV83" s="23">
        <f>-5.2+BV76</f>
        <v>-0.5</v>
      </c>
      <c r="BW83" s="23">
        <f>-5.1+BW76</f>
        <v>-0.5</v>
      </c>
      <c r="BX83" s="23">
        <f>-5.3+BX76</f>
        <v>-0.59999999999999964</v>
      </c>
      <c r="BY83" s="533">
        <f>SUM(BU83:BX83)</f>
        <v>-2.0999999999999996</v>
      </c>
      <c r="BZ83" s="734"/>
      <c r="CA83" s="1455">
        <f>-(5.4-CA76)</f>
        <v>-0.80000000000000071</v>
      </c>
      <c r="CB83" s="23">
        <f>-(8.1-CB76)</f>
        <v>-3.3999999999999995</v>
      </c>
      <c r="CC83" s="23">
        <f>-(5.4-CC76)</f>
        <v>-0.70000000000000018</v>
      </c>
      <c r="CD83" s="23">
        <f>-(5.5-CD76)</f>
        <v>-0.79999999999999982</v>
      </c>
      <c r="CE83" s="533">
        <f>SUM(CA83:CD83)</f>
        <v>-5.7</v>
      </c>
      <c r="CF83" s="734"/>
      <c r="CG83" s="1455">
        <f>-(6.9-CG76)</f>
        <v>-1.5</v>
      </c>
      <c r="CH83" s="23">
        <f>-(7.5-CH76)</f>
        <v>-1.9000000000000004</v>
      </c>
      <c r="CI83" s="23">
        <f>-(8.2-CI76)</f>
        <v>-0.79999999999999893</v>
      </c>
      <c r="CJ83" s="23">
        <f>-(7-CJ76)</f>
        <v>-1.4000000000000004</v>
      </c>
      <c r="CK83" s="533">
        <f>SUM(CG83:CJ83)</f>
        <v>-5.6</v>
      </c>
      <c r="CL83" s="734"/>
      <c r="CM83" s="822"/>
      <c r="CN83" s="15"/>
      <c r="CO83" s="734"/>
      <c r="CP83" s="815"/>
      <c r="CQ83" s="816"/>
      <c r="CR83" s="734"/>
      <c r="CS83" s="822"/>
      <c r="CT83" s="15"/>
      <c r="CU83" s="734"/>
      <c r="CV83" s="815"/>
      <c r="CW83" s="816"/>
      <c r="CX83" s="1720"/>
      <c r="CY83" s="822"/>
      <c r="CZ83" s="15"/>
      <c r="DA83" s="734"/>
      <c r="DB83" s="815"/>
      <c r="DC83" s="816"/>
      <c r="DD83" s="1720"/>
      <c r="DE83" s="822"/>
      <c r="DF83" s="15"/>
      <c r="DG83" s="734"/>
      <c r="DH83" s="815"/>
      <c r="DI83" s="816"/>
      <c r="DJ83"/>
      <c r="DK83"/>
      <c r="DL83"/>
      <c r="DM83"/>
      <c r="DN83"/>
      <c r="DO83"/>
    </row>
    <row r="84" spans="1:119" s="10" customFormat="1" ht="11.25" customHeight="1">
      <c r="A84" s="1463" t="s">
        <v>56</v>
      </c>
      <c r="B84" s="734"/>
      <c r="C84" s="1101">
        <v>0</v>
      </c>
      <c r="D84" s="734"/>
      <c r="E84" s="1101">
        <v>0</v>
      </c>
      <c r="F84" s="734"/>
      <c r="G84" s="1101">
        <v>0</v>
      </c>
      <c r="H84" s="734"/>
      <c r="I84" s="1101">
        <v>0</v>
      </c>
      <c r="J84" s="734"/>
      <c r="K84" s="1101">
        <v>0</v>
      </c>
      <c r="L84" s="734"/>
      <c r="M84" s="1101">
        <v>0</v>
      </c>
      <c r="N84" s="734"/>
      <c r="O84" s="1101">
        <v>0</v>
      </c>
      <c r="P84" s="734"/>
      <c r="Q84" s="1101">
        <v>0</v>
      </c>
      <c r="R84" s="734"/>
      <c r="S84" s="1107">
        <v>0</v>
      </c>
      <c r="T84" s="1104">
        <v>0</v>
      </c>
      <c r="U84" s="1104">
        <v>0</v>
      </c>
      <c r="V84" s="1104">
        <v>0</v>
      </c>
      <c r="W84" s="533">
        <f>SUM(S84:V84)</f>
        <v>0</v>
      </c>
      <c r="X84" s="734"/>
      <c r="Y84" s="1107">
        <v>-0.39400000000000002</v>
      </c>
      <c r="Z84" s="1104">
        <v>-0.40300000000000002</v>
      </c>
      <c r="AA84" s="1104">
        <v>-0.7</v>
      </c>
      <c r="AB84" s="23">
        <f>-2.2-Y84-Z84-AA84</f>
        <v>-0.70300000000000007</v>
      </c>
      <c r="AC84" s="533">
        <f>SUM(Y84:AB84)</f>
        <v>-2.2000000000000002</v>
      </c>
      <c r="AD84" s="734"/>
      <c r="AE84" s="1107">
        <v>-0.7</v>
      </c>
      <c r="AF84" s="1104">
        <v>-1.1000000000000001</v>
      </c>
      <c r="AG84" s="1104">
        <v>-1.3</v>
      </c>
      <c r="AH84" s="23">
        <f>-4.5-AE84-AF84-AG84</f>
        <v>-1.3999999999999997</v>
      </c>
      <c r="AI84" s="533">
        <f>SUM(AE84:AH84)</f>
        <v>-4.5</v>
      </c>
      <c r="AJ84" s="734"/>
      <c r="AK84" s="1107">
        <v>0</v>
      </c>
      <c r="AL84" s="1104">
        <v>0</v>
      </c>
      <c r="AM84" s="1104">
        <v>0</v>
      </c>
      <c r="AN84" s="1104">
        <v>0</v>
      </c>
      <c r="AO84" s="533">
        <f>SUM(AK84:AN84)</f>
        <v>0</v>
      </c>
      <c r="AP84" s="734"/>
      <c r="AQ84" s="1455">
        <f>-(1.6-0.2)</f>
        <v>-1.4000000000000001</v>
      </c>
      <c r="AR84" s="23">
        <f>-(1.7-0.2)</f>
        <v>-1.5</v>
      </c>
      <c r="AS84" s="23">
        <f>-(1.7-0.3)</f>
        <v>-1.4</v>
      </c>
      <c r="AT84" s="23">
        <f>-(6.9-1)-AQ84-AR84-AS84</f>
        <v>-1.6</v>
      </c>
      <c r="AU84" s="533">
        <f>SUM(AQ84:AT84)</f>
        <v>-5.9</v>
      </c>
      <c r="AV84" s="734"/>
      <c r="AW84" s="1107">
        <v>-1.5</v>
      </c>
      <c r="AX84" s="23">
        <f>-(1.9-0.3)</f>
        <v>-1.5999999999999999</v>
      </c>
      <c r="AY84" s="23">
        <f>-(2.1-0.2)</f>
        <v>-1.9000000000000001</v>
      </c>
      <c r="AZ84" s="23">
        <f>-(7.9-1.1)-AW84-AX84-AY84</f>
        <v>-1.8000000000000009</v>
      </c>
      <c r="BA84" s="533">
        <f>SUM(AW84:AZ84)</f>
        <v>-6.8000000000000007</v>
      </c>
      <c r="BB84" s="734"/>
      <c r="BC84" s="1107">
        <v>0</v>
      </c>
      <c r="BD84" s="1104">
        <v>0</v>
      </c>
      <c r="BE84" s="1104">
        <v>0</v>
      </c>
      <c r="BF84" s="23">
        <f>0-SUM(BC84:BE84)</f>
        <v>0</v>
      </c>
      <c r="BG84" s="533">
        <f>SUM(BC84:BF84)</f>
        <v>0</v>
      </c>
      <c r="BH84" s="734"/>
      <c r="BI84" s="1455">
        <f>(-0.6+0.2)-3.2-2.5</f>
        <v>-6.1</v>
      </c>
      <c r="BJ84" s="23">
        <f>-1.8+(-0.3+0.2)-2.6</f>
        <v>-4.5</v>
      </c>
      <c r="BK84" s="23">
        <f>-8.6+(-1.3+0.2)-0.8</f>
        <v>-10.5</v>
      </c>
      <c r="BL84" s="23">
        <f>(-11.7+7.1)+(-2.3+0.3)-0.9</f>
        <v>-7.5</v>
      </c>
      <c r="BM84" s="533">
        <f>SUM(BI84:BL84)</f>
        <v>-28.6</v>
      </c>
      <c r="BN84" s="734"/>
      <c r="BO84" s="1455">
        <f>(-2.4+2.2)+(-1.1+0.5)-2.8</f>
        <v>-3.5999999999999996</v>
      </c>
      <c r="BP84" s="23">
        <f>(-10.7+6.7)+(-0.5+0.2)-1.3</f>
        <v>-5.5999999999999988</v>
      </c>
      <c r="BQ84" s="23">
        <f>+(-16.2+13.4)+(-5.1+4.6)+(-8.3)</f>
        <v>-11.6</v>
      </c>
      <c r="BR84" s="23">
        <f>+(-6.8+2.7)+(-1+0.2)+(-6.3)</f>
        <v>-11.2</v>
      </c>
      <c r="BS84" s="533">
        <f>SUM(BO84:BR84)</f>
        <v>-31.999999999999996</v>
      </c>
      <c r="BT84" s="734"/>
      <c r="BU84" s="1455">
        <f>(-3.3+2)+(-0.2+0.2)+(-11.9)</f>
        <v>-13.2</v>
      </c>
      <c r="BV84" s="23">
        <f>-(5.2-4.2)+(2.8+0.1)-(3.7-0)</f>
        <v>-1.8000000000000003</v>
      </c>
      <c r="BW84" s="23">
        <f>-(12.7-9.7)-(1.2-0.9)-5.6</f>
        <v>-8.8999999999999986</v>
      </c>
      <c r="BX84" s="23">
        <f>-(8.1-5.3)+(3.3+1.3)-2.9</f>
        <v>-1.1000000000000001</v>
      </c>
      <c r="BY84" s="533">
        <f>SUM(BU84:BX84)</f>
        <v>-25</v>
      </c>
      <c r="BZ84" s="734"/>
      <c r="CA84" s="1455">
        <f>-(1.9+3.8+2.2-CA77-CA75)</f>
        <v>-3.8999999999999995</v>
      </c>
      <c r="CB84" s="23">
        <f>-(3.7+5.4+2.4-CB77-CB75)</f>
        <v>-9.4000000000000021</v>
      </c>
      <c r="CC84" s="23">
        <f>-(5.3+0.4+1.6-CC77-CC75)</f>
        <v>-4.6000000000000005</v>
      </c>
      <c r="CD84" s="23">
        <f>-(8+0.7+0.9-CD77-CD75)</f>
        <v>-5.2</v>
      </c>
      <c r="CE84" s="533">
        <f>SUM(CA84:CD84)</f>
        <v>-23.1</v>
      </c>
      <c r="CF84" s="734"/>
      <c r="CG84" s="1455">
        <f>-(0.1+2.8+1.8-CG77-CG75)</f>
        <v>-3.1</v>
      </c>
      <c r="CH84" s="23">
        <f>-(3.8+5.9+1-CH77-CH75)</f>
        <v>-6.3999999999999995</v>
      </c>
      <c r="CI84" s="23">
        <v>-4.3</v>
      </c>
      <c r="CJ84" s="23">
        <v>-5.8999999999999888</v>
      </c>
      <c r="CK84" s="533">
        <f>SUM(CG84:CJ84)</f>
        <v>-19.699999999999989</v>
      </c>
      <c r="CL84" s="734"/>
      <c r="CM84" s="822"/>
      <c r="CN84" s="15"/>
      <c r="CO84" s="734"/>
      <c r="CP84" s="815"/>
      <c r="CQ84" s="816"/>
      <c r="CR84" s="734"/>
      <c r="CS84" s="822"/>
      <c r="CT84" s="15"/>
      <c r="CU84" s="734"/>
      <c r="CV84" s="815"/>
      <c r="CW84" s="816"/>
      <c r="CX84" s="1720"/>
      <c r="CY84" s="822"/>
      <c r="CZ84" s="15"/>
      <c r="DA84" s="734"/>
      <c r="DB84" s="815"/>
      <c r="DC84" s="816"/>
      <c r="DD84" s="1720"/>
      <c r="DE84" s="822"/>
      <c r="DF84" s="15"/>
      <c r="DG84" s="734"/>
      <c r="DH84" s="815"/>
      <c r="DI84" s="816"/>
      <c r="DJ84"/>
      <c r="DK84"/>
      <c r="DL84"/>
      <c r="DM84"/>
      <c r="DN84"/>
      <c r="DO84"/>
    </row>
    <row r="85" spans="1:119" s="10" customFormat="1" ht="11.25" customHeight="1">
      <c r="A85" s="1798" t="s">
        <v>59</v>
      </c>
      <c r="B85" s="734"/>
      <c r="C85" s="817">
        <f>SUM(C82:C84)</f>
        <v>9.6470000000000002</v>
      </c>
      <c r="D85" s="733"/>
      <c r="E85" s="817">
        <f>SUM(E82:E84)</f>
        <v>14.756</v>
      </c>
      <c r="F85" s="733"/>
      <c r="G85" s="817">
        <f>SUM(G82:G84)</f>
        <v>18.863</v>
      </c>
      <c r="H85" s="733"/>
      <c r="I85" s="817">
        <f>SUM(I82:I84)</f>
        <v>27.717999999999996</v>
      </c>
      <c r="J85" s="733"/>
      <c r="K85" s="817">
        <f>SUM(K82:K84)</f>
        <v>63.42</v>
      </c>
      <c r="L85" s="733"/>
      <c r="M85" s="817">
        <f>SUM(M82:M84)</f>
        <v>68.796999999999997</v>
      </c>
      <c r="N85" s="733"/>
      <c r="O85" s="817">
        <f>SUM(O82:O84)</f>
        <v>76.375</v>
      </c>
      <c r="P85" s="733"/>
      <c r="Q85" s="817">
        <f>SUM(Q82:Q84)</f>
        <v>96.058999999999997</v>
      </c>
      <c r="R85" s="733"/>
      <c r="S85" s="1710">
        <f>SUM(S82:S84)</f>
        <v>25.439</v>
      </c>
      <c r="T85" s="478">
        <f>SUM(T82:T84)</f>
        <v>27.372999999999998</v>
      </c>
      <c r="U85" s="478">
        <f>SUM(U82:U84)</f>
        <v>26.302</v>
      </c>
      <c r="V85" s="478">
        <f>SUM(V82:V84)</f>
        <v>33.875</v>
      </c>
      <c r="W85" s="817">
        <f>SUM(W82:W84)</f>
        <v>112.989</v>
      </c>
      <c r="X85" s="733"/>
      <c r="Y85" s="1710">
        <f>SUM(Y82:Y84)</f>
        <v>48.481000000000002</v>
      </c>
      <c r="Z85" s="478">
        <f>SUM(Z82:Z84)</f>
        <v>50.068000000000005</v>
      </c>
      <c r="AA85" s="478">
        <f>SUM(AA82:AA84)</f>
        <v>53.206999999999994</v>
      </c>
      <c r="AB85" s="478">
        <f>SUM(AB82:AB84)</f>
        <v>65.744</v>
      </c>
      <c r="AC85" s="817">
        <f>SUM(AC82:AC84)</f>
        <v>217.5</v>
      </c>
      <c r="AD85" s="733"/>
      <c r="AE85" s="1710">
        <f>SUM(AE82:AE84)</f>
        <v>60.5</v>
      </c>
      <c r="AF85" s="478">
        <f>SUM(AF82:AF84)</f>
        <v>63.199999999999996</v>
      </c>
      <c r="AG85" s="478">
        <f>SUM(AG82:AG84)</f>
        <v>61.600000000000009</v>
      </c>
      <c r="AH85" s="478">
        <f>SUM(AH82:AH84)</f>
        <v>64.699999999999989</v>
      </c>
      <c r="AI85" s="817">
        <f>SUM(AI82:AI84)</f>
        <v>250</v>
      </c>
      <c r="AJ85" s="733"/>
      <c r="AK85" s="1710">
        <f>SUM(AK82:AK84)</f>
        <v>58.500000000000007</v>
      </c>
      <c r="AL85" s="478">
        <f>SUM(AL82:AL84)</f>
        <v>60.4</v>
      </c>
      <c r="AM85" s="478">
        <f>SUM(AM82:AM84)</f>
        <v>61.2</v>
      </c>
      <c r="AN85" s="478">
        <f>SUM(AN82:AN84)</f>
        <v>73.200000000000017</v>
      </c>
      <c r="AO85" s="817">
        <f>SUM(AO82:AO84)</f>
        <v>253.3</v>
      </c>
      <c r="AP85" s="733"/>
      <c r="AQ85" s="1710">
        <f>SUM(AQ82:AQ84)</f>
        <v>64.199999999999989</v>
      </c>
      <c r="AR85" s="478">
        <f>SUM(AR82:AR84)</f>
        <v>62.5</v>
      </c>
      <c r="AS85" s="478">
        <f>SUM(AS82:AS84)</f>
        <v>70.8</v>
      </c>
      <c r="AT85" s="478">
        <f>SUM(AT82:AT84)</f>
        <v>93.900000000000048</v>
      </c>
      <c r="AU85" s="817">
        <f>SUM(AU82:AU84)</f>
        <v>291.40000000000003</v>
      </c>
      <c r="AV85" s="733"/>
      <c r="AW85" s="1710">
        <f>SUM(AW82:AW84)</f>
        <v>87.2</v>
      </c>
      <c r="AX85" s="478">
        <f>SUM(AX82:AX84)</f>
        <v>95.9</v>
      </c>
      <c r="AY85" s="478">
        <f>SUM(AY82:AY84)</f>
        <v>99.399999999999991</v>
      </c>
      <c r="AZ85" s="478">
        <f>SUM(AZ82:AZ84)</f>
        <v>114.30000000000003</v>
      </c>
      <c r="BA85" s="817">
        <f>SUM(BA82:BA84)</f>
        <v>396.8</v>
      </c>
      <c r="BB85" s="733"/>
      <c r="BC85" s="1710">
        <f>SUM(BC82:BC84)</f>
        <v>103.60000000000001</v>
      </c>
      <c r="BD85" s="478">
        <f>SUM(BD82:BD84)</f>
        <v>109.69999999999999</v>
      </c>
      <c r="BE85" s="478">
        <f>SUM(BE82:BE84)</f>
        <v>102.10000000000001</v>
      </c>
      <c r="BF85" s="478">
        <f>SUM(BF82:BF84)</f>
        <v>123.6</v>
      </c>
      <c r="BG85" s="817">
        <f>SUM(BG82:BG84)</f>
        <v>439</v>
      </c>
      <c r="BH85" s="733"/>
      <c r="BI85" s="1710">
        <f>SUM(BI82:BI84)</f>
        <v>100.4</v>
      </c>
      <c r="BJ85" s="478">
        <f>SUM(BJ82:BJ84)</f>
        <v>102.19999999999999</v>
      </c>
      <c r="BK85" s="478">
        <f>SUM(BK82:BK84)</f>
        <v>94.9</v>
      </c>
      <c r="BL85" s="478">
        <f>SUM(BL82:BL84)</f>
        <v>110.39999999999999</v>
      </c>
      <c r="BM85" s="817">
        <f>SUM(BM82:BM84)</f>
        <v>407.9</v>
      </c>
      <c r="BN85" s="733"/>
      <c r="BO85" s="1710">
        <f>SUM(BO82:BO84)</f>
        <v>105.5</v>
      </c>
      <c r="BP85" s="478">
        <f>SUM(BP82:BP84)</f>
        <v>109</v>
      </c>
      <c r="BQ85" s="478">
        <f>SUM(BQ82:BQ84)</f>
        <v>95.2</v>
      </c>
      <c r="BR85" s="478">
        <f>SUM(BR82:BR84)</f>
        <v>106.7</v>
      </c>
      <c r="BS85" s="817">
        <f>SUM(BS82:BS84)</f>
        <v>416.4</v>
      </c>
      <c r="BT85" s="733"/>
      <c r="BU85" s="1710">
        <f>SUM(BU82:BU84)</f>
        <v>80.899999999999991</v>
      </c>
      <c r="BV85" s="478">
        <f>SUM(BV82:BV84)</f>
        <v>96.2</v>
      </c>
      <c r="BW85" s="478">
        <f>SUM(BW82:BW84)</f>
        <v>86.699999999999989</v>
      </c>
      <c r="BX85" s="478">
        <f>SUM(BX82:BX84)</f>
        <v>101.30000000000001</v>
      </c>
      <c r="BY85" s="817">
        <f>SUM(BY82:BY84)</f>
        <v>365.09999999999997</v>
      </c>
      <c r="BZ85" s="733"/>
      <c r="CA85" s="1710">
        <f>SUM(CA82:CA84)</f>
        <v>88</v>
      </c>
      <c r="CB85" s="478">
        <f>SUM(CB82:CB84)</f>
        <v>88.1</v>
      </c>
      <c r="CC85" s="478">
        <f>SUM(CC82:CC84)</f>
        <v>91.5</v>
      </c>
      <c r="CD85" s="478">
        <f>SUM(CD82:CD84)</f>
        <v>94.1</v>
      </c>
      <c r="CE85" s="817">
        <f>SUM(CE82:CE84)</f>
        <v>361.7</v>
      </c>
      <c r="CF85" s="733"/>
      <c r="CG85" s="1710">
        <f>SUM(CG82:CG84)</f>
        <v>93.5</v>
      </c>
      <c r="CH85" s="478">
        <f>SUM(CH82:CH84)</f>
        <v>94.499999999999986</v>
      </c>
      <c r="CI85" s="478">
        <f>SUM(CI82:CI84)</f>
        <v>97.800000000000011</v>
      </c>
      <c r="CJ85" s="478">
        <f>SUM(CJ82:CJ84)</f>
        <v>104.8</v>
      </c>
      <c r="CK85" s="817">
        <f>SUM(CK82:CK84)</f>
        <v>390.59999999999997</v>
      </c>
      <c r="CL85" s="733"/>
      <c r="CM85" s="1709"/>
      <c r="CN85" s="733"/>
      <c r="CO85" s="733"/>
      <c r="CP85" s="1803"/>
      <c r="CQ85" s="818"/>
      <c r="CR85" s="733"/>
      <c r="CS85" s="1709"/>
      <c r="CT85" s="733"/>
      <c r="CU85" s="733"/>
      <c r="CV85" s="1803"/>
      <c r="CW85" s="818"/>
      <c r="CX85" s="478"/>
      <c r="CY85" s="1709"/>
      <c r="CZ85" s="733"/>
      <c r="DA85" s="733"/>
      <c r="DB85" s="1803"/>
      <c r="DC85" s="818"/>
      <c r="DD85" s="478"/>
      <c r="DE85" s="1709"/>
      <c r="DF85" s="733"/>
      <c r="DG85" s="733"/>
      <c r="DH85" s="1803"/>
      <c r="DI85" s="818"/>
      <c r="DJ85"/>
      <c r="DK85"/>
      <c r="DL85"/>
      <c r="DM85"/>
      <c r="DN85"/>
      <c r="DO85"/>
    </row>
    <row r="86" spans="1:119" s="10" customFormat="1" ht="11.25" customHeight="1">
      <c r="A86" s="1805" t="s">
        <v>57</v>
      </c>
      <c r="B86" s="734"/>
      <c r="C86" s="1806">
        <f>C85/C9</f>
        <v>0.22856398227782126</v>
      </c>
      <c r="D86" s="734"/>
      <c r="E86" s="1806">
        <f>E85/E9</f>
        <v>0.22810326170969239</v>
      </c>
      <c r="F86" s="734"/>
      <c r="G86" s="1806">
        <f>G85/G9</f>
        <v>0.24624683428631106</v>
      </c>
      <c r="H86" s="734"/>
      <c r="I86" s="1806">
        <f>I85/I9</f>
        <v>0.29903658391861127</v>
      </c>
      <c r="J86" s="734"/>
      <c r="K86" s="1806">
        <f>K85/K9</f>
        <v>0.28741310081664839</v>
      </c>
      <c r="L86" s="734"/>
      <c r="M86" s="1806">
        <f>M85/M9</f>
        <v>0.26391462296540952</v>
      </c>
      <c r="N86" s="734"/>
      <c r="O86" s="1806">
        <f>O85/O9</f>
        <v>0.2685327126462646</v>
      </c>
      <c r="P86" s="734"/>
      <c r="Q86" s="1806">
        <f>Q85/Q9</f>
        <v>0.2580476181521707</v>
      </c>
      <c r="R86" s="734"/>
      <c r="S86" s="1807">
        <f>S85/S9</f>
        <v>0.26818546006578392</v>
      </c>
      <c r="T86" s="1441">
        <f>T85/T9</f>
        <v>0.27241423922454544</v>
      </c>
      <c r="U86" s="1441">
        <f>U85/U9</f>
        <v>0.25080575951177647</v>
      </c>
      <c r="V86" s="1441">
        <f>V85/V9</f>
        <v>0.24976958525345616</v>
      </c>
      <c r="W86" s="1806">
        <f>W85/W9</f>
        <v>0.25924778700147305</v>
      </c>
      <c r="X86" s="734"/>
      <c r="Y86" s="1807">
        <f>Y85/Y9</f>
        <v>0.23360284480764784</v>
      </c>
      <c r="Z86" s="1441">
        <f>Z85/Z9</f>
        <v>0.2100678856433193</v>
      </c>
      <c r="AA86" s="1441">
        <f>AA85/AA9</f>
        <v>0.22008189940436795</v>
      </c>
      <c r="AB86" s="1441">
        <f>AB85/AB9</f>
        <v>0.19069386997406904</v>
      </c>
      <c r="AC86" s="1806">
        <f>AC85/AC9</f>
        <v>0.21067415730337077</v>
      </c>
      <c r="AD86" s="734"/>
      <c r="AE86" s="1807">
        <f>AE85/AE9</f>
        <v>0.25388166177087701</v>
      </c>
      <c r="AF86" s="1441">
        <f>AF85/AF9</f>
        <v>0.20288924558587479</v>
      </c>
      <c r="AG86" s="1441">
        <f>AG85/AG9</f>
        <v>0.25444031391986782</v>
      </c>
      <c r="AH86" s="1441">
        <f>AH85/AH9</f>
        <v>0.20526649746192893</v>
      </c>
      <c r="AI86" s="1806">
        <f>AI85/AI9</f>
        <v>0.22581519284617471</v>
      </c>
      <c r="AJ86" s="734"/>
      <c r="AK86" s="1807">
        <f>AK85/AK9</f>
        <v>0.25379609544468551</v>
      </c>
      <c r="AL86" s="1441">
        <f>AL85/AL9</f>
        <v>0.2392079207920792</v>
      </c>
      <c r="AM86" s="1441">
        <f>AM85/AM9</f>
        <v>0.23085628064881181</v>
      </c>
      <c r="AN86" s="1441">
        <f>AN85/AN9</f>
        <v>0.19978165938864631</v>
      </c>
      <c r="AO86" s="1806">
        <f>AO85/AO9</f>
        <v>0.22727680574248543</v>
      </c>
      <c r="AP86" s="734"/>
      <c r="AQ86" s="1807">
        <f>AQ85/AQ9</f>
        <v>0.23118473172488294</v>
      </c>
      <c r="AR86" s="1441">
        <f>AR85/AR9</f>
        <v>0.20771020272515789</v>
      </c>
      <c r="AS86" s="1441">
        <f>AS85/AS9</f>
        <v>0.22823984526112184</v>
      </c>
      <c r="AT86" s="1441">
        <f>AT85/AT9</f>
        <v>0.22566690699351127</v>
      </c>
      <c r="AU86" s="1806">
        <f>AU85/AU9</f>
        <v>0.22331213119779295</v>
      </c>
      <c r="AV86" s="734"/>
      <c r="AW86" s="1807">
        <f>AW85/AW9</f>
        <v>0.24425770308123251</v>
      </c>
      <c r="AX86" s="1441">
        <f>AX85/AX9</f>
        <v>0.23903290129611166</v>
      </c>
      <c r="AY86" s="1441">
        <f>AY85/AY9</f>
        <v>0.2375717017208413</v>
      </c>
      <c r="AZ86" s="1441">
        <f>AZ85/AZ9</f>
        <v>0.24058093033045685</v>
      </c>
      <c r="BA86" s="1806">
        <f>BA85/BA9</f>
        <v>0.24023733123448571</v>
      </c>
      <c r="BB86" s="734"/>
      <c r="BC86" s="1807">
        <f>BC85/BC9</f>
        <v>0.25542406311637084</v>
      </c>
      <c r="BD86" s="1441">
        <f>BD85/BD9</f>
        <v>0.26075588305205605</v>
      </c>
      <c r="BE86" s="1441">
        <f>BE85/BE9</f>
        <v>0.2280035730236713</v>
      </c>
      <c r="BF86" s="1441">
        <f>BF85/BF9</f>
        <v>0.23893292093562726</v>
      </c>
      <c r="BG86" s="1806">
        <f>BG85/BG9</f>
        <v>0.24505972982025231</v>
      </c>
      <c r="BH86" s="734"/>
      <c r="BI86" s="1807">
        <f>BI85/BI9</f>
        <v>0.25521098118962887</v>
      </c>
      <c r="BJ86" s="1441">
        <f>BJ85/BJ9</f>
        <v>0.22466476148604084</v>
      </c>
      <c r="BK86" s="1441">
        <f>BK85/BK9</f>
        <v>0.21617312072892939</v>
      </c>
      <c r="BL86" s="1441">
        <f>BL85/BL9</f>
        <v>0.19996377467850024</v>
      </c>
      <c r="BM86" s="1806">
        <f>BM85/BM9</f>
        <v>0.22175709470479502</v>
      </c>
      <c r="BN86" s="734"/>
      <c r="BO86" s="1807">
        <f>BO85/BO9</f>
        <v>0.24899693179136179</v>
      </c>
      <c r="BP86" s="1441">
        <f>BP85/BP9</f>
        <v>0.23830345430695235</v>
      </c>
      <c r="BQ86" s="1441">
        <f>BQ85/BQ9</f>
        <v>0.22677465459742735</v>
      </c>
      <c r="BR86" s="1441">
        <f>BR85/BR9</f>
        <v>0.21003937007874013</v>
      </c>
      <c r="BS86" s="1806">
        <f>BS85/BS9</f>
        <v>0.23019514622146053</v>
      </c>
      <c r="BT86" s="734"/>
      <c r="BU86" s="1807">
        <f>BU85/BU9</f>
        <v>0.22885431400282882</v>
      </c>
      <c r="BV86" s="1441">
        <f>BV85/BV9</f>
        <v>0.24292929292929294</v>
      </c>
      <c r="BW86" s="1441">
        <f>BW85/BW9</f>
        <v>0.21888412017167377</v>
      </c>
      <c r="BX86" s="1441">
        <f>BX85/BX9</f>
        <v>0.21183605186114607</v>
      </c>
      <c r="BY86" s="1806">
        <f>BY85/BY9</f>
        <v>0.22484296095578271</v>
      </c>
      <c r="BZ86" s="734"/>
      <c r="CA86" s="1807">
        <f>CA85/CA9</f>
        <v>0.2344166222695791</v>
      </c>
      <c r="CB86" s="1441">
        <f>CB85/CB9</f>
        <v>0.23701910142588103</v>
      </c>
      <c r="CC86" s="1441">
        <f>CC85/CC9</f>
        <v>0.23229246001523229</v>
      </c>
      <c r="CD86" s="1441">
        <f>CD85/CD9</f>
        <v>0.20008505209440783</v>
      </c>
      <c r="CE86" s="1806">
        <f>CE85/CE9</f>
        <v>0.22447713026748584</v>
      </c>
      <c r="CF86" s="734"/>
      <c r="CG86" s="1807">
        <f>CG85/CG9</f>
        <v>0.2429202390231229</v>
      </c>
      <c r="CH86" s="1441">
        <f>CH85/CH9</f>
        <v>0.22776572668112796</v>
      </c>
      <c r="CI86" s="1441">
        <f>CI85/CI9</f>
        <v>0.2245179063360882</v>
      </c>
      <c r="CJ86" s="1441">
        <f>CJ85/CJ9</f>
        <v>0.19754948162111208</v>
      </c>
      <c r="CK86" s="1806">
        <f>CK85/CK9</f>
        <v>0.22119032787813575</v>
      </c>
      <c r="CL86" s="734"/>
      <c r="CM86" s="1808"/>
      <c r="CN86" s="1809"/>
      <c r="CO86" s="734"/>
      <c r="CP86" s="815"/>
      <c r="CQ86" s="816"/>
      <c r="CR86" s="734"/>
      <c r="CS86" s="1808"/>
      <c r="CT86" s="1809"/>
      <c r="CU86" s="734"/>
      <c r="CV86" s="815"/>
      <c r="CW86" s="816"/>
      <c r="CX86" s="1720"/>
      <c r="CY86" s="1808"/>
      <c r="CZ86" s="1809"/>
      <c r="DA86" s="734"/>
      <c r="DB86" s="815"/>
      <c r="DC86" s="816"/>
      <c r="DD86" s="1720"/>
      <c r="DE86" s="1808"/>
      <c r="DF86" s="1809"/>
      <c r="DG86" s="734"/>
      <c r="DH86" s="815"/>
      <c r="DI86" s="816"/>
      <c r="DJ86"/>
      <c r="DK86"/>
      <c r="DL86"/>
      <c r="DM86"/>
      <c r="DN86"/>
      <c r="DO86"/>
    </row>
    <row r="87" spans="1:119" s="10" customFormat="1" ht="11.25" hidden="1" customHeight="1" outlineLevel="1">
      <c r="A87" s="1810" t="s">
        <v>68</v>
      </c>
      <c r="B87" s="734"/>
      <c r="C87" s="1448">
        <f>C85-C17</f>
        <v>0</v>
      </c>
      <c r="D87" s="15"/>
      <c r="E87" s="1448">
        <f>E85-E17</f>
        <v>0</v>
      </c>
      <c r="F87" s="15"/>
      <c r="G87" s="1448">
        <f>G85-G17</f>
        <v>0</v>
      </c>
      <c r="H87" s="15"/>
      <c r="I87" s="1448">
        <f>I85-I17</f>
        <v>0</v>
      </c>
      <c r="J87" s="15"/>
      <c r="K87" s="1448">
        <f>K85-K17</f>
        <v>0</v>
      </c>
      <c r="L87" s="15"/>
      <c r="M87" s="1448">
        <f>M85-M17</f>
        <v>0</v>
      </c>
      <c r="N87" s="15"/>
      <c r="O87" s="1448">
        <f>O85-O17</f>
        <v>0</v>
      </c>
      <c r="P87" s="15"/>
      <c r="Q87" s="1448">
        <f>Q85-Q17</f>
        <v>0</v>
      </c>
      <c r="R87" s="15"/>
      <c r="S87" s="1811">
        <f>S85-S17</f>
        <v>0</v>
      </c>
      <c r="T87" s="1438">
        <f>T85-T17</f>
        <v>0</v>
      </c>
      <c r="U87" s="1438">
        <f>U85-U17</f>
        <v>0</v>
      </c>
      <c r="V87" s="1438">
        <f>V85-V17</f>
        <v>0</v>
      </c>
      <c r="W87" s="1448">
        <f>W85-W17</f>
        <v>0</v>
      </c>
      <c r="X87" s="15"/>
      <c r="Y87" s="1811">
        <f>Y85-Y17</f>
        <v>0</v>
      </c>
      <c r="Z87" s="1438">
        <f>Z85-Z17</f>
        <v>0</v>
      </c>
      <c r="AA87" s="1438">
        <f>AA85-AA17</f>
        <v>0</v>
      </c>
      <c r="AB87" s="1438">
        <f>AB85-AB17</f>
        <v>0</v>
      </c>
      <c r="AC87" s="1448">
        <f>AC85-AC17</f>
        <v>0</v>
      </c>
      <c r="AD87" s="15"/>
      <c r="AE87" s="1811">
        <f>AE85-AE17</f>
        <v>0</v>
      </c>
      <c r="AF87" s="1438">
        <f>AF85-AF17</f>
        <v>0</v>
      </c>
      <c r="AG87" s="1438">
        <f>AG85-AG17</f>
        <v>0</v>
      </c>
      <c r="AH87" s="1438">
        <f>AH85-AH17</f>
        <v>0</v>
      </c>
      <c r="AI87" s="1448">
        <f>AI85-AI17</f>
        <v>0</v>
      </c>
      <c r="AJ87" s="15"/>
      <c r="AK87" s="1811">
        <f>AK85-AK17</f>
        <v>0</v>
      </c>
      <c r="AL87" s="1438">
        <f>AL85-AL17</f>
        <v>0</v>
      </c>
      <c r="AM87" s="1438">
        <f>AM85-AM17</f>
        <v>0</v>
      </c>
      <c r="AN87" s="1438">
        <f>AN85-AN17</f>
        <v>0</v>
      </c>
      <c r="AO87" s="1448">
        <f>AO85-AO17</f>
        <v>0</v>
      </c>
      <c r="AP87" s="15"/>
      <c r="AQ87" s="1811">
        <f>AQ85-AQ17</f>
        <v>0</v>
      </c>
      <c r="AR87" s="1438">
        <f>AR85-AR17</f>
        <v>0</v>
      </c>
      <c r="AS87" s="1438">
        <f>AS85-AS17</f>
        <v>0</v>
      </c>
      <c r="AT87" s="1438">
        <f>AT85-AT17</f>
        <v>0</v>
      </c>
      <c r="AU87" s="1448">
        <f>AU85-AU17</f>
        <v>0</v>
      </c>
      <c r="AV87" s="15"/>
      <c r="AW87" s="1811">
        <f>AW85-AW17</f>
        <v>0</v>
      </c>
      <c r="AX87" s="1438">
        <f>AX85-AX17</f>
        <v>0</v>
      </c>
      <c r="AY87" s="1438">
        <f>AY85-AY17</f>
        <v>0</v>
      </c>
      <c r="AZ87" s="1438">
        <f>AZ85-AZ17</f>
        <v>0</v>
      </c>
      <c r="BA87" s="1448">
        <f>BA85-BA17</f>
        <v>0</v>
      </c>
      <c r="BB87" s="15"/>
      <c r="BC87" s="1811">
        <f>BC85-BC17</f>
        <v>0</v>
      </c>
      <c r="BD87" s="1438">
        <f>BD85-BD17</f>
        <v>0</v>
      </c>
      <c r="BE87" s="1438">
        <f>BE85-BE17</f>
        <v>0</v>
      </c>
      <c r="BF87" s="1438">
        <f>BF85-BF17</f>
        <v>0</v>
      </c>
      <c r="BG87" s="1448">
        <f>BG85-BG17</f>
        <v>0</v>
      </c>
      <c r="BH87" s="15"/>
      <c r="BI87" s="1811">
        <f>BI85-BI17</f>
        <v>0</v>
      </c>
      <c r="BJ87" s="1438">
        <f>BJ85-BJ17</f>
        <v>0</v>
      </c>
      <c r="BK87" s="1438">
        <f>BK85-BK17</f>
        <v>0</v>
      </c>
      <c r="BL87" s="1438">
        <f>BL85-BL17</f>
        <v>0</v>
      </c>
      <c r="BM87" s="1448">
        <f>BM85-BM17</f>
        <v>0</v>
      </c>
      <c r="BN87" s="734"/>
      <c r="BO87" s="1811">
        <f>BO85-BO17</f>
        <v>0</v>
      </c>
      <c r="BP87" s="1438">
        <f>BP85-BP17</f>
        <v>0</v>
      </c>
      <c r="BQ87" s="1438">
        <f>BQ85-BQ17</f>
        <v>0</v>
      </c>
      <c r="BR87" s="1438">
        <f>BR85-BR17</f>
        <v>0</v>
      </c>
      <c r="BS87" s="1448">
        <f>BS85-BS17</f>
        <v>0</v>
      </c>
      <c r="BT87" s="734"/>
      <c r="BU87" s="1811">
        <f>BU85-BU17</f>
        <v>0</v>
      </c>
      <c r="BV87" s="1438">
        <f>BV85-BV17</f>
        <v>0</v>
      </c>
      <c r="BW87" s="1438">
        <f>BW85-BW17</f>
        <v>0</v>
      </c>
      <c r="BX87" s="1438">
        <f>BX85-BX17</f>
        <v>0</v>
      </c>
      <c r="BY87" s="1448">
        <f>BY85-BY17</f>
        <v>0</v>
      </c>
      <c r="BZ87" s="734"/>
      <c r="CA87" s="1811">
        <f>CA85-CA17</f>
        <v>0</v>
      </c>
      <c r="CB87" s="1438">
        <f>CB85-CB17</f>
        <v>0</v>
      </c>
      <c r="CC87" s="1438">
        <f>CC85-CC17</f>
        <v>0</v>
      </c>
      <c r="CD87" s="1438">
        <f>CD85-CD17</f>
        <v>0</v>
      </c>
      <c r="CE87" s="1448">
        <f>CE85-CE17</f>
        <v>0</v>
      </c>
      <c r="CF87" s="734"/>
      <c r="CG87" s="1811">
        <f>CG85-CG17</f>
        <v>0</v>
      </c>
      <c r="CH87" s="1438">
        <f>CH85-CH17</f>
        <v>0</v>
      </c>
      <c r="CI87" s="1438">
        <f>CI85-CI17</f>
        <v>0</v>
      </c>
      <c r="CJ87" s="1438">
        <f>CJ85-CJ17</f>
        <v>0</v>
      </c>
      <c r="CK87" s="1448">
        <f>CK85-CK17</f>
        <v>0</v>
      </c>
      <c r="CL87" s="734"/>
      <c r="CM87" s="1812"/>
      <c r="CN87" s="1443"/>
      <c r="CO87" s="734"/>
      <c r="CP87" s="815"/>
      <c r="CQ87" s="816"/>
      <c r="CR87" s="734"/>
      <c r="CS87" s="1812"/>
      <c r="CT87" s="1443"/>
      <c r="CU87" s="734"/>
      <c r="CV87" s="815"/>
      <c r="CW87" s="816"/>
      <c r="CX87" s="1720"/>
      <c r="CY87" s="1812"/>
      <c r="CZ87" s="1443"/>
      <c r="DA87" s="734"/>
      <c r="DB87" s="815"/>
      <c r="DC87" s="816"/>
      <c r="DD87" s="1720"/>
      <c r="DE87" s="1812"/>
      <c r="DF87" s="1443"/>
      <c r="DG87" s="734"/>
      <c r="DH87" s="815"/>
      <c r="DI87" s="816"/>
      <c r="DJ87"/>
      <c r="DK87"/>
      <c r="DL87"/>
      <c r="DM87"/>
      <c r="DN87"/>
      <c r="DO87"/>
    </row>
    <row r="88" spans="1:119" s="10" customFormat="1" ht="11.25" customHeight="1" collapsed="1">
      <c r="A88" s="1810"/>
      <c r="B88" s="734"/>
      <c r="C88" s="1813"/>
      <c r="D88" s="734"/>
      <c r="E88" s="1813"/>
      <c r="F88" s="734"/>
      <c r="G88" s="1813"/>
      <c r="H88" s="734"/>
      <c r="I88" s="1813"/>
      <c r="J88" s="734"/>
      <c r="K88" s="1813"/>
      <c r="L88" s="734"/>
      <c r="M88" s="1813"/>
      <c r="N88" s="734"/>
      <c r="O88" s="1813"/>
      <c r="P88" s="734"/>
      <c r="Q88" s="1813"/>
      <c r="R88" s="734"/>
      <c r="S88" s="1814"/>
      <c r="T88" s="1815"/>
      <c r="U88" s="1815"/>
      <c r="V88" s="1815"/>
      <c r="W88" s="1813"/>
      <c r="X88" s="734"/>
      <c r="Y88" s="1814"/>
      <c r="Z88" s="1815"/>
      <c r="AA88" s="1815"/>
      <c r="AB88" s="1815"/>
      <c r="AC88" s="1813"/>
      <c r="AD88" s="734"/>
      <c r="AE88" s="1814"/>
      <c r="AF88" s="1815"/>
      <c r="AG88" s="1815"/>
      <c r="AH88" s="1815"/>
      <c r="AI88" s="1813"/>
      <c r="AJ88" s="734"/>
      <c r="AK88" s="1814"/>
      <c r="AL88" s="1815"/>
      <c r="AM88" s="1815"/>
      <c r="AN88" s="1815"/>
      <c r="AO88" s="1813"/>
      <c r="AP88" s="734"/>
      <c r="AQ88" s="1814"/>
      <c r="AR88" s="1815"/>
      <c r="AS88" s="1815"/>
      <c r="AT88" s="1815"/>
      <c r="AU88" s="1813"/>
      <c r="AV88" s="734"/>
      <c r="AW88" s="1814"/>
      <c r="AX88" s="1815"/>
      <c r="AY88" s="1815"/>
      <c r="AZ88" s="1815"/>
      <c r="BA88" s="1813"/>
      <c r="BB88" s="734"/>
      <c r="BC88" s="1814"/>
      <c r="BD88" s="1815"/>
      <c r="BE88" s="1815"/>
      <c r="BF88" s="815"/>
      <c r="BG88" s="1813"/>
      <c r="BH88" s="734"/>
      <c r="BI88" s="1814"/>
      <c r="BJ88" s="1815"/>
      <c r="BK88" s="1815"/>
      <c r="BL88" s="815"/>
      <c r="BM88" s="1813"/>
      <c r="BN88" s="734"/>
      <c r="BO88" s="1814"/>
      <c r="BP88" s="1443"/>
      <c r="BQ88" s="1443"/>
      <c r="BR88" s="815"/>
      <c r="BS88" s="1813"/>
      <c r="BT88" s="734"/>
      <c r="BU88" s="1812"/>
      <c r="BV88" s="1443"/>
      <c r="BW88" s="1443"/>
      <c r="BX88" s="815"/>
      <c r="BY88" s="1813"/>
      <c r="BZ88" s="734"/>
      <c r="CA88" s="1812"/>
      <c r="CB88" s="1443"/>
      <c r="CC88" s="734"/>
      <c r="CD88" s="815"/>
      <c r="CE88" s="1813"/>
      <c r="CF88" s="734"/>
      <c r="CG88" s="1812"/>
      <c r="CH88" s="1443"/>
      <c r="CI88" s="1443"/>
      <c r="CJ88" s="815"/>
      <c r="CK88" s="1813"/>
      <c r="CL88" s="734"/>
      <c r="CM88" s="1812"/>
      <c r="CN88" s="1443"/>
      <c r="CO88" s="734"/>
      <c r="CP88" s="815"/>
      <c r="CQ88" s="816"/>
      <c r="CR88" s="734"/>
      <c r="CS88" s="1812"/>
      <c r="CT88" s="1443"/>
      <c r="CU88" s="734"/>
      <c r="CV88" s="815"/>
      <c r="CW88" s="816"/>
      <c r="CX88" s="1720"/>
      <c r="CY88" s="1812"/>
      <c r="CZ88" s="1443"/>
      <c r="DA88" s="734"/>
      <c r="DB88" s="815"/>
      <c r="DC88" s="816"/>
      <c r="DD88" s="1720"/>
      <c r="DE88" s="1812"/>
      <c r="DF88" s="1443"/>
      <c r="DG88" s="734"/>
      <c r="DH88" s="815"/>
      <c r="DI88" s="816"/>
      <c r="DJ88"/>
      <c r="DK88"/>
      <c r="DL88"/>
      <c r="DM88"/>
      <c r="DN88"/>
      <c r="DO88"/>
    </row>
    <row r="89" spans="1:119" s="10" customFormat="1" ht="11.25" customHeight="1">
      <c r="A89" s="1798" t="s">
        <v>60</v>
      </c>
      <c r="B89" s="734"/>
      <c r="C89" s="1818">
        <v>-0.161</v>
      </c>
      <c r="D89" s="733"/>
      <c r="E89" s="1818">
        <v>2.64</v>
      </c>
      <c r="F89" s="733"/>
      <c r="G89" s="1818">
        <v>0.73399999999999999</v>
      </c>
      <c r="H89" s="733"/>
      <c r="I89" s="1818">
        <v>3.2730000000000001</v>
      </c>
      <c r="J89" s="733"/>
      <c r="K89" s="1818">
        <v>5.6459999999999999</v>
      </c>
      <c r="L89" s="733"/>
      <c r="M89" s="1818">
        <v>-9.6809999999999992</v>
      </c>
      <c r="N89" s="733"/>
      <c r="O89" s="1818">
        <v>-1.1180000000000001</v>
      </c>
      <c r="P89" s="733"/>
      <c r="Q89" s="1818">
        <v>22.422000000000001</v>
      </c>
      <c r="R89" s="733"/>
      <c r="S89" s="1801">
        <v>4.8659999999999997</v>
      </c>
      <c r="T89" s="1440">
        <v>2.8740000000000001</v>
      </c>
      <c r="U89" s="1440">
        <v>6.984</v>
      </c>
      <c r="V89" s="1817">
        <f>30.662-SUM(S89:U89)</f>
        <v>15.937999999999999</v>
      </c>
      <c r="W89" s="817">
        <f>SUM(S89:V89)</f>
        <v>30.661999999999999</v>
      </c>
      <c r="X89" s="733"/>
      <c r="Y89" s="1801">
        <v>19.709</v>
      </c>
      <c r="Z89" s="1440">
        <v>21.786999999999999</v>
      </c>
      <c r="AA89" s="1440">
        <v>29.815999999999999</v>
      </c>
      <c r="AB89" s="1817">
        <f>137.7-SUM(Y89:AA89)</f>
        <v>66.387999999999991</v>
      </c>
      <c r="AC89" s="817">
        <f>SUM(Y89:AB89)</f>
        <v>137.69999999999999</v>
      </c>
      <c r="AD89" s="733"/>
      <c r="AE89" s="1801">
        <v>15.8</v>
      </c>
      <c r="AF89" s="1440">
        <v>28.4</v>
      </c>
      <c r="AG89" s="1440">
        <v>15.1</v>
      </c>
      <c r="AH89" s="1817">
        <f>108.2-SUM(AE89:AG89)</f>
        <v>48.9</v>
      </c>
      <c r="AI89" s="817">
        <f>SUM(AE89:AH89)</f>
        <v>108.2</v>
      </c>
      <c r="AJ89" s="733"/>
      <c r="AK89" s="1801">
        <v>14.3</v>
      </c>
      <c r="AL89" s="1440">
        <v>20.2</v>
      </c>
      <c r="AM89" s="1440">
        <v>26</v>
      </c>
      <c r="AN89" s="1817">
        <f>136.7-SUM(AK89:AM89)</f>
        <v>76.199999999999989</v>
      </c>
      <c r="AO89" s="817">
        <f>SUM(AK89:AN89)</f>
        <v>136.69999999999999</v>
      </c>
      <c r="AP89" s="733"/>
      <c r="AQ89" s="1801">
        <v>26.9</v>
      </c>
      <c r="AR89" s="1440">
        <v>37.9</v>
      </c>
      <c r="AS89" s="1440">
        <v>39.299999999999997</v>
      </c>
      <c r="AT89" s="1817">
        <f>155.7-AQ89-AR89-AS89</f>
        <v>51.59999999999998</v>
      </c>
      <c r="AU89" s="817">
        <f>SUM(AQ89:AT89)</f>
        <v>155.69999999999999</v>
      </c>
      <c r="AV89" s="733"/>
      <c r="AW89" s="1801">
        <v>25.7</v>
      </c>
      <c r="AX89" s="1440">
        <v>38.700000000000003</v>
      </c>
      <c r="AY89" s="1440">
        <v>37.5</v>
      </c>
      <c r="AZ89" s="1817">
        <f>155.6-AW89-AX89-AY89</f>
        <v>53.7</v>
      </c>
      <c r="BA89" s="817">
        <f>SUM(AW89:AZ89)</f>
        <v>155.60000000000002</v>
      </c>
      <c r="BB89" s="733"/>
      <c r="BC89" s="1801">
        <v>34.4</v>
      </c>
      <c r="BD89" s="1440">
        <v>22.1</v>
      </c>
      <c r="BE89" s="1440">
        <v>60.3</v>
      </c>
      <c r="BF89" s="1817">
        <f>156-BC89-BD89-BE89</f>
        <v>39.200000000000003</v>
      </c>
      <c r="BG89" s="817">
        <f>SUM(BC89:BF89)</f>
        <v>156</v>
      </c>
      <c r="BH89" s="733"/>
      <c r="BI89" s="1801">
        <v>12.2</v>
      </c>
      <c r="BJ89" s="1440">
        <v>43.5</v>
      </c>
      <c r="BK89" s="1440">
        <v>31.5</v>
      </c>
      <c r="BL89" s="1817">
        <v>61</v>
      </c>
      <c r="BM89" s="817">
        <f>SUM(BI89:BL89)</f>
        <v>148.19999999999999</v>
      </c>
      <c r="BN89" s="733"/>
      <c r="BO89" s="1801">
        <v>20.6</v>
      </c>
      <c r="BP89" s="1440">
        <v>35.4</v>
      </c>
      <c r="BQ89" s="1440">
        <v>4.9000000000000004</v>
      </c>
      <c r="BR89" s="1817">
        <v>44.5</v>
      </c>
      <c r="BS89" s="817">
        <f>SUM(BO89:BR89)</f>
        <v>105.4</v>
      </c>
      <c r="BT89" s="733"/>
      <c r="BU89" s="1456">
        <v>15.2</v>
      </c>
      <c r="BV89" s="1440">
        <v>31.6</v>
      </c>
      <c r="BW89" s="1440">
        <v>28.2</v>
      </c>
      <c r="BX89" s="1817">
        <v>70.7</v>
      </c>
      <c r="BY89" s="817">
        <f>SUM(BU89:BX89)</f>
        <v>145.69999999999999</v>
      </c>
      <c r="BZ89" s="733"/>
      <c r="CA89" s="1456">
        <v>34</v>
      </c>
      <c r="CB89" s="1440">
        <v>20.399999999999999</v>
      </c>
      <c r="CC89" s="1440">
        <v>45.9</v>
      </c>
      <c r="CD89" s="1440">
        <v>76.900000000000006</v>
      </c>
      <c r="CE89" s="817">
        <f>SUM(CA89:CD89)</f>
        <v>177.2</v>
      </c>
      <c r="CF89" s="733"/>
      <c r="CG89" s="1456">
        <v>37.6</v>
      </c>
      <c r="CH89" s="1440">
        <v>33.5</v>
      </c>
      <c r="CI89" s="1440">
        <v>49.9</v>
      </c>
      <c r="CJ89" s="1440">
        <v>93.7</v>
      </c>
      <c r="CK89" s="817">
        <f>SUM(CG89:CJ89)</f>
        <v>214.7</v>
      </c>
      <c r="CL89" s="733"/>
      <c r="CM89" s="1709"/>
      <c r="CN89" s="733"/>
      <c r="CO89" s="733"/>
      <c r="CP89" s="1803"/>
      <c r="CQ89" s="818"/>
      <c r="CR89" s="733"/>
      <c r="CS89" s="1709"/>
      <c r="CT89" s="733"/>
      <c r="CU89" s="733"/>
      <c r="CV89" s="1803"/>
      <c r="CW89" s="818"/>
      <c r="CX89" s="478"/>
      <c r="CY89" s="1709"/>
      <c r="CZ89" s="733"/>
      <c r="DA89" s="733"/>
      <c r="DB89" s="1803"/>
      <c r="DC89" s="818"/>
      <c r="DD89" s="478"/>
      <c r="DE89" s="1709"/>
      <c r="DF89" s="733"/>
      <c r="DG89" s="733"/>
      <c r="DH89" s="1803"/>
      <c r="DI89" s="818"/>
      <c r="DJ89"/>
      <c r="DK89"/>
      <c r="DL89"/>
      <c r="DM89"/>
      <c r="DN89"/>
      <c r="DO89"/>
    </row>
    <row r="90" spans="1:119" s="10" customFormat="1" ht="11.25" customHeight="1">
      <c r="A90" s="1463" t="s">
        <v>55</v>
      </c>
      <c r="B90" s="734"/>
      <c r="C90" s="1101">
        <v>0</v>
      </c>
      <c r="D90" s="734"/>
      <c r="E90" s="1101">
        <v>0</v>
      </c>
      <c r="F90" s="734"/>
      <c r="G90" s="1101">
        <v>0</v>
      </c>
      <c r="H90" s="734"/>
      <c r="I90" s="1101">
        <v>0</v>
      </c>
      <c r="J90" s="734"/>
      <c r="K90" s="1101">
        <v>0.7</v>
      </c>
      <c r="L90" s="734"/>
      <c r="M90" s="1101">
        <v>1.0289999999999999</v>
      </c>
      <c r="N90" s="734"/>
      <c r="O90" s="1101">
        <v>0</v>
      </c>
      <c r="P90" s="734"/>
      <c r="Q90" s="1101">
        <v>0</v>
      </c>
      <c r="R90" s="734"/>
      <c r="S90" s="1107">
        <v>0</v>
      </c>
      <c r="T90" s="1104">
        <v>0</v>
      </c>
      <c r="U90" s="1104">
        <v>0</v>
      </c>
      <c r="V90" s="1104">
        <v>0</v>
      </c>
      <c r="W90" s="533">
        <f>SUM(S90:V90)</f>
        <v>0</v>
      </c>
      <c r="X90" s="734"/>
      <c r="Y90" s="1107">
        <v>0</v>
      </c>
      <c r="Z90" s="1104">
        <v>0</v>
      </c>
      <c r="AA90" s="1104">
        <v>0</v>
      </c>
      <c r="AB90" s="1104">
        <v>0</v>
      </c>
      <c r="AC90" s="533">
        <f>SUM(Y90:AB90)</f>
        <v>0</v>
      </c>
      <c r="AD90" s="734"/>
      <c r="AE90" s="1107">
        <v>0</v>
      </c>
      <c r="AF90" s="1104">
        <v>0</v>
      </c>
      <c r="AG90" s="1104">
        <v>0</v>
      </c>
      <c r="AH90" s="1104">
        <v>0</v>
      </c>
      <c r="AI90" s="533">
        <f>SUM(AE90:AH90)</f>
        <v>0</v>
      </c>
      <c r="AJ90" s="734"/>
      <c r="AK90" s="1107">
        <v>0</v>
      </c>
      <c r="AL90" s="1104">
        <v>0</v>
      </c>
      <c r="AM90" s="1104">
        <v>0</v>
      </c>
      <c r="AN90" s="23">
        <f>-6.7-SUM(AK90:AM90)</f>
        <v>-6.7</v>
      </c>
      <c r="AO90" s="533">
        <f>SUM(AK90:AN90)</f>
        <v>-6.7</v>
      </c>
      <c r="AP90" s="734"/>
      <c r="AQ90" s="1107">
        <v>0</v>
      </c>
      <c r="AR90" s="1104">
        <v>0.2</v>
      </c>
      <c r="AS90" s="1104">
        <v>4.9000000000000004</v>
      </c>
      <c r="AT90" s="23">
        <f>10.6-AQ90-AR90-AS90</f>
        <v>5.5</v>
      </c>
      <c r="AU90" s="533">
        <f>SUM(AQ90:AT90)</f>
        <v>10.600000000000001</v>
      </c>
      <c r="AV90" s="734"/>
      <c r="AW90" s="1107">
        <v>4.0999999999999996</v>
      </c>
      <c r="AX90" s="1104">
        <v>5</v>
      </c>
      <c r="AY90" s="1104">
        <v>1.3</v>
      </c>
      <c r="AZ90" s="23">
        <f>9.3-AW90-AX90-AY90</f>
        <v>-1.099999999999999</v>
      </c>
      <c r="BA90" s="533">
        <f>SUM(AW90:AZ90)</f>
        <v>9.3000000000000007</v>
      </c>
      <c r="BB90" s="734"/>
      <c r="BC90" s="1107">
        <v>0.7</v>
      </c>
      <c r="BD90" s="1104">
        <v>1.7</v>
      </c>
      <c r="BE90" s="1104">
        <v>1.1000000000000001</v>
      </c>
      <c r="BF90" s="23">
        <f>3.3-BC90-BD90-BE90</f>
        <v>-0.2000000000000004</v>
      </c>
      <c r="BG90" s="533">
        <f>SUM(BC90:BF90)</f>
        <v>3.3</v>
      </c>
      <c r="BH90" s="734"/>
      <c r="BI90" s="1107">
        <v>0</v>
      </c>
      <c r="BJ90" s="1104">
        <v>0</v>
      </c>
      <c r="BK90" s="1104">
        <v>0</v>
      </c>
      <c r="BL90" s="23">
        <v>0</v>
      </c>
      <c r="BM90" s="533">
        <f>SUM(BI90:BL90)</f>
        <v>0</v>
      </c>
      <c r="BN90" s="734"/>
      <c r="BO90" s="1107">
        <v>0</v>
      </c>
      <c r="BP90" s="1104">
        <v>0</v>
      </c>
      <c r="BQ90" s="1104">
        <v>0</v>
      </c>
      <c r="BR90" s="23">
        <v>0</v>
      </c>
      <c r="BS90" s="533">
        <f>SUM(BO90:BR90)</f>
        <v>0</v>
      </c>
      <c r="BT90" s="734"/>
      <c r="BU90" s="1455">
        <v>0</v>
      </c>
      <c r="BV90" s="1104">
        <v>0</v>
      </c>
      <c r="BW90" s="1104">
        <v>0</v>
      </c>
      <c r="BX90" s="23">
        <v>0</v>
      </c>
      <c r="BY90" s="533">
        <f>SUM(BU90:BX90)</f>
        <v>0</v>
      </c>
      <c r="BZ90" s="734"/>
      <c r="CA90" s="822">
        <f>+CA75</f>
        <v>0</v>
      </c>
      <c r="CB90" s="15">
        <f>+CB75</f>
        <v>0</v>
      </c>
      <c r="CC90" s="15">
        <f>+CC75</f>
        <v>0</v>
      </c>
      <c r="CD90" s="1692">
        <f>+CD75</f>
        <v>0</v>
      </c>
      <c r="CE90" s="533">
        <f>SUM(CA90:CD90)</f>
        <v>0</v>
      </c>
      <c r="CF90" s="734"/>
      <c r="CG90" s="822">
        <f>+CG75</f>
        <v>0</v>
      </c>
      <c r="CH90" s="15">
        <f>+CH75</f>
        <v>0</v>
      </c>
      <c r="CI90" s="15">
        <f>+CI75</f>
        <v>1.8</v>
      </c>
      <c r="CJ90" s="1692">
        <f>+CJ75</f>
        <v>4.0999999999999996</v>
      </c>
      <c r="CK90" s="533">
        <f>SUM(CG90:CJ90)</f>
        <v>5.8999999999999995</v>
      </c>
      <c r="CL90" s="734"/>
      <c r="CM90" s="822"/>
      <c r="CN90" s="15"/>
      <c r="CO90" s="734"/>
      <c r="CP90" s="815"/>
      <c r="CQ90" s="816"/>
      <c r="CR90" s="734"/>
      <c r="CS90" s="822"/>
      <c r="CT90" s="15"/>
      <c r="CU90" s="734"/>
      <c r="CV90" s="815"/>
      <c r="CW90" s="816"/>
      <c r="CX90" s="1720"/>
      <c r="CY90" s="822"/>
      <c r="CZ90" s="15"/>
      <c r="DA90" s="734"/>
      <c r="DB90" s="815"/>
      <c r="DC90" s="816"/>
      <c r="DD90" s="1720"/>
      <c r="DE90" s="822"/>
      <c r="DF90" s="15"/>
      <c r="DG90" s="734"/>
      <c r="DH90" s="815"/>
      <c r="DI90" s="816"/>
      <c r="DJ90"/>
      <c r="DK90"/>
      <c r="DL90"/>
      <c r="DM90"/>
      <c r="DN90"/>
      <c r="DO90"/>
    </row>
    <row r="91" spans="1:119" s="10" customFormat="1" ht="11.25" customHeight="1">
      <c r="A91" s="1463" t="s">
        <v>477</v>
      </c>
      <c r="B91" s="734"/>
      <c r="C91" s="1101">
        <v>0</v>
      </c>
      <c r="D91" s="734"/>
      <c r="E91" s="1101">
        <v>0</v>
      </c>
      <c r="F91" s="734"/>
      <c r="G91" s="1101">
        <v>0</v>
      </c>
      <c r="H91" s="734"/>
      <c r="I91" s="1101">
        <v>0</v>
      </c>
      <c r="J91" s="734"/>
      <c r="K91" s="1101">
        <v>0</v>
      </c>
      <c r="L91" s="734"/>
      <c r="M91" s="1101">
        <v>0.245</v>
      </c>
      <c r="N91" s="734"/>
      <c r="O91" s="1101">
        <v>0</v>
      </c>
      <c r="P91" s="734"/>
      <c r="Q91" s="1101">
        <v>0</v>
      </c>
      <c r="R91" s="734"/>
      <c r="S91" s="1107">
        <v>0</v>
      </c>
      <c r="T91" s="1104">
        <v>0</v>
      </c>
      <c r="U91" s="1104">
        <v>0</v>
      </c>
      <c r="V91" s="1104">
        <v>0</v>
      </c>
      <c r="W91" s="533">
        <f>SUM(S91:V91)</f>
        <v>0</v>
      </c>
      <c r="X91" s="734"/>
      <c r="Y91" s="1107">
        <v>0</v>
      </c>
      <c r="Z91" s="1104">
        <v>0</v>
      </c>
      <c r="AA91" s="1104">
        <v>0</v>
      </c>
      <c r="AB91" s="1104">
        <v>0</v>
      </c>
      <c r="AC91" s="533">
        <f>SUM(Y91:AB91)</f>
        <v>0</v>
      </c>
      <c r="AD91" s="734"/>
      <c r="AE91" s="1107">
        <v>0</v>
      </c>
      <c r="AF91" s="1104">
        <v>0</v>
      </c>
      <c r="AG91" s="1104">
        <v>0</v>
      </c>
      <c r="AH91" s="1104">
        <v>0</v>
      </c>
      <c r="AI91" s="533">
        <f>SUM(AE91:AH91)</f>
        <v>0</v>
      </c>
      <c r="AJ91" s="734"/>
      <c r="AK91" s="1107">
        <v>0.4</v>
      </c>
      <c r="AL91" s="1104">
        <v>0.5</v>
      </c>
      <c r="AM91" s="1104">
        <v>0.4</v>
      </c>
      <c r="AN91" s="23">
        <f>1.8-SUM(AK91:AM91)</f>
        <v>0.5</v>
      </c>
      <c r="AO91" s="533">
        <f>SUM(AK91:AN91)</f>
        <v>1.8</v>
      </c>
      <c r="AP91" s="734"/>
      <c r="AQ91" s="1107">
        <v>0.5</v>
      </c>
      <c r="AR91" s="1104">
        <v>0.7</v>
      </c>
      <c r="AS91" s="1104">
        <v>0.9</v>
      </c>
      <c r="AT91" s="23">
        <f>5.8-AQ91-AR91-AS91</f>
        <v>3.6999999999999997</v>
      </c>
      <c r="AU91" s="533">
        <f>SUM(AQ91:AT91)</f>
        <v>5.8</v>
      </c>
      <c r="AV91" s="734"/>
      <c r="AW91" s="1107">
        <v>3.9</v>
      </c>
      <c r="AX91" s="1104">
        <v>4.2</v>
      </c>
      <c r="AY91" s="1104">
        <v>5</v>
      </c>
      <c r="AZ91" s="23">
        <f>18.1-AW91-AX91-AY91</f>
        <v>5</v>
      </c>
      <c r="BA91" s="533">
        <f>SUM(AW91:AZ91)</f>
        <v>18.100000000000001</v>
      </c>
      <c r="BB91" s="734"/>
      <c r="BC91" s="1107">
        <v>5.0999999999999996</v>
      </c>
      <c r="BD91" s="1104">
        <v>5.6</v>
      </c>
      <c r="BE91" s="1104">
        <v>5.5</v>
      </c>
      <c r="BF91" s="23">
        <f>22-BC91-BD91-BE91</f>
        <v>5.7999999999999989</v>
      </c>
      <c r="BG91" s="533">
        <f>SUM(BC91:BF91)</f>
        <v>22</v>
      </c>
      <c r="BH91" s="734"/>
      <c r="BI91" s="1107">
        <v>5.0999999999999996</v>
      </c>
      <c r="BJ91" s="1104">
        <v>5.0999999999999996</v>
      </c>
      <c r="BK91" s="1104">
        <v>5.0999999999999996</v>
      </c>
      <c r="BL91" s="23">
        <v>5.4</v>
      </c>
      <c r="BM91" s="533">
        <f>SUM(BI91:BL91)</f>
        <v>20.7</v>
      </c>
      <c r="BN91" s="734"/>
      <c r="BO91" s="1107">
        <v>1.1000000000000001</v>
      </c>
      <c r="BP91" s="1104">
        <v>4.8</v>
      </c>
      <c r="BQ91" s="1104">
        <v>5.0999999999999996</v>
      </c>
      <c r="BR91" s="23">
        <v>5.0999999999999996</v>
      </c>
      <c r="BS91" s="533">
        <f>SUM(BO91:BR91)</f>
        <v>16.100000000000001</v>
      </c>
      <c r="BT91" s="734"/>
      <c r="BU91" s="1455">
        <v>0.2</v>
      </c>
      <c r="BV91" s="1104">
        <v>5.2</v>
      </c>
      <c r="BW91" s="1104">
        <v>5.0999999999999996</v>
      </c>
      <c r="BX91" s="23">
        <v>5.3</v>
      </c>
      <c r="BY91" s="533">
        <f>SUM(BU91:BX91)</f>
        <v>15.8</v>
      </c>
      <c r="BZ91" s="734"/>
      <c r="CA91" s="822">
        <f t="shared" ref="CA91:CC92" si="99">+CA76-CA83</f>
        <v>5.4</v>
      </c>
      <c r="CB91" s="15">
        <f t="shared" si="99"/>
        <v>8.1</v>
      </c>
      <c r="CC91" s="15">
        <f t="shared" si="99"/>
        <v>5.4</v>
      </c>
      <c r="CD91" s="15">
        <f t="shared" ref="CD91" si="100">+CD76-CD83</f>
        <v>5.5</v>
      </c>
      <c r="CE91" s="533">
        <f>SUM(CA91:CD91)</f>
        <v>24.4</v>
      </c>
      <c r="CF91" s="734"/>
      <c r="CG91" s="822">
        <f t="shared" ref="CG91:CH91" si="101">+CG76-CG83</f>
        <v>6.9</v>
      </c>
      <c r="CH91" s="15">
        <f t="shared" si="101"/>
        <v>7.5</v>
      </c>
      <c r="CI91" s="15">
        <f t="shared" ref="CI91:CJ91" si="102">+CI76-CI83</f>
        <v>8.1999999999999993</v>
      </c>
      <c r="CJ91" s="15">
        <f t="shared" si="102"/>
        <v>7</v>
      </c>
      <c r="CK91" s="533">
        <f>SUM(CG91:CJ91)</f>
        <v>29.6</v>
      </c>
      <c r="CL91" s="734"/>
      <c r="CM91" s="822"/>
      <c r="CN91" s="15"/>
      <c r="CO91" s="734"/>
      <c r="CP91" s="815"/>
      <c r="CQ91" s="816"/>
      <c r="CR91" s="734"/>
      <c r="CS91" s="822"/>
      <c r="CT91" s="15"/>
      <c r="CU91" s="734"/>
      <c r="CV91" s="815"/>
      <c r="CW91" s="816"/>
      <c r="CX91" s="1720"/>
      <c r="CY91" s="822"/>
      <c r="CZ91" s="15"/>
      <c r="DA91" s="734"/>
      <c r="DB91" s="815"/>
      <c r="DC91" s="816"/>
      <c r="DD91" s="1720"/>
      <c r="DE91" s="822"/>
      <c r="DF91" s="15"/>
      <c r="DG91" s="734"/>
      <c r="DH91" s="815"/>
      <c r="DI91" s="816"/>
      <c r="DJ91"/>
      <c r="DK91"/>
      <c r="DL91"/>
      <c r="DM91"/>
      <c r="DN91"/>
      <c r="DO91"/>
    </row>
    <row r="92" spans="1:119" s="10" customFormat="1" ht="11.25" customHeight="1">
      <c r="A92" s="1463" t="s">
        <v>56</v>
      </c>
      <c r="B92" s="734"/>
      <c r="C92" s="1101">
        <v>0</v>
      </c>
      <c r="D92" s="734"/>
      <c r="E92" s="1101">
        <v>0.53800000000000003</v>
      </c>
      <c r="F92" s="734"/>
      <c r="G92" s="24">
        <f>1.082+0.303</f>
        <v>1.385</v>
      </c>
      <c r="H92" s="734"/>
      <c r="I92" s="1101">
        <v>-0.35599999999999998</v>
      </c>
      <c r="J92" s="734"/>
      <c r="K92" s="1101">
        <v>1.9690000000000001</v>
      </c>
      <c r="L92" s="734"/>
      <c r="M92" s="1101">
        <v>11.673999999999999</v>
      </c>
      <c r="N92" s="734"/>
      <c r="O92" s="1101">
        <v>0</v>
      </c>
      <c r="P92" s="734"/>
      <c r="Q92" s="1101">
        <v>0</v>
      </c>
      <c r="R92" s="734"/>
      <c r="S92" s="1107">
        <v>1.1759999999999999</v>
      </c>
      <c r="T92" s="1104">
        <v>3.6920000000000002</v>
      </c>
      <c r="U92" s="1104">
        <v>0.96099999999999997</v>
      </c>
      <c r="V92" s="23">
        <f>5.724-SUM(S92:U92)</f>
        <v>-0.10500000000000043</v>
      </c>
      <c r="W92" s="533">
        <f>SUM(S92:V92)</f>
        <v>5.7240000000000002</v>
      </c>
      <c r="X92" s="734"/>
      <c r="Y92" s="1107">
        <v>0.39400000000000002</v>
      </c>
      <c r="Z92" s="1104">
        <v>0.40300000000000002</v>
      </c>
      <c r="AA92" s="23">
        <f>0.7+0.544</f>
        <v>1.244</v>
      </c>
      <c r="AB92" s="23">
        <f>2.2+7.4-SUM(Y92:AA92)</f>
        <v>7.5590000000000011</v>
      </c>
      <c r="AC92" s="533">
        <f>SUM(Y92:AB92)</f>
        <v>9.6000000000000014</v>
      </c>
      <c r="AD92" s="734"/>
      <c r="AE92" s="1455">
        <f>0.7+5.8</f>
        <v>6.5</v>
      </c>
      <c r="AF92" s="23">
        <f>1.1+0.4</f>
        <v>1.5</v>
      </c>
      <c r="AG92" s="1104">
        <v>1.3</v>
      </c>
      <c r="AH92" s="23">
        <f>6.2+2.3+4.5-SUM(AE92:AG92)</f>
        <v>3.6999999999999993</v>
      </c>
      <c r="AI92" s="533">
        <f>SUM(AE92:AH92)</f>
        <v>13</v>
      </c>
      <c r="AJ92" s="734"/>
      <c r="AK92" s="1107">
        <v>0.4</v>
      </c>
      <c r="AL92" s="1104">
        <v>-1</v>
      </c>
      <c r="AM92" s="1104">
        <v>0</v>
      </c>
      <c r="AN92" s="23">
        <f>0.4-SUM(AK92:AM92)</f>
        <v>1</v>
      </c>
      <c r="AO92" s="533">
        <f>SUM(AK92:AN92)</f>
        <v>0.4</v>
      </c>
      <c r="AP92" s="734"/>
      <c r="AQ92" s="1455">
        <f>1.6+0.5</f>
        <v>2.1</v>
      </c>
      <c r="AR92" s="23">
        <f>1.7+1.9</f>
        <v>3.5999999999999996</v>
      </c>
      <c r="AS92" s="23">
        <f>1.7+1.9</f>
        <v>3.5999999999999996</v>
      </c>
      <c r="AT92" s="23">
        <f>6.9+8.6-AQ92-AR92-AS92</f>
        <v>6.2000000000000011</v>
      </c>
      <c r="AU92" s="533">
        <f>SUM(AQ92:AT92)</f>
        <v>15.5</v>
      </c>
      <c r="AV92" s="734"/>
      <c r="AW92" s="1455">
        <f>2.1+1.8</f>
        <v>3.9000000000000004</v>
      </c>
      <c r="AX92" s="23">
        <f>1.9+2.4</f>
        <v>4.3</v>
      </c>
      <c r="AY92" s="23">
        <f>2.1+6.3</f>
        <v>8.4</v>
      </c>
      <c r="AZ92" s="23">
        <f>7.9+13.8-AW92-AX92-AY92</f>
        <v>5.1000000000000032</v>
      </c>
      <c r="BA92" s="533">
        <f>SUM(AW92:AZ92)</f>
        <v>21.700000000000003</v>
      </c>
      <c r="BB92" s="734"/>
      <c r="BC92" s="1107">
        <v>3.4</v>
      </c>
      <c r="BD92" s="1104">
        <v>3.6</v>
      </c>
      <c r="BE92" s="1104">
        <v>2.5</v>
      </c>
      <c r="BF92" s="23">
        <f>23.8+13.9-BC92-BD92-BE92</f>
        <v>28.200000000000003</v>
      </c>
      <c r="BG92" s="533">
        <f>SUM(BC92:BF92)</f>
        <v>37.700000000000003</v>
      </c>
      <c r="BH92" s="734"/>
      <c r="BI92" s="1455">
        <f>2.5+0.6+3.2</f>
        <v>6.3000000000000007</v>
      </c>
      <c r="BJ92" s="23">
        <f>2.6+0.3+1.8</f>
        <v>4.7</v>
      </c>
      <c r="BK92" s="23">
        <f>8.6+1.3+0.8</f>
        <v>10.700000000000001</v>
      </c>
      <c r="BL92" s="23">
        <f>11.7+2.3+0.9</f>
        <v>14.9</v>
      </c>
      <c r="BM92" s="533">
        <f>SUM(BI92:BL92)</f>
        <v>36.6</v>
      </c>
      <c r="BN92" s="734"/>
      <c r="BO92" s="1455">
        <f>2.4+5.2+2.8</f>
        <v>10.399999999999999</v>
      </c>
      <c r="BP92" s="23">
        <f>1.3+0.5+10.7</f>
        <v>12.5</v>
      </c>
      <c r="BQ92" s="23">
        <f>1.4+8.3+16.2</f>
        <v>25.9</v>
      </c>
      <c r="BR92" s="23">
        <f>6.8+1+6.3</f>
        <v>14.1</v>
      </c>
      <c r="BS92" s="533">
        <f>SUM(BO92:BR92)</f>
        <v>62.9</v>
      </c>
      <c r="BT92" s="734"/>
      <c r="BU92" s="1455">
        <f>3.3+5.2+11.9</f>
        <v>20.399999999999999</v>
      </c>
      <c r="BV92" s="23">
        <f>5.2-2.8+3.7</f>
        <v>6.1000000000000005</v>
      </c>
      <c r="BW92" s="23">
        <f>12.7+1.2+5.6</f>
        <v>19.5</v>
      </c>
      <c r="BX92" s="23">
        <f>8.1-3.3+2.9</f>
        <v>7.6999999999999993</v>
      </c>
      <c r="BY92" s="533">
        <f>SUM(BU92:BX92)</f>
        <v>53.7</v>
      </c>
      <c r="BZ92" s="734"/>
      <c r="CA92" s="822">
        <f t="shared" si="99"/>
        <v>7.8999999999999995</v>
      </c>
      <c r="CB92" s="15">
        <f t="shared" si="99"/>
        <v>11.500000000000002</v>
      </c>
      <c r="CC92" s="15">
        <f t="shared" si="99"/>
        <v>7.3000000000000007</v>
      </c>
      <c r="CD92" s="15">
        <f t="shared" ref="CD92" si="103">+CD77-CD84</f>
        <v>9.6</v>
      </c>
      <c r="CE92" s="533">
        <f>SUM(CA92:CD92)</f>
        <v>36.300000000000004</v>
      </c>
      <c r="CF92" s="734"/>
      <c r="CG92" s="822">
        <f t="shared" ref="CG92:CH92" si="104">+CG77-CG84</f>
        <v>4.7</v>
      </c>
      <c r="CH92" s="15">
        <f t="shared" si="104"/>
        <v>10.7</v>
      </c>
      <c r="CI92" s="15">
        <f t="shared" ref="CI92:CJ92" si="105">+CI77-CI84</f>
        <v>4.5</v>
      </c>
      <c r="CJ92" s="15">
        <f t="shared" si="105"/>
        <v>5.9999999999999885</v>
      </c>
      <c r="CK92" s="533">
        <f>SUM(CG92:CJ92)</f>
        <v>25.899999999999988</v>
      </c>
      <c r="CL92" s="734"/>
      <c r="CM92" s="822"/>
      <c r="CN92" s="15"/>
      <c r="CO92" s="734"/>
      <c r="CP92" s="815"/>
      <c r="CQ92" s="816"/>
      <c r="CR92" s="734"/>
      <c r="CS92" s="822"/>
      <c r="CT92" s="15"/>
      <c r="CU92" s="734"/>
      <c r="CV92" s="815"/>
      <c r="CW92" s="816"/>
      <c r="CX92" s="1720"/>
      <c r="CY92" s="822"/>
      <c r="CZ92" s="15"/>
      <c r="DA92" s="734"/>
      <c r="DB92" s="815"/>
      <c r="DC92" s="816"/>
      <c r="DD92" s="1720"/>
      <c r="DE92" s="822"/>
      <c r="DF92" s="15"/>
      <c r="DG92" s="734"/>
      <c r="DH92" s="815"/>
      <c r="DI92" s="816"/>
      <c r="DJ92"/>
      <c r="DK92"/>
      <c r="DL92"/>
      <c r="DM92"/>
      <c r="DN92"/>
      <c r="DO92"/>
    </row>
    <row r="93" spans="1:119" s="10" customFormat="1" ht="11.25" customHeight="1">
      <c r="A93" s="1798" t="s">
        <v>61</v>
      </c>
      <c r="B93" s="734"/>
      <c r="C93" s="817">
        <f>SUM(C89:C92)</f>
        <v>-0.161</v>
      </c>
      <c r="D93" s="733"/>
      <c r="E93" s="817">
        <f>SUM(E89:E92)</f>
        <v>3.1779999999999999</v>
      </c>
      <c r="F93" s="733"/>
      <c r="G93" s="817">
        <f>SUM(G89:G92)</f>
        <v>2.1189999999999998</v>
      </c>
      <c r="H93" s="733"/>
      <c r="I93" s="817">
        <f>SUM(I89:I92)</f>
        <v>2.9170000000000003</v>
      </c>
      <c r="J93" s="733"/>
      <c r="K93" s="817">
        <f>SUM(K89:K92)</f>
        <v>8.3149999999999995</v>
      </c>
      <c r="L93" s="733"/>
      <c r="M93" s="817">
        <f>SUM(M89:M92)</f>
        <v>3.2669999999999995</v>
      </c>
      <c r="N93" s="733"/>
      <c r="O93" s="817">
        <f>SUM(O89:O92)</f>
        <v>-1.1180000000000001</v>
      </c>
      <c r="P93" s="733"/>
      <c r="Q93" s="817">
        <f>SUM(Q89:Q92)</f>
        <v>22.422000000000001</v>
      </c>
      <c r="R93" s="733"/>
      <c r="S93" s="1710">
        <f>SUM(S89:S92)</f>
        <v>6.0419999999999998</v>
      </c>
      <c r="T93" s="478">
        <f>SUM(T89:T92)</f>
        <v>6.5660000000000007</v>
      </c>
      <c r="U93" s="478">
        <f>SUM(U89:U92)</f>
        <v>7.9450000000000003</v>
      </c>
      <c r="V93" s="478">
        <f>SUM(V89:V92)</f>
        <v>15.832999999999998</v>
      </c>
      <c r="W93" s="817">
        <f>SUM(W89:W92)</f>
        <v>36.385999999999996</v>
      </c>
      <c r="X93" s="733"/>
      <c r="Y93" s="1710">
        <f>SUM(Y89:Y92)</f>
        <v>20.102999999999998</v>
      </c>
      <c r="Z93" s="478">
        <f>SUM(Z89:Z92)</f>
        <v>22.189999999999998</v>
      </c>
      <c r="AA93" s="478">
        <f>SUM(AA89:AA92)</f>
        <v>31.06</v>
      </c>
      <c r="AB93" s="478">
        <f>SUM(AB89:AB92)</f>
        <v>73.946999999999989</v>
      </c>
      <c r="AC93" s="817">
        <f>SUM(AC89:AC92)</f>
        <v>147.29999999999998</v>
      </c>
      <c r="AD93" s="733"/>
      <c r="AE93" s="1710">
        <f>SUM(AE89:AE92)</f>
        <v>22.3</v>
      </c>
      <c r="AF93" s="478">
        <f>SUM(AF89:AF92)</f>
        <v>29.9</v>
      </c>
      <c r="AG93" s="478">
        <f>SUM(AG89:AG92)</f>
        <v>16.399999999999999</v>
      </c>
      <c r="AH93" s="478">
        <f>SUM(AH89:AH92)</f>
        <v>52.599999999999994</v>
      </c>
      <c r="AI93" s="817">
        <f>SUM(AI89:AI92)</f>
        <v>121.2</v>
      </c>
      <c r="AJ93" s="733"/>
      <c r="AK93" s="1710">
        <f>SUM(AK89:AK92)</f>
        <v>15.100000000000001</v>
      </c>
      <c r="AL93" s="478">
        <f>SUM(AL89:AL92)</f>
        <v>19.7</v>
      </c>
      <c r="AM93" s="478">
        <f>SUM(AM89:AM92)</f>
        <v>26.4</v>
      </c>
      <c r="AN93" s="478">
        <f>SUM(AN89:AN92)</f>
        <v>70.999999999999986</v>
      </c>
      <c r="AO93" s="817">
        <f>SUM(AO89:AO92)</f>
        <v>132.20000000000002</v>
      </c>
      <c r="AP93" s="733"/>
      <c r="AQ93" s="1710">
        <f>SUM(AQ89:AQ92)</f>
        <v>29.5</v>
      </c>
      <c r="AR93" s="478">
        <f>SUM(AR89:AR92)</f>
        <v>42.400000000000006</v>
      </c>
      <c r="AS93" s="478">
        <f>SUM(AS89:AS92)</f>
        <v>48.699999999999996</v>
      </c>
      <c r="AT93" s="478">
        <f>SUM(AT89:AT92)</f>
        <v>66.999999999999986</v>
      </c>
      <c r="AU93" s="817">
        <f>SUM(AU89:AU92)</f>
        <v>187.6</v>
      </c>
      <c r="AV93" s="733"/>
      <c r="AW93" s="1710">
        <f>SUM(AW89:AW92)</f>
        <v>37.599999999999994</v>
      </c>
      <c r="AX93" s="478">
        <f>SUM(AX89:AX92)</f>
        <v>52.2</v>
      </c>
      <c r="AY93" s="478">
        <f>SUM(AY89:AY92)</f>
        <v>52.199999999999996</v>
      </c>
      <c r="AZ93" s="478">
        <f>SUM(AZ89:AZ92)</f>
        <v>62.7</v>
      </c>
      <c r="BA93" s="817">
        <f>SUM(BA89:BA92)</f>
        <v>204.70000000000005</v>
      </c>
      <c r="BB93" s="733"/>
      <c r="BC93" s="1710">
        <f>SUM(BC89:BC92)</f>
        <v>43.6</v>
      </c>
      <c r="BD93" s="478">
        <f>SUM(BD89:BD92)</f>
        <v>33</v>
      </c>
      <c r="BE93" s="478">
        <f>SUM(BE89:BE92)</f>
        <v>69.400000000000006</v>
      </c>
      <c r="BF93" s="478">
        <f>SUM(BF89:BF92)</f>
        <v>73</v>
      </c>
      <c r="BG93" s="817">
        <f>SUM(BG89:BG92)</f>
        <v>219</v>
      </c>
      <c r="BH93" s="733"/>
      <c r="BI93" s="1710">
        <f>SUM(BI89:BI92)</f>
        <v>23.599999999999998</v>
      </c>
      <c r="BJ93" s="478">
        <f>SUM(BJ89:BJ92)</f>
        <v>53.300000000000004</v>
      </c>
      <c r="BK93" s="478">
        <f>SUM(BK89:BK92)</f>
        <v>47.300000000000004</v>
      </c>
      <c r="BL93" s="478">
        <f>SUM(BL89:BL92)</f>
        <v>81.300000000000011</v>
      </c>
      <c r="BM93" s="817">
        <f>SUM(BM89:BM92)</f>
        <v>205.49999999999997</v>
      </c>
      <c r="BN93" s="733"/>
      <c r="BO93" s="1710">
        <f>SUM(BO89:BO92)</f>
        <v>32.1</v>
      </c>
      <c r="BP93" s="478">
        <f>SUM(BP89:BP92)</f>
        <v>52.699999999999996</v>
      </c>
      <c r="BQ93" s="478">
        <f>SUM(BQ89:BQ92)</f>
        <v>35.9</v>
      </c>
      <c r="BR93" s="478">
        <f>SUM(BR89:BR92)</f>
        <v>63.7</v>
      </c>
      <c r="BS93" s="817">
        <f>SUM(BS89:BS92)</f>
        <v>184.4</v>
      </c>
      <c r="BT93" s="733"/>
      <c r="BU93" s="1710">
        <f>SUM(BU89:BU92)</f>
        <v>35.799999999999997</v>
      </c>
      <c r="BV93" s="478">
        <f>SUM(BV89:BV92)</f>
        <v>42.900000000000006</v>
      </c>
      <c r="BW93" s="478">
        <f>SUM(BW89:BW92)</f>
        <v>52.8</v>
      </c>
      <c r="BX93" s="478">
        <f>SUM(BX89:BX92)</f>
        <v>83.7</v>
      </c>
      <c r="BY93" s="817">
        <f>SUM(BY89:BY92)</f>
        <v>215.2</v>
      </c>
      <c r="BZ93" s="733"/>
      <c r="CA93" s="1710">
        <f>SUM(CA89:CA92)</f>
        <v>47.3</v>
      </c>
      <c r="CB93" s="478">
        <f>SUM(CB89:CB92)</f>
        <v>40</v>
      </c>
      <c r="CC93" s="478">
        <f>SUM(CC89:CC92)</f>
        <v>58.599999999999994</v>
      </c>
      <c r="CD93" s="478">
        <f>SUM(CD89:CD92)</f>
        <v>92</v>
      </c>
      <c r="CE93" s="817">
        <f>SUM(CE89:CE92)</f>
        <v>237.9</v>
      </c>
      <c r="CF93" s="733"/>
      <c r="CG93" s="1710">
        <f>SUM(CG89:CG92)</f>
        <v>49.2</v>
      </c>
      <c r="CH93" s="478">
        <f>SUM(CH89:CH92)</f>
        <v>51.7</v>
      </c>
      <c r="CI93" s="478">
        <f>SUM(CI89:CI92)</f>
        <v>64.399999999999991</v>
      </c>
      <c r="CJ93" s="478">
        <f>SUM(CJ89:CJ92)</f>
        <v>110.79999999999998</v>
      </c>
      <c r="CK93" s="817">
        <f>SUM(CK89:CK92)</f>
        <v>276.09999999999997</v>
      </c>
      <c r="CL93" s="733"/>
      <c r="CM93" s="1709"/>
      <c r="CN93" s="733"/>
      <c r="CO93" s="733"/>
      <c r="CP93" s="1803"/>
      <c r="CQ93" s="818"/>
      <c r="CR93" s="733"/>
      <c r="CS93" s="1709"/>
      <c r="CT93" s="733"/>
      <c r="CU93" s="733"/>
      <c r="CV93" s="1803"/>
      <c r="CW93" s="818"/>
      <c r="CX93" s="478"/>
      <c r="CY93" s="1709"/>
      <c r="CZ93" s="733"/>
      <c r="DA93" s="733"/>
      <c r="DB93" s="1803"/>
      <c r="DC93" s="818"/>
      <c r="DD93" s="478"/>
      <c r="DE93" s="1709"/>
      <c r="DF93" s="733"/>
      <c r="DG93" s="733"/>
      <c r="DH93" s="1803"/>
      <c r="DI93" s="818"/>
      <c r="DJ93"/>
      <c r="DK93"/>
      <c r="DL93"/>
      <c r="DM93"/>
      <c r="DN93"/>
      <c r="DO93"/>
    </row>
    <row r="94" spans="1:119" s="10" customFormat="1" ht="11.25" customHeight="1">
      <c r="A94" s="1805" t="s">
        <v>57</v>
      </c>
      <c r="B94" s="734"/>
      <c r="C94" s="1806">
        <f>C93/C9</f>
        <v>-3.814533134314214E-3</v>
      </c>
      <c r="D94" s="734"/>
      <c r="E94" s="1806">
        <f>E93/E9</f>
        <v>4.9126603802751585E-2</v>
      </c>
      <c r="F94" s="734"/>
      <c r="G94" s="1806">
        <f>G93/G9</f>
        <v>2.7662463121067331E-2</v>
      </c>
      <c r="H94" s="734"/>
      <c r="I94" s="1806">
        <f>I93/I9</f>
        <v>3.1470153520838054E-2</v>
      </c>
      <c r="J94" s="734"/>
      <c r="K94" s="1806">
        <f>K93/K9</f>
        <v>3.768274886929094E-2</v>
      </c>
      <c r="L94" s="734"/>
      <c r="M94" s="1806">
        <f>M93/M9</f>
        <v>1.2532655104553873E-2</v>
      </c>
      <c r="N94" s="734"/>
      <c r="O94" s="1806">
        <f>O93/O9</f>
        <v>-3.9308618361836188E-3</v>
      </c>
      <c r="P94" s="734"/>
      <c r="Q94" s="1806">
        <f>Q93/Q9</f>
        <v>6.023322847633196E-2</v>
      </c>
      <c r="R94" s="734"/>
      <c r="S94" s="1807">
        <f>S93/S9</f>
        <v>6.3696550560850135E-2</v>
      </c>
      <c r="T94" s="1441">
        <f>T93/T9</f>
        <v>6.5344386612660857E-2</v>
      </c>
      <c r="U94" s="1441">
        <f>U93/U9</f>
        <v>7.5760465338037569E-2</v>
      </c>
      <c r="V94" s="1441">
        <f>V93/V9</f>
        <v>0.11674101382488476</v>
      </c>
      <c r="W94" s="1806">
        <f>W93/W9</f>
        <v>8.3485914361890068E-2</v>
      </c>
      <c r="X94" s="734"/>
      <c r="Y94" s="1807">
        <f>Y93/Y9</f>
        <v>9.6865122195667244E-2</v>
      </c>
      <c r="Z94" s="1441">
        <f>Z93/Z9</f>
        <v>9.3101509595455267E-2</v>
      </c>
      <c r="AA94" s="1441">
        <f>AA93/AA9</f>
        <v>0.12847452018530775</v>
      </c>
      <c r="AB94" s="1441">
        <f>AB93/AB9</f>
        <v>0.21448709544555367</v>
      </c>
      <c r="AC94" s="1806">
        <f>AC93/AC9</f>
        <v>0.14267725687717936</v>
      </c>
      <c r="AD94" s="734"/>
      <c r="AE94" s="1807">
        <f>AE93/AE9</f>
        <v>9.3579521611414182E-2</v>
      </c>
      <c r="AF94" s="1441">
        <f>AF93/AF9</f>
        <v>9.5987158908507217E-2</v>
      </c>
      <c r="AG94" s="1441">
        <f>AG93/AG9</f>
        <v>6.7740603056588175E-2</v>
      </c>
      <c r="AH94" s="1441">
        <f>AH93/AH9</f>
        <v>0.1668781725888325</v>
      </c>
      <c r="AI94" s="1806">
        <f>AI93/AI9</f>
        <v>0.1094752054918255</v>
      </c>
      <c r="AJ94" s="734"/>
      <c r="AK94" s="1807">
        <f>AK93/AK9</f>
        <v>6.5509761388286333E-2</v>
      </c>
      <c r="AL94" s="1441">
        <f>AL93/AL9</f>
        <v>7.801980198019802E-2</v>
      </c>
      <c r="AM94" s="1441">
        <f>AM93/AM9</f>
        <v>9.9585062240663907E-2</v>
      </c>
      <c r="AN94" s="1441">
        <f>AN93/AN9</f>
        <v>0.19377729257641915</v>
      </c>
      <c r="AO94" s="1806">
        <f>AO93/AO9</f>
        <v>0.1186182144459399</v>
      </c>
      <c r="AP94" s="734"/>
      <c r="AQ94" s="1807">
        <f>AQ93/AQ9</f>
        <v>0.10622974432841197</v>
      </c>
      <c r="AR94" s="1441">
        <f>AR93/AR9</f>
        <v>0.14091060152874713</v>
      </c>
      <c r="AS94" s="1441">
        <f>AS93/AS9</f>
        <v>0.15699548678272082</v>
      </c>
      <c r="AT94" s="1441">
        <f>AT93/AT9</f>
        <v>0.16101898582071614</v>
      </c>
      <c r="AU94" s="1806">
        <f>AU93/AU9</f>
        <v>0.14376580580887424</v>
      </c>
      <c r="AV94" s="734"/>
      <c r="AW94" s="1807">
        <f>AW93/AW9</f>
        <v>0.1053221288515406</v>
      </c>
      <c r="AX94" s="1441">
        <f>AX93/AX9</f>
        <v>0.13010967098703888</v>
      </c>
      <c r="AY94" s="1441">
        <f>AY93/AY9</f>
        <v>0.12476099426386233</v>
      </c>
      <c r="AZ94" s="1441">
        <f>AZ93/AZ9</f>
        <v>0.13197221637549991</v>
      </c>
      <c r="BA94" s="1806">
        <f>BA93/BA9</f>
        <v>0.12393291760004847</v>
      </c>
      <c r="BB94" s="734"/>
      <c r="BC94" s="1807">
        <f>BC93/BC9</f>
        <v>0.10749506903353057</v>
      </c>
      <c r="BD94" s="1441">
        <f>BD93/BD9</f>
        <v>7.8440694081293075E-2</v>
      </c>
      <c r="BE94" s="1441">
        <f>BE93/BE9</f>
        <v>0.15497990174184906</v>
      </c>
      <c r="BF94" s="1441">
        <f>BF93/BF9</f>
        <v>0.14111734003479603</v>
      </c>
      <c r="BG94" s="1806">
        <f>BG93/BG9</f>
        <v>0.12225075360053589</v>
      </c>
      <c r="BH94" s="734"/>
      <c r="BI94" s="1807">
        <f>BI93/BI9</f>
        <v>5.9989832231825101E-2</v>
      </c>
      <c r="BJ94" s="1441">
        <f>BJ93/BJ9</f>
        <v>0.11716860848538141</v>
      </c>
      <c r="BK94" s="1441">
        <f>BK93/BK9</f>
        <v>0.10774487471526197</v>
      </c>
      <c r="BL94" s="1441">
        <f>BL93/BL9</f>
        <v>0.1472559318963956</v>
      </c>
      <c r="BM94" s="1806">
        <f>BM93/BM9</f>
        <v>0.11172121343916493</v>
      </c>
      <c r="BN94" s="734"/>
      <c r="BO94" s="1807">
        <f>BO93/BO9</f>
        <v>7.5761151758319559E-2</v>
      </c>
      <c r="BP94" s="1441">
        <f>BP93/BP9</f>
        <v>0.11521644075207696</v>
      </c>
      <c r="BQ94" s="1441">
        <f>BQ93/BQ9</f>
        <v>8.5516912815626484E-2</v>
      </c>
      <c r="BR94" s="1441">
        <f>BR93/BR9</f>
        <v>0.12539370078740156</v>
      </c>
      <c r="BS94" s="1806">
        <f>BS93/BS9</f>
        <v>0.10194040577146332</v>
      </c>
      <c r="BT94" s="734"/>
      <c r="BU94" s="1807">
        <f>BU93/BU9</f>
        <v>0.10127298444130127</v>
      </c>
      <c r="BV94" s="1441">
        <f>BV93/BV9</f>
        <v>0.10833333333333335</v>
      </c>
      <c r="BW94" s="1441">
        <f>BW93/BW9</f>
        <v>0.13329967180005048</v>
      </c>
      <c r="BX94" s="1441">
        <f>BX93/BX9</f>
        <v>0.17503136762860735</v>
      </c>
      <c r="BY94" s="1806">
        <f>BY93/BY9</f>
        <v>0.13252863653159255</v>
      </c>
      <c r="BZ94" s="734"/>
      <c r="CA94" s="1807">
        <f>CA93/CA9</f>
        <v>0.12599893446989877</v>
      </c>
      <c r="CB94" s="1441">
        <f>CB93/CB9</f>
        <v>0.10761366693570082</v>
      </c>
      <c r="CC94" s="1441">
        <f>CC93/CC9</f>
        <v>0.14876872302614877</v>
      </c>
      <c r="CD94" s="1441">
        <f>CD93/CD9</f>
        <v>0.19561981713799703</v>
      </c>
      <c r="CE94" s="1806">
        <f>CE93/CE9</f>
        <v>0.14764475889033699</v>
      </c>
      <c r="CF94" s="734"/>
      <c r="CG94" s="1807">
        <f>CG93/CG9</f>
        <v>0.1278254091971941</v>
      </c>
      <c r="CH94" s="1441">
        <f>CH93/CH9</f>
        <v>0.12460833935888167</v>
      </c>
      <c r="CI94" s="1441">
        <f>CI93/CI9</f>
        <v>0.14784205693296601</v>
      </c>
      <c r="CJ94" s="1441">
        <f>CJ93/CJ9</f>
        <v>0.20885956644674822</v>
      </c>
      <c r="CK94" s="1806">
        <f>CK93/CK9</f>
        <v>0.1563508692451441</v>
      </c>
      <c r="CL94" s="734"/>
      <c r="CM94" s="1808"/>
      <c r="CN94" s="1809"/>
      <c r="CO94" s="734"/>
      <c r="CP94" s="815"/>
      <c r="CQ94" s="816"/>
      <c r="CR94" s="734"/>
      <c r="CS94" s="1808"/>
      <c r="CT94" s="1809"/>
      <c r="CU94" s="734"/>
      <c r="CV94" s="815"/>
      <c r="CW94" s="816"/>
      <c r="CX94" s="1720"/>
      <c r="CY94" s="1808"/>
      <c r="CZ94" s="1809"/>
      <c r="DA94" s="734"/>
      <c r="DB94" s="815"/>
      <c r="DC94" s="816"/>
      <c r="DD94" s="1720"/>
      <c r="DE94" s="1808"/>
      <c r="DF94" s="1809"/>
      <c r="DG94" s="734"/>
      <c r="DH94" s="815"/>
      <c r="DI94" s="816"/>
      <c r="DJ94"/>
      <c r="DK94"/>
      <c r="DL94"/>
      <c r="DM94"/>
      <c r="DN94"/>
      <c r="DO94"/>
    </row>
    <row r="95" spans="1:119" s="10" customFormat="1" ht="11.25" customHeight="1">
      <c r="A95" s="1463" t="s">
        <v>476</v>
      </c>
      <c r="B95" s="734"/>
      <c r="C95" s="533">
        <f>C21</f>
        <v>2.4649999999999999</v>
      </c>
      <c r="D95" s="734"/>
      <c r="E95" s="533">
        <f>E21</f>
        <v>3.3170000000000002</v>
      </c>
      <c r="F95" s="734"/>
      <c r="G95" s="533">
        <f>G21</f>
        <v>3.2</v>
      </c>
      <c r="H95" s="734"/>
      <c r="I95" s="533">
        <f>I21</f>
        <v>4.24</v>
      </c>
      <c r="J95" s="734"/>
      <c r="K95" s="533">
        <f>K21+K22</f>
        <v>11.824</v>
      </c>
      <c r="L95" s="734"/>
      <c r="M95" s="533">
        <f>M21</f>
        <v>10.178000000000001</v>
      </c>
      <c r="N95" s="734"/>
      <c r="O95" s="533">
        <f>O21</f>
        <v>9.2929999999999993</v>
      </c>
      <c r="P95" s="734">
        <f>P21</f>
        <v>0</v>
      </c>
      <c r="Q95" s="533">
        <f>Q21</f>
        <v>10.006</v>
      </c>
      <c r="R95" s="734"/>
      <c r="S95" s="1716">
        <f>S21</f>
        <v>3.2222499999999998</v>
      </c>
      <c r="T95" s="477">
        <f>T21</f>
        <v>3.2222499999999998</v>
      </c>
      <c r="U95" s="477">
        <f>U21</f>
        <v>3.0222500000000001</v>
      </c>
      <c r="V95" s="477">
        <f>V21</f>
        <v>2.6222500000000002</v>
      </c>
      <c r="W95" s="533">
        <f>W21</f>
        <v>12.089</v>
      </c>
      <c r="X95" s="734"/>
      <c r="Y95" s="1716">
        <f>Y21</f>
        <v>6.8879999999999999</v>
      </c>
      <c r="Z95" s="477">
        <f>Z21</f>
        <v>6.8879999999999999</v>
      </c>
      <c r="AA95" s="477">
        <f>AA21</f>
        <v>7.1879999999999997</v>
      </c>
      <c r="AB95" s="477">
        <f>AB21</f>
        <v>4.9359999999999964</v>
      </c>
      <c r="AC95" s="533">
        <f>AC21</f>
        <v>25.9</v>
      </c>
      <c r="AD95" s="734"/>
      <c r="AE95" s="1716">
        <f>AE21</f>
        <v>7</v>
      </c>
      <c r="AF95" s="477">
        <f>AF21</f>
        <v>6.8</v>
      </c>
      <c r="AG95" s="477">
        <f>AG21</f>
        <v>7.4</v>
      </c>
      <c r="AH95" s="477">
        <f>AH21</f>
        <v>6.3</v>
      </c>
      <c r="AI95" s="533">
        <f>AI21</f>
        <v>27.500000000000004</v>
      </c>
      <c r="AJ95" s="734"/>
      <c r="AK95" s="1716">
        <f>AK21</f>
        <v>6.1999999999999993</v>
      </c>
      <c r="AL95" s="477">
        <f>AL21</f>
        <v>6.4</v>
      </c>
      <c r="AM95" s="477">
        <f>AM21</f>
        <v>6.4999999999999982</v>
      </c>
      <c r="AN95" s="477">
        <f>AN21</f>
        <v>8.8000000000000007</v>
      </c>
      <c r="AO95" s="533">
        <f>AO21</f>
        <v>27.9</v>
      </c>
      <c r="AP95" s="734"/>
      <c r="AQ95" s="1716">
        <f>AQ21</f>
        <v>7</v>
      </c>
      <c r="AR95" s="477">
        <f>AR21</f>
        <v>6.6</v>
      </c>
      <c r="AS95" s="477">
        <f>AS21</f>
        <v>8.1000000000000014</v>
      </c>
      <c r="AT95" s="477">
        <f>AT21</f>
        <v>8.6000000000000014</v>
      </c>
      <c r="AU95" s="533">
        <f>AU21</f>
        <v>30.300000000000004</v>
      </c>
      <c r="AV95" s="734"/>
      <c r="AW95" s="1716">
        <f>AW21</f>
        <v>8</v>
      </c>
      <c r="AX95" s="477">
        <f>AX21</f>
        <v>9.6</v>
      </c>
      <c r="AY95" s="477">
        <f>AY21</f>
        <v>8.5999999999999979</v>
      </c>
      <c r="AZ95" s="477">
        <f>AZ21</f>
        <v>8.6</v>
      </c>
      <c r="BA95" s="533">
        <f>BA21</f>
        <v>34.799999999999997</v>
      </c>
      <c r="BB95" s="734"/>
      <c r="BC95" s="1716">
        <f>BC21</f>
        <v>8.5</v>
      </c>
      <c r="BD95" s="477">
        <f>BD21</f>
        <v>9.4000000000000021</v>
      </c>
      <c r="BE95" s="477">
        <f>BE21</f>
        <v>8.3999999999999986</v>
      </c>
      <c r="BF95" s="477">
        <f>BF21</f>
        <v>10.8</v>
      </c>
      <c r="BG95" s="533">
        <f>BG21</f>
        <v>37.1</v>
      </c>
      <c r="BH95" s="734"/>
      <c r="BI95" s="1716">
        <f>BI21</f>
        <v>10.1</v>
      </c>
      <c r="BJ95" s="477">
        <f>BJ21</f>
        <v>9.9</v>
      </c>
      <c r="BK95" s="477">
        <f>BK21</f>
        <v>10.1</v>
      </c>
      <c r="BL95" s="477">
        <f>BL21</f>
        <v>10.5</v>
      </c>
      <c r="BM95" s="533">
        <f>BM21</f>
        <v>40.6</v>
      </c>
      <c r="BN95" s="734"/>
      <c r="BO95" s="1716">
        <f>BO21</f>
        <v>10</v>
      </c>
      <c r="BP95" s="477">
        <f>BP21</f>
        <v>10</v>
      </c>
      <c r="BQ95" s="477">
        <f>BQ21</f>
        <v>12.500000000000002</v>
      </c>
      <c r="BR95" s="477">
        <f>BR21</f>
        <v>7.0000000000000018</v>
      </c>
      <c r="BS95" s="533">
        <f>BS21</f>
        <v>39.5</v>
      </c>
      <c r="BT95" s="734"/>
      <c r="BU95" s="1716">
        <f>BU21</f>
        <v>8.3000000000000007</v>
      </c>
      <c r="BV95" s="477">
        <f>BV21</f>
        <v>7.9999999999999991</v>
      </c>
      <c r="BW95" s="477">
        <f>BW21</f>
        <v>8.2000000000000011</v>
      </c>
      <c r="BX95" s="477">
        <f>BX21</f>
        <v>8.0999999999999943</v>
      </c>
      <c r="BY95" s="533">
        <f>BY21</f>
        <v>32.599999999999994</v>
      </c>
      <c r="BZ95" s="734"/>
      <c r="CA95" s="1716">
        <f>CA21</f>
        <v>7.7999999999999989</v>
      </c>
      <c r="CB95" s="477">
        <f>CB21</f>
        <v>8.1</v>
      </c>
      <c r="CC95" s="477">
        <f>CC21</f>
        <v>8.3000000000000007</v>
      </c>
      <c r="CD95" s="477">
        <f>CD21</f>
        <v>8.399999999999995</v>
      </c>
      <c r="CE95" s="533">
        <f>CE21</f>
        <v>32.599999999999994</v>
      </c>
      <c r="CF95" s="734"/>
      <c r="CG95" s="1716">
        <f>CG21</f>
        <v>8.1999999999999993</v>
      </c>
      <c r="CH95" s="477">
        <f>CH21</f>
        <v>8.5</v>
      </c>
      <c r="CI95" s="477">
        <f>CI21</f>
        <v>8.9</v>
      </c>
      <c r="CJ95" s="477">
        <f>CJ21</f>
        <v>8.6999999999999957</v>
      </c>
      <c r="CK95" s="533">
        <f>CK21</f>
        <v>34.299999999999997</v>
      </c>
      <c r="CL95" s="734"/>
      <c r="CM95" s="822"/>
      <c r="CN95" s="15"/>
      <c r="CO95" s="734"/>
      <c r="CP95" s="815"/>
      <c r="CQ95" s="816"/>
      <c r="CR95" s="734"/>
      <c r="CS95" s="822"/>
      <c r="CT95" s="15"/>
      <c r="CU95" s="734"/>
      <c r="CV95" s="815"/>
      <c r="CW95" s="816"/>
      <c r="CX95" s="1720"/>
      <c r="CY95" s="822"/>
      <c r="CZ95" s="15"/>
      <c r="DA95" s="734"/>
      <c r="DB95" s="815"/>
      <c r="DC95" s="816"/>
      <c r="DD95" s="1720"/>
      <c r="DE95" s="822"/>
      <c r="DF95" s="15"/>
      <c r="DG95" s="734"/>
      <c r="DH95" s="815"/>
      <c r="DI95" s="816"/>
      <c r="DJ95"/>
      <c r="DK95"/>
      <c r="DL95"/>
      <c r="DM95"/>
      <c r="DN95"/>
      <c r="DO95"/>
    </row>
    <row r="96" spans="1:119" s="10" customFormat="1" ht="11.25" customHeight="1">
      <c r="A96" s="1798" t="s">
        <v>62</v>
      </c>
      <c r="B96" s="734"/>
      <c r="C96" s="817">
        <f>C93+C95</f>
        <v>2.3039999999999998</v>
      </c>
      <c r="D96" s="733"/>
      <c r="E96" s="817">
        <f>E93+E95</f>
        <v>6.4950000000000001</v>
      </c>
      <c r="F96" s="733"/>
      <c r="G96" s="817">
        <f>G93+G95</f>
        <v>5.319</v>
      </c>
      <c r="H96" s="733"/>
      <c r="I96" s="817">
        <f>I93+I95</f>
        <v>7.157</v>
      </c>
      <c r="J96" s="733"/>
      <c r="K96" s="817">
        <f>K93+K95</f>
        <v>20.138999999999999</v>
      </c>
      <c r="L96" s="733"/>
      <c r="M96" s="817">
        <f>M93+M95</f>
        <v>13.445</v>
      </c>
      <c r="N96" s="733"/>
      <c r="O96" s="817">
        <f>O93+O95</f>
        <v>8.1749999999999989</v>
      </c>
      <c r="P96" s="733"/>
      <c r="Q96" s="817">
        <f>Q93+Q95</f>
        <v>32.427999999999997</v>
      </c>
      <c r="R96" s="733"/>
      <c r="S96" s="1710">
        <f>S93+S95</f>
        <v>9.2642500000000005</v>
      </c>
      <c r="T96" s="478">
        <f>T93+T95</f>
        <v>9.7882500000000014</v>
      </c>
      <c r="U96" s="478">
        <f>U93+U95</f>
        <v>10.96725</v>
      </c>
      <c r="V96" s="478">
        <f>V93+V95</f>
        <v>18.455249999999999</v>
      </c>
      <c r="W96" s="817">
        <f>W93+W95</f>
        <v>48.474999999999994</v>
      </c>
      <c r="X96" s="733"/>
      <c r="Y96" s="1710">
        <f>Y93+Y95</f>
        <v>26.991</v>
      </c>
      <c r="Z96" s="478">
        <f>Z93+Z95</f>
        <v>29.077999999999996</v>
      </c>
      <c r="AA96" s="478">
        <f>AA93+AA95</f>
        <v>38.247999999999998</v>
      </c>
      <c r="AB96" s="478">
        <f>AB93+AB95</f>
        <v>78.882999999999981</v>
      </c>
      <c r="AC96" s="817">
        <f>AC93+AC95</f>
        <v>173.2</v>
      </c>
      <c r="AD96" s="733"/>
      <c r="AE96" s="1710">
        <f>AE93+AE95</f>
        <v>29.3</v>
      </c>
      <c r="AF96" s="478">
        <f>AF93+AF95</f>
        <v>36.699999999999996</v>
      </c>
      <c r="AG96" s="478">
        <f>AG93+AG95</f>
        <v>23.799999999999997</v>
      </c>
      <c r="AH96" s="478">
        <f>AH93+AH95</f>
        <v>58.899999999999991</v>
      </c>
      <c r="AI96" s="817">
        <f>AI93+AI95</f>
        <v>148.70000000000002</v>
      </c>
      <c r="AJ96" s="733"/>
      <c r="AK96" s="1710">
        <f>AK93+AK95</f>
        <v>21.3</v>
      </c>
      <c r="AL96" s="478">
        <f>AL93+AL95</f>
        <v>26.1</v>
      </c>
      <c r="AM96" s="478">
        <f>AM93+AM95</f>
        <v>32.9</v>
      </c>
      <c r="AN96" s="478">
        <f>AN93+AN95</f>
        <v>79.799999999999983</v>
      </c>
      <c r="AO96" s="817">
        <f>AO93+AO95</f>
        <v>160.10000000000002</v>
      </c>
      <c r="AP96" s="733"/>
      <c r="AQ96" s="1710">
        <f>AQ93+AQ95</f>
        <v>36.5</v>
      </c>
      <c r="AR96" s="478">
        <f>AR93+AR95</f>
        <v>49.000000000000007</v>
      </c>
      <c r="AS96" s="478">
        <f>AS93+AS95</f>
        <v>56.8</v>
      </c>
      <c r="AT96" s="478">
        <f>AT93+AT95</f>
        <v>75.599999999999994</v>
      </c>
      <c r="AU96" s="817">
        <f>AU93+AU95</f>
        <v>217.9</v>
      </c>
      <c r="AV96" s="733"/>
      <c r="AW96" s="1710">
        <f>AW93+AW95</f>
        <v>45.599999999999994</v>
      </c>
      <c r="AX96" s="478">
        <f>AX93+AX95</f>
        <v>61.800000000000004</v>
      </c>
      <c r="AY96" s="478">
        <f>AY93+AY95</f>
        <v>60.8</v>
      </c>
      <c r="AZ96" s="478">
        <f>AZ93+AZ95</f>
        <v>71.3</v>
      </c>
      <c r="BA96" s="817">
        <f>BA93+BA95</f>
        <v>239.50000000000006</v>
      </c>
      <c r="BB96" s="733"/>
      <c r="BC96" s="1710">
        <f>BC93+BC95</f>
        <v>52.1</v>
      </c>
      <c r="BD96" s="478">
        <f>BD93+BD95</f>
        <v>42.400000000000006</v>
      </c>
      <c r="BE96" s="478">
        <f>BE93+BE95</f>
        <v>77.800000000000011</v>
      </c>
      <c r="BF96" s="478">
        <f>BF93+BF95</f>
        <v>83.8</v>
      </c>
      <c r="BG96" s="817">
        <f>BG93+BG95</f>
        <v>256.10000000000002</v>
      </c>
      <c r="BH96" s="733"/>
      <c r="BI96" s="1710">
        <f>BI93+BI95</f>
        <v>33.699999999999996</v>
      </c>
      <c r="BJ96" s="478">
        <f>BJ93+BJ95</f>
        <v>63.2</v>
      </c>
      <c r="BK96" s="478">
        <f>BK93+BK95</f>
        <v>57.400000000000006</v>
      </c>
      <c r="BL96" s="478">
        <f>BL93+BL95</f>
        <v>91.800000000000011</v>
      </c>
      <c r="BM96" s="817">
        <f>BM93+BM95</f>
        <v>246.09999999999997</v>
      </c>
      <c r="BN96" s="733"/>
      <c r="BO96" s="1710">
        <f>BO93+BO95</f>
        <v>42.1</v>
      </c>
      <c r="BP96" s="478">
        <f>BP93+BP95</f>
        <v>62.699999999999996</v>
      </c>
      <c r="BQ96" s="478">
        <f>BQ93+BQ95</f>
        <v>48.4</v>
      </c>
      <c r="BR96" s="478">
        <f>BR93+BR95</f>
        <v>70.7</v>
      </c>
      <c r="BS96" s="817">
        <f>BS93+BS95</f>
        <v>223.9</v>
      </c>
      <c r="BT96" s="733"/>
      <c r="BU96" s="1710">
        <f>BU93+BU95</f>
        <v>44.099999999999994</v>
      </c>
      <c r="BV96" s="478">
        <f>BV93+BV95</f>
        <v>50.900000000000006</v>
      </c>
      <c r="BW96" s="478">
        <f>BW93+BW95</f>
        <v>61</v>
      </c>
      <c r="BX96" s="478">
        <f>BX93+BX95</f>
        <v>91.8</v>
      </c>
      <c r="BY96" s="817">
        <f>BY93+BY95</f>
        <v>247.79999999999998</v>
      </c>
      <c r="BZ96" s="733"/>
      <c r="CA96" s="1710">
        <f>CA93+CA95</f>
        <v>55.099999999999994</v>
      </c>
      <c r="CB96" s="478">
        <f>CB93+CB95</f>
        <v>48.1</v>
      </c>
      <c r="CC96" s="478">
        <f>CC93+CC95</f>
        <v>66.899999999999991</v>
      </c>
      <c r="CD96" s="478">
        <f>CD93+CD95</f>
        <v>100.39999999999999</v>
      </c>
      <c r="CE96" s="817">
        <f>CE93+CE95</f>
        <v>270.5</v>
      </c>
      <c r="CF96" s="733"/>
      <c r="CG96" s="1710">
        <f>CG93+CG95</f>
        <v>57.400000000000006</v>
      </c>
      <c r="CH96" s="478">
        <f>CH93+CH95</f>
        <v>60.2</v>
      </c>
      <c r="CI96" s="478">
        <f>CI93+CI95</f>
        <v>73.3</v>
      </c>
      <c r="CJ96" s="478">
        <f>CJ93+CJ95</f>
        <v>119.49999999999997</v>
      </c>
      <c r="CK96" s="817">
        <f>CK93+CK95</f>
        <v>310.39999999999998</v>
      </c>
      <c r="CL96" s="733"/>
      <c r="CM96" s="1709"/>
      <c r="CN96" s="733"/>
      <c r="CO96" s="733"/>
      <c r="CP96" s="1803"/>
      <c r="CQ96" s="818"/>
      <c r="CR96" s="733"/>
      <c r="CS96" s="1709"/>
      <c r="CT96" s="733"/>
      <c r="CU96" s="733"/>
      <c r="CV96" s="1803"/>
      <c r="CW96" s="818"/>
      <c r="CX96" s="478"/>
      <c r="CY96" s="1709"/>
      <c r="CZ96" s="733"/>
      <c r="DA96" s="733"/>
      <c r="DB96" s="1803"/>
      <c r="DC96" s="818"/>
      <c r="DD96" s="478"/>
      <c r="DE96" s="1709"/>
      <c r="DF96" s="733"/>
      <c r="DG96" s="733"/>
      <c r="DH96" s="1803"/>
      <c r="DI96" s="818"/>
      <c r="DJ96"/>
      <c r="DK96"/>
      <c r="DL96"/>
      <c r="DM96"/>
      <c r="DN96"/>
      <c r="DO96"/>
    </row>
    <row r="97" spans="1:119" s="10" customFormat="1" ht="11.25" hidden="1" customHeight="1" outlineLevel="1">
      <c r="A97" s="1810" t="s">
        <v>68</v>
      </c>
      <c r="B97" s="734"/>
      <c r="C97" s="1448">
        <f>C96-C24</f>
        <v>4.8849813083506888E-15</v>
      </c>
      <c r="D97" s="15"/>
      <c r="E97" s="1448">
        <f>E96-E24</f>
        <v>0</v>
      </c>
      <c r="F97" s="15"/>
      <c r="G97" s="1448">
        <f>G96-G24</f>
        <v>0</v>
      </c>
      <c r="H97" s="15"/>
      <c r="I97" s="1448">
        <f>I96-I24</f>
        <v>-8.8817841970012523E-15</v>
      </c>
      <c r="J97" s="15"/>
      <c r="K97" s="1448">
        <f>K96-K24</f>
        <v>0</v>
      </c>
      <c r="L97" s="15"/>
      <c r="M97" s="1448">
        <f>M96-M24</f>
        <v>-2.4868995751603507E-14</v>
      </c>
      <c r="N97" s="15"/>
      <c r="O97" s="1448">
        <f>O96-O24</f>
        <v>0</v>
      </c>
      <c r="P97" s="15"/>
      <c r="Q97" s="1448">
        <f>Q96-Q24</f>
        <v>0</v>
      </c>
      <c r="R97" s="15"/>
      <c r="S97" s="1811">
        <f>S96-S24</f>
        <v>0</v>
      </c>
      <c r="T97" s="1438">
        <f>T96-T24</f>
        <v>1.4210854715202004E-14</v>
      </c>
      <c r="U97" s="1438">
        <f>U96-U24</f>
        <v>0</v>
      </c>
      <c r="V97" s="1438">
        <f>V96-V24</f>
        <v>0</v>
      </c>
      <c r="W97" s="1448">
        <f>W96-W24</f>
        <v>0</v>
      </c>
      <c r="X97" s="15"/>
      <c r="Y97" s="1811">
        <f>Y96-Y24</f>
        <v>0</v>
      </c>
      <c r="Z97" s="1438">
        <f>Z96-Z24</f>
        <v>0</v>
      </c>
      <c r="AA97" s="1438">
        <f>AA96-AA24</f>
        <v>0</v>
      </c>
      <c r="AB97" s="1438">
        <f>AB96-AB24</f>
        <v>0</v>
      </c>
      <c r="AC97" s="1448">
        <f>AC96-AC24</f>
        <v>0</v>
      </c>
      <c r="AD97" s="15"/>
      <c r="AE97" s="1811">
        <f>AE96-AE24</f>
        <v>0</v>
      </c>
      <c r="AF97" s="1438">
        <f>AF96-AF24</f>
        <v>0</v>
      </c>
      <c r="AG97" s="1438">
        <f>AG96-AG24</f>
        <v>0</v>
      </c>
      <c r="AH97" s="1438">
        <f>AH96-AH24</f>
        <v>8.5265128291212022E-14</v>
      </c>
      <c r="AI97" s="1448">
        <f>AI96-AI24</f>
        <v>0</v>
      </c>
      <c r="AJ97" s="15"/>
      <c r="AK97" s="1811">
        <f>AK96-AK24</f>
        <v>0</v>
      </c>
      <c r="AL97" s="1438">
        <f>AL96-AL24</f>
        <v>0</v>
      </c>
      <c r="AM97" s="1438">
        <f>AM96-AM24</f>
        <v>0</v>
      </c>
      <c r="AN97" s="1438">
        <f>AN96-AN24</f>
        <v>0</v>
      </c>
      <c r="AO97" s="1448">
        <f>AO96-AO24</f>
        <v>0</v>
      </c>
      <c r="AP97" s="15"/>
      <c r="AQ97" s="1811">
        <f>AQ96-AQ24</f>
        <v>0</v>
      </c>
      <c r="AR97" s="1438">
        <f>AR96-AR24</f>
        <v>0</v>
      </c>
      <c r="AS97" s="1438">
        <f>AS96-AS24</f>
        <v>0</v>
      </c>
      <c r="AT97" s="1438">
        <f>AT96-AT24</f>
        <v>0</v>
      </c>
      <c r="AU97" s="1448">
        <f>AU96-AU24</f>
        <v>0</v>
      </c>
      <c r="AV97" s="15"/>
      <c r="AW97" s="1811">
        <f>ROUND(AW96-AW24,3)</f>
        <v>0</v>
      </c>
      <c r="AX97" s="1438">
        <f>ROUND(AX96-AX24,3)</f>
        <v>0</v>
      </c>
      <c r="AY97" s="1438">
        <f>ROUND(AY96-AY24,3)</f>
        <v>0</v>
      </c>
      <c r="AZ97" s="1819">
        <f>ROUND(AZ96-AZ24,3)</f>
        <v>0</v>
      </c>
      <c r="BA97" s="1448">
        <f>ROUND(BA96-BA24,3)</f>
        <v>0</v>
      </c>
      <c r="BB97" s="15"/>
      <c r="BC97" s="1811">
        <f>ROUND(BC96-BC24,3)</f>
        <v>0</v>
      </c>
      <c r="BD97" s="1438">
        <f>ROUND(BD96-BD24,3)</f>
        <v>0</v>
      </c>
      <c r="BE97" s="1438">
        <f>ROUND(BE96-BE24,3)</f>
        <v>0</v>
      </c>
      <c r="BF97" s="1819">
        <f>ROUND(BF96-BF24,3)</f>
        <v>0</v>
      </c>
      <c r="BG97" s="1448">
        <f>ROUND(BG96-BG24,3)</f>
        <v>0</v>
      </c>
      <c r="BH97" s="15"/>
      <c r="BI97" s="1811">
        <f>ROUND(BI96-BI24,3)</f>
        <v>0</v>
      </c>
      <c r="BJ97" s="1438">
        <f>ROUND(BJ96-BJ24,3)</f>
        <v>0</v>
      </c>
      <c r="BK97" s="1438">
        <f>ROUND(BK96-BK24,3)</f>
        <v>0</v>
      </c>
      <c r="BL97" s="1819">
        <f>ROUND(BL96-BL24,3)</f>
        <v>0</v>
      </c>
      <c r="BM97" s="1448">
        <f>ROUND(BM96-BM24,3)</f>
        <v>0</v>
      </c>
      <c r="BN97" s="734"/>
      <c r="BO97" s="1811">
        <f>ROUND(BO96-BO24,3)</f>
        <v>0</v>
      </c>
      <c r="BP97" s="1438">
        <f>ROUND(BP96-BP24,3)</f>
        <v>0</v>
      </c>
      <c r="BQ97" s="1438">
        <f>ROUND(BQ96-BQ24,3)</f>
        <v>0</v>
      </c>
      <c r="BR97" s="1819">
        <f>ROUND(BR96-BR24,3)</f>
        <v>0</v>
      </c>
      <c r="BS97" s="1448">
        <f>ROUND(BS96-BS24,3)</f>
        <v>0</v>
      </c>
      <c r="BT97" s="734"/>
      <c r="BU97" s="1811">
        <f>ROUND(BU96-BU24,3)</f>
        <v>0</v>
      </c>
      <c r="BV97" s="1438">
        <f>ROUND(BV96-BV24,3)</f>
        <v>0</v>
      </c>
      <c r="BW97" s="1438">
        <f>ROUND(BW96-BW24,3)</f>
        <v>0</v>
      </c>
      <c r="BX97" s="1819">
        <f>ROUND(BX96-BX24,3)</f>
        <v>0</v>
      </c>
      <c r="BY97" s="1448">
        <f>ROUND(BY96-BY24,3)</f>
        <v>0</v>
      </c>
      <c r="BZ97" s="734"/>
      <c r="CA97" s="1811">
        <f>ROUND(CA96-CA24,3)</f>
        <v>0</v>
      </c>
      <c r="CB97" s="1438">
        <f>ROUND(CB96-CB24,3)</f>
        <v>0</v>
      </c>
      <c r="CC97" s="1438">
        <f>ROUND(CC96-CC24,3)</f>
        <v>0</v>
      </c>
      <c r="CD97" s="1438">
        <f>ROUND(CD96-CD24,3)</f>
        <v>0</v>
      </c>
      <c r="CE97" s="1448">
        <f>ROUND(CE96-CE24,3)</f>
        <v>0</v>
      </c>
      <c r="CF97" s="734"/>
      <c r="CG97" s="1811">
        <f>ROUND(CG96-CG24,3)</f>
        <v>0</v>
      </c>
      <c r="CH97" s="1438">
        <f>ROUND(CH96-CH24,3)</f>
        <v>0</v>
      </c>
      <c r="CI97" s="1438">
        <f>ROUND(CI96-CI24,3)</f>
        <v>0</v>
      </c>
      <c r="CJ97" s="1438">
        <f>ROUND(CJ96-CJ24,3)</f>
        <v>0</v>
      </c>
      <c r="CK97" s="1448">
        <f>ROUND(CK96-CK24,3)</f>
        <v>0</v>
      </c>
      <c r="CL97" s="734"/>
      <c r="CM97" s="1812"/>
      <c r="CN97" s="1443"/>
      <c r="CO97" s="734"/>
      <c r="CP97" s="815"/>
      <c r="CQ97" s="816"/>
      <c r="CR97" s="734"/>
      <c r="CS97" s="1812"/>
      <c r="CT97" s="1443"/>
      <c r="CU97" s="734"/>
      <c r="CV97" s="815"/>
      <c r="CW97" s="816"/>
      <c r="CX97" s="1720"/>
      <c r="CY97" s="1812"/>
      <c r="CZ97" s="1443"/>
      <c r="DA97" s="734"/>
      <c r="DB97" s="815"/>
      <c r="DC97" s="816"/>
      <c r="DD97" s="1720"/>
      <c r="DE97" s="1812"/>
      <c r="DF97" s="1443"/>
      <c r="DG97" s="734"/>
      <c r="DH97" s="815"/>
      <c r="DI97" s="816"/>
      <c r="DJ97"/>
      <c r="DK97"/>
      <c r="DL97"/>
      <c r="DM97"/>
      <c r="DN97"/>
      <c r="DO97"/>
    </row>
    <row r="98" spans="1:119" s="10" customFormat="1" ht="11.25" customHeight="1" collapsed="1">
      <c r="A98" s="1810"/>
      <c r="B98" s="734"/>
      <c r="C98" s="1813"/>
      <c r="D98" s="734"/>
      <c r="E98" s="1813"/>
      <c r="F98" s="734"/>
      <c r="G98" s="1813"/>
      <c r="H98" s="734"/>
      <c r="I98" s="1813"/>
      <c r="J98" s="734"/>
      <c r="K98" s="1813"/>
      <c r="L98" s="734"/>
      <c r="M98" s="1813"/>
      <c r="N98" s="734"/>
      <c r="O98" s="1813"/>
      <c r="P98" s="734"/>
      <c r="Q98" s="1813"/>
      <c r="R98" s="734"/>
      <c r="S98" s="1814"/>
      <c r="T98" s="1815"/>
      <c r="U98" s="1815"/>
      <c r="V98" s="1815"/>
      <c r="W98" s="1813"/>
      <c r="X98" s="734"/>
      <c r="Y98" s="1814"/>
      <c r="Z98" s="1815"/>
      <c r="AA98" s="1815"/>
      <c r="AB98" s="1815"/>
      <c r="AC98" s="1813"/>
      <c r="AD98" s="734"/>
      <c r="AE98" s="1814"/>
      <c r="AF98" s="1815"/>
      <c r="AG98" s="1815"/>
      <c r="AH98" s="1815"/>
      <c r="AI98" s="1813"/>
      <c r="AJ98" s="734"/>
      <c r="AK98" s="1814"/>
      <c r="AL98" s="1815"/>
      <c r="AM98" s="1815"/>
      <c r="AN98" s="1815"/>
      <c r="AO98" s="1813"/>
      <c r="AP98" s="734"/>
      <c r="AQ98" s="1814"/>
      <c r="AR98" s="1815"/>
      <c r="AS98" s="1815"/>
      <c r="AT98" s="1815"/>
      <c r="AU98" s="1813"/>
      <c r="AV98" s="734"/>
      <c r="AW98" s="1814"/>
      <c r="AX98" s="1815"/>
      <c r="AY98" s="1815"/>
      <c r="AZ98" s="1815"/>
      <c r="BA98" s="1813"/>
      <c r="BB98" s="734"/>
      <c r="BC98" s="1814"/>
      <c r="BD98" s="1815"/>
      <c r="BE98" s="1815"/>
      <c r="BF98" s="815"/>
      <c r="BG98" s="1813"/>
      <c r="BH98" s="734"/>
      <c r="BI98" s="1814"/>
      <c r="BJ98" s="1815"/>
      <c r="BK98" s="1815"/>
      <c r="BL98" s="815"/>
      <c r="BM98" s="1813"/>
      <c r="BN98" s="734"/>
      <c r="BO98" s="1814"/>
      <c r="BP98" s="1443"/>
      <c r="BQ98" s="1443"/>
      <c r="BR98" s="815"/>
      <c r="BS98" s="1813"/>
      <c r="BT98" s="734"/>
      <c r="BU98" s="1812"/>
      <c r="BV98" s="1443"/>
      <c r="BW98" s="1443"/>
      <c r="BX98" s="815"/>
      <c r="BY98" s="1813"/>
      <c r="BZ98" s="734"/>
      <c r="CA98" s="1812"/>
      <c r="CB98" s="1443"/>
      <c r="CC98" s="734"/>
      <c r="CD98" s="815"/>
      <c r="CE98" s="1813"/>
      <c r="CF98" s="734"/>
      <c r="CG98" s="1812"/>
      <c r="CH98" s="1443"/>
      <c r="CI98" s="1443"/>
      <c r="CJ98" s="815"/>
      <c r="CK98" s="1813"/>
      <c r="CL98" s="734"/>
      <c r="CM98" s="1812"/>
      <c r="CN98" s="1443"/>
      <c r="CO98" s="734"/>
      <c r="CP98" s="815"/>
      <c r="CQ98" s="816"/>
      <c r="CR98" s="734"/>
      <c r="CS98" s="1812"/>
      <c r="CT98" s="1443"/>
      <c r="CU98" s="734"/>
      <c r="CV98" s="815"/>
      <c r="CW98" s="816"/>
      <c r="CX98" s="1720"/>
      <c r="CY98" s="1812"/>
      <c r="CZ98" s="1443"/>
      <c r="DA98" s="734"/>
      <c r="DB98" s="815"/>
      <c r="DC98" s="816"/>
      <c r="DD98" s="1720"/>
      <c r="DE98" s="1812"/>
      <c r="DF98" s="1443"/>
      <c r="DG98" s="734"/>
      <c r="DH98" s="815"/>
      <c r="DI98" s="816"/>
      <c r="DJ98"/>
      <c r="DK98"/>
      <c r="DL98"/>
      <c r="DM98"/>
      <c r="DN98"/>
      <c r="DO98"/>
    </row>
    <row r="99" spans="1:119" s="10" customFormat="1" ht="11.25" customHeight="1">
      <c r="A99" s="1798" t="s">
        <v>63</v>
      </c>
      <c r="B99" s="734"/>
      <c r="C99" s="1818">
        <v>0</v>
      </c>
      <c r="D99" s="733"/>
      <c r="E99" s="1818">
        <v>0.98699999999999999</v>
      </c>
      <c r="F99" s="733"/>
      <c r="G99" s="1818">
        <v>0.254</v>
      </c>
      <c r="H99" s="733"/>
      <c r="I99" s="1818">
        <v>2.3690000000000002</v>
      </c>
      <c r="J99" s="733"/>
      <c r="K99" s="1818">
        <v>2.7810000000000001</v>
      </c>
      <c r="L99" s="733"/>
      <c r="M99" s="1818">
        <v>9.7240000000000002</v>
      </c>
      <c r="N99" s="733"/>
      <c r="O99" s="1818">
        <v>2.8650000000000002</v>
      </c>
      <c r="P99" s="733"/>
      <c r="Q99" s="1818">
        <v>11.855</v>
      </c>
      <c r="R99" s="733"/>
      <c r="S99" s="1801">
        <v>3.24</v>
      </c>
      <c r="T99" s="1440">
        <v>2.6230000000000002</v>
      </c>
      <c r="U99" s="1440">
        <v>3.5350000000000001</v>
      </c>
      <c r="V99" s="1817">
        <f>15.931-S99-T99-U99</f>
        <v>6.5329999999999977</v>
      </c>
      <c r="W99" s="817">
        <f>SUM(S99:V99)</f>
        <v>15.930999999999997</v>
      </c>
      <c r="X99" s="733"/>
      <c r="Y99" s="1801">
        <v>6.0229999999999997</v>
      </c>
      <c r="Z99" s="1440">
        <v>6.2839999999999998</v>
      </c>
      <c r="AA99" s="1440">
        <v>4.6159999999999997</v>
      </c>
      <c r="AB99" s="1817">
        <f>44.3-Y99-Z99-AA99</f>
        <v>27.377000000000002</v>
      </c>
      <c r="AC99" s="817">
        <f>SUM(Y99:AB99)</f>
        <v>44.3</v>
      </c>
      <c r="AD99" s="733"/>
      <c r="AE99" s="1801">
        <v>4.2</v>
      </c>
      <c r="AF99" s="1440">
        <v>10.3</v>
      </c>
      <c r="AG99" s="1440">
        <v>-2</v>
      </c>
      <c r="AH99" s="1817">
        <f>28-AE99-AF99-AG99</f>
        <v>15.5</v>
      </c>
      <c r="AI99" s="817">
        <f>SUM(AE99:AH99)</f>
        <v>28</v>
      </c>
      <c r="AJ99" s="733"/>
      <c r="AK99" s="1801">
        <v>5.8</v>
      </c>
      <c r="AL99" s="1440">
        <v>4.5999999999999996</v>
      </c>
      <c r="AM99" s="1440">
        <v>8.1</v>
      </c>
      <c r="AN99" s="1817">
        <f>48.1-AK99-AL99-AM99</f>
        <v>29.6</v>
      </c>
      <c r="AO99" s="817">
        <f>SUM(AK99:AN99)</f>
        <v>48.1</v>
      </c>
      <c r="AP99" s="733"/>
      <c r="AQ99" s="1801">
        <v>10.6</v>
      </c>
      <c r="AR99" s="1440">
        <v>10.8</v>
      </c>
      <c r="AS99" s="1440">
        <v>10.3</v>
      </c>
      <c r="AT99" s="1817">
        <f>53.3-SUM(AQ99:AS99)</f>
        <v>21.599999999999998</v>
      </c>
      <c r="AU99" s="817">
        <f>SUM(AQ99:AT99)</f>
        <v>53.3</v>
      </c>
      <c r="AV99" s="733"/>
      <c r="AW99" s="1801">
        <v>9</v>
      </c>
      <c r="AX99" s="1440">
        <v>10.4</v>
      </c>
      <c r="AY99" s="1440">
        <v>19.3</v>
      </c>
      <c r="AZ99" s="1817">
        <f>51.5-SUM(AW99:AY99)</f>
        <v>12.799999999999997</v>
      </c>
      <c r="BA99" s="817">
        <f>SUM(AW99:AZ99)</f>
        <v>51.5</v>
      </c>
      <c r="BB99" s="733"/>
      <c r="BC99" s="1801">
        <v>11.8</v>
      </c>
      <c r="BD99" s="1440">
        <v>9.4</v>
      </c>
      <c r="BE99" s="1440">
        <v>17.7</v>
      </c>
      <c r="BF99" s="1817">
        <f>60.1-SUM(BC99:BE99)</f>
        <v>21.199999999999996</v>
      </c>
      <c r="BG99" s="817">
        <f>SUM(BC99:BF99)</f>
        <v>60.1</v>
      </c>
      <c r="BH99" s="733"/>
      <c r="BI99" s="1801">
        <v>2.6</v>
      </c>
      <c r="BJ99" s="1440">
        <v>12.4</v>
      </c>
      <c r="BK99" s="1440">
        <v>9.9</v>
      </c>
      <c r="BL99" s="1817">
        <v>17.899999999999999</v>
      </c>
      <c r="BM99" s="817">
        <f>SUM(BI99:BL99)</f>
        <v>42.8</v>
      </c>
      <c r="BN99" s="733"/>
      <c r="BO99" s="1801">
        <v>5.7</v>
      </c>
      <c r="BP99" s="1440">
        <v>16.3</v>
      </c>
      <c r="BQ99" s="1440">
        <v>2.7</v>
      </c>
      <c r="BR99" s="1817">
        <v>17</v>
      </c>
      <c r="BS99" s="817">
        <f>SUM(BO99:BR99)</f>
        <v>41.7</v>
      </c>
      <c r="BT99" s="733"/>
      <c r="BU99" s="1456">
        <v>4.8</v>
      </c>
      <c r="BV99" s="1440">
        <v>2.2999999999999998</v>
      </c>
      <c r="BW99" s="1825">
        <v>10.7</v>
      </c>
      <c r="BX99" s="1817">
        <v>5.3</v>
      </c>
      <c r="BY99" s="817">
        <f>SUM(BU99:BX99)</f>
        <v>23.099999999999998</v>
      </c>
      <c r="BZ99" s="733"/>
      <c r="CA99" s="1456">
        <v>4.8</v>
      </c>
      <c r="CB99" s="1440">
        <v>3</v>
      </c>
      <c r="CC99" s="1440">
        <v>-4</v>
      </c>
      <c r="CD99" s="1440">
        <v>19.3</v>
      </c>
      <c r="CE99" s="817">
        <f>SUM(CA99:CD99)</f>
        <v>23.1</v>
      </c>
      <c r="CF99" s="733"/>
      <c r="CG99" s="1456">
        <v>9.9</v>
      </c>
      <c r="CH99" s="1440">
        <v>6.2</v>
      </c>
      <c r="CI99" s="1440">
        <v>9.8000000000000007</v>
      </c>
      <c r="CJ99" s="1440">
        <v>91.6</v>
      </c>
      <c r="CK99" s="817">
        <f>SUM(CG99:CJ99)</f>
        <v>117.5</v>
      </c>
      <c r="CL99" s="733"/>
      <c r="CM99" s="1709"/>
      <c r="CN99" s="733"/>
      <c r="CO99" s="733"/>
      <c r="CP99" s="1803"/>
      <c r="CQ99" s="818"/>
      <c r="CR99" s="733"/>
      <c r="CS99" s="1709"/>
      <c r="CT99" s="733"/>
      <c r="CU99" s="733"/>
      <c r="CV99" s="1803"/>
      <c r="CW99" s="818"/>
      <c r="CX99" s="478"/>
      <c r="CY99" s="1709"/>
      <c r="CZ99" s="733"/>
      <c r="DA99" s="733"/>
      <c r="DB99" s="1803"/>
      <c r="DC99" s="818"/>
      <c r="DD99" s="478"/>
      <c r="DE99" s="1709"/>
      <c r="DF99" s="733"/>
      <c r="DG99" s="733"/>
      <c r="DH99" s="1803"/>
      <c r="DI99" s="818"/>
      <c r="DJ99"/>
      <c r="DK99"/>
      <c r="DL99"/>
      <c r="DM99"/>
      <c r="DN99"/>
      <c r="DO99"/>
    </row>
    <row r="100" spans="1:119" s="10" customFormat="1" ht="11.25" customHeight="1">
      <c r="A100" s="1463" t="s">
        <v>64</v>
      </c>
      <c r="B100" s="734"/>
      <c r="C100" s="533">
        <f>C101-C99</f>
        <v>0</v>
      </c>
      <c r="D100" s="734"/>
      <c r="E100" s="533">
        <f>E101-E99</f>
        <v>0.18830000000000002</v>
      </c>
      <c r="F100" s="734"/>
      <c r="G100" s="533">
        <f>G101-G99</f>
        <v>0.48475000000000001</v>
      </c>
      <c r="H100" s="734"/>
      <c r="I100" s="533">
        <f>I101-I99</f>
        <v>-0.12460000000000004</v>
      </c>
      <c r="J100" s="734"/>
      <c r="K100" s="533">
        <f>K101-K99</f>
        <v>1.109</v>
      </c>
      <c r="L100" s="734"/>
      <c r="M100" s="533">
        <f>M101-M99</f>
        <v>-7.6820000000000004</v>
      </c>
      <c r="N100" s="734"/>
      <c r="O100" s="533">
        <f>O101-O99</f>
        <v>0</v>
      </c>
      <c r="P100" s="734"/>
      <c r="Q100" s="533">
        <f>Q101-Q99</f>
        <v>0</v>
      </c>
      <c r="R100" s="734"/>
      <c r="S100" s="1716">
        <f>S101-S99</f>
        <v>0.14874633123689707</v>
      </c>
      <c r="T100" s="477">
        <f>T101-T99</f>
        <v>0.46698252969951071</v>
      </c>
      <c r="U100" s="477">
        <f>U101-U99</f>
        <v>0.1215520614954575</v>
      </c>
      <c r="V100" s="477">
        <f>V101-V99</f>
        <v>-1.3280922431860631E-2</v>
      </c>
      <c r="W100" s="533">
        <f>SUM(S100:V100)</f>
        <v>0.72400000000000464</v>
      </c>
      <c r="X100" s="734"/>
      <c r="Y100" s="1716">
        <f>Y101-Y99</f>
        <v>0.11000000000000032</v>
      </c>
      <c r="Z100" s="477">
        <f>Z101-Z99</f>
        <v>0.11300000000000043</v>
      </c>
      <c r="AA100" s="477">
        <f>AA101-AA99</f>
        <v>0.19599999999999973</v>
      </c>
      <c r="AB100" s="477">
        <f>AB101-AB99</f>
        <v>0.18099999999999739</v>
      </c>
      <c r="AC100" s="533">
        <f>SUM(Y100:AB100)</f>
        <v>0.59999999999999787</v>
      </c>
      <c r="AD100" s="734"/>
      <c r="AE100" s="1716">
        <f>AE101-AE99</f>
        <v>0.20000000000000018</v>
      </c>
      <c r="AF100" s="477">
        <f>AF101-AF99</f>
        <v>0.19999999999999929</v>
      </c>
      <c r="AG100" s="477">
        <f>AG101-AG99</f>
        <v>0.19999999999999996</v>
      </c>
      <c r="AH100" s="477">
        <f>AH101-AH99</f>
        <v>-0.59999999999999787</v>
      </c>
      <c r="AI100" s="533">
        <f>SUM(AE100:AH100)</f>
        <v>1.5543122344752192E-15</v>
      </c>
      <c r="AJ100" s="734"/>
      <c r="AK100" s="1716">
        <f>AK101-AK99</f>
        <v>0</v>
      </c>
      <c r="AL100" s="477">
        <f>AL101-AL99</f>
        <v>9.9999999999999645E-2</v>
      </c>
      <c r="AM100" s="477">
        <f>AM101-AM99</f>
        <v>0</v>
      </c>
      <c r="AN100" s="477">
        <f>AN101-AN99</f>
        <v>-1.8999999999999986</v>
      </c>
      <c r="AO100" s="533">
        <f>SUM(AK100:AN100)</f>
        <v>-1.7999999999999989</v>
      </c>
      <c r="AP100" s="734"/>
      <c r="AQ100" s="1716">
        <f>AQ101-AQ99</f>
        <v>0.40000000000000036</v>
      </c>
      <c r="AR100" s="477">
        <f>AR101-AR99</f>
        <v>0.59999999999999964</v>
      </c>
      <c r="AS100" s="477">
        <f>AS101-AS99</f>
        <v>1.5999999999999996</v>
      </c>
      <c r="AT100" s="477">
        <f>AT101-AT99</f>
        <v>-2.3000000000000007</v>
      </c>
      <c r="AU100" s="533">
        <f>SUM(AQ100:AT100)</f>
        <v>0.29999999999999893</v>
      </c>
      <c r="AV100" s="734"/>
      <c r="AW100" s="1716">
        <f>AW101-AW99</f>
        <v>0.40000000000000036</v>
      </c>
      <c r="AX100" s="477">
        <f>AX101-AX99</f>
        <v>1.7000000000000011</v>
      </c>
      <c r="AY100" s="477">
        <f>AY101-AY99</f>
        <v>-1.6999999999999993</v>
      </c>
      <c r="AZ100" s="477">
        <f>AZ101-AZ99</f>
        <v>-2.6999999999999957</v>
      </c>
      <c r="BA100" s="533">
        <f>SUM(AW100:AZ100)</f>
        <v>-2.2999999999999936</v>
      </c>
      <c r="BB100" s="734"/>
      <c r="BC100" s="1716">
        <f>BC101-BC99</f>
        <v>0.5</v>
      </c>
      <c r="BD100" s="477">
        <f>BD101-BD99</f>
        <v>0.29999999999999893</v>
      </c>
      <c r="BE100" s="477">
        <f>BE101-BE99</f>
        <v>1.6999999999999993</v>
      </c>
      <c r="BF100" s="477">
        <f>BF101-BF99</f>
        <v>-0.29999999999999716</v>
      </c>
      <c r="BG100" s="533">
        <f>SUM(BC100:BF100)</f>
        <v>2.2000000000000011</v>
      </c>
      <c r="BH100" s="734"/>
      <c r="BI100" s="1716">
        <f>BI101-BI99</f>
        <v>2.4999999999999996</v>
      </c>
      <c r="BJ100" s="477">
        <f>BJ101-BJ99</f>
        <v>1.2999999999999989</v>
      </c>
      <c r="BK100" s="477">
        <f>BK101-BK99</f>
        <v>-1.4000000000000004</v>
      </c>
      <c r="BL100" s="477">
        <f>BL101-BL99</f>
        <v>3.3000000000000043</v>
      </c>
      <c r="BM100" s="533">
        <f>SUM(BI100:BL100)</f>
        <v>5.7000000000000028</v>
      </c>
      <c r="BN100" s="734"/>
      <c r="BO100" s="1716">
        <f>BO101-BO99</f>
        <v>1.2000000000000002</v>
      </c>
      <c r="BP100" s="477">
        <f>BP101-BP99</f>
        <v>-1.2000000000000011</v>
      </c>
      <c r="BQ100" s="477">
        <f>BQ101-BQ99</f>
        <v>6.3999999999999995</v>
      </c>
      <c r="BR100" s="477">
        <f>BR101-BR99</f>
        <v>-4.3000000000000043</v>
      </c>
      <c r="BS100" s="533">
        <f>SUM(BO100:BR100)</f>
        <v>2.0999999999999943</v>
      </c>
      <c r="BT100" s="734"/>
      <c r="BU100" s="1716">
        <f>BU101-BU99</f>
        <v>4.0000000000000009</v>
      </c>
      <c r="BV100" s="477">
        <f>BV101-BV99</f>
        <v>1.5</v>
      </c>
      <c r="BW100" s="477">
        <f>BW101-BW99</f>
        <v>4.8000000000000007</v>
      </c>
      <c r="BX100" s="477">
        <f>BX101-BX99</f>
        <v>10</v>
      </c>
      <c r="BY100" s="533">
        <f>SUM(BU100:BX100)</f>
        <v>20.3</v>
      </c>
      <c r="BZ100" s="734"/>
      <c r="CA100" s="1716">
        <f>CA101-CA99</f>
        <v>2.6000000000000005</v>
      </c>
      <c r="CB100" s="477">
        <f>CB101-CB99</f>
        <v>1.5</v>
      </c>
      <c r="CC100" s="477">
        <f>CC101-CC99</f>
        <v>7.5</v>
      </c>
      <c r="CD100" s="477">
        <f>CD101-CD99</f>
        <v>1.1999999999999993</v>
      </c>
      <c r="CE100" s="533">
        <f>SUM(CA100:CD100)</f>
        <v>12.8</v>
      </c>
      <c r="CF100" s="734"/>
      <c r="CG100" s="1716">
        <f>CG101-CG99</f>
        <v>3.2999999999999989</v>
      </c>
      <c r="CH100" s="477">
        <f>CH101-CH99</f>
        <v>5.4999999999999991</v>
      </c>
      <c r="CI100" s="477">
        <f>CI101-CI99</f>
        <v>4</v>
      </c>
      <c r="CJ100" s="477">
        <f>CJ101-CJ99</f>
        <v>-65.599999999999994</v>
      </c>
      <c r="CK100" s="533">
        <f>SUM(CG100:CJ100)</f>
        <v>-52.8</v>
      </c>
      <c r="CL100" s="734"/>
      <c r="CM100" s="822"/>
      <c r="CN100" s="15"/>
      <c r="CO100" s="734"/>
      <c r="CP100" s="815"/>
      <c r="CQ100" s="816"/>
      <c r="CR100" s="734"/>
      <c r="CS100" s="822"/>
      <c r="CT100" s="15"/>
      <c r="CU100" s="734"/>
      <c r="CV100" s="815"/>
      <c r="CW100" s="816"/>
      <c r="CX100" s="1720"/>
      <c r="CY100" s="822"/>
      <c r="CZ100" s="15"/>
      <c r="DA100" s="734"/>
      <c r="DB100" s="815"/>
      <c r="DC100" s="816"/>
      <c r="DD100" s="1720"/>
      <c r="DE100" s="822"/>
      <c r="DF100" s="15"/>
      <c r="DG100" s="734"/>
      <c r="DH100" s="815"/>
      <c r="DI100" s="816"/>
      <c r="DJ100"/>
      <c r="DK100"/>
      <c r="DL100"/>
      <c r="DM100"/>
      <c r="DN100"/>
      <c r="DO100"/>
    </row>
    <row r="101" spans="1:119" s="10" customFormat="1" ht="11.25" customHeight="1">
      <c r="A101" s="1798" t="s">
        <v>65</v>
      </c>
      <c r="B101" s="734"/>
      <c r="C101" s="817">
        <f>C29</f>
        <v>0</v>
      </c>
      <c r="D101" s="733"/>
      <c r="E101" s="817">
        <f>E29</f>
        <v>1.1753</v>
      </c>
      <c r="F101" s="733"/>
      <c r="G101" s="817">
        <f>G29</f>
        <v>0.73875000000000002</v>
      </c>
      <c r="H101" s="733"/>
      <c r="I101" s="817">
        <f>I29</f>
        <v>2.2444000000000002</v>
      </c>
      <c r="J101" s="733"/>
      <c r="K101" s="817">
        <f>K29</f>
        <v>3.89</v>
      </c>
      <c r="L101" s="733"/>
      <c r="M101" s="817">
        <f>M29</f>
        <v>2.0419999999999998</v>
      </c>
      <c r="N101" s="733"/>
      <c r="O101" s="817">
        <f>O29</f>
        <v>2.8650000000000002</v>
      </c>
      <c r="P101" s="733"/>
      <c r="Q101" s="817">
        <f>Q29</f>
        <v>11.855</v>
      </c>
      <c r="R101" s="733"/>
      <c r="S101" s="1710">
        <f>S29</f>
        <v>3.3887463312368973</v>
      </c>
      <c r="T101" s="478">
        <f>T29</f>
        <v>3.0899825296995109</v>
      </c>
      <c r="U101" s="478">
        <f>U29</f>
        <v>3.6565520614954576</v>
      </c>
      <c r="V101" s="478">
        <f>V29</f>
        <v>6.5197190775681371</v>
      </c>
      <c r="W101" s="817">
        <f>W29</f>
        <v>16.655000000000001</v>
      </c>
      <c r="X101" s="733"/>
      <c r="Y101" s="1710">
        <f>Y29</f>
        <v>6.133</v>
      </c>
      <c r="Z101" s="478">
        <f>Z29</f>
        <v>6.3970000000000002</v>
      </c>
      <c r="AA101" s="478">
        <f>AA29</f>
        <v>4.8119999999999994</v>
      </c>
      <c r="AB101" s="478">
        <f>AB29</f>
        <v>27.558</v>
      </c>
      <c r="AC101" s="817">
        <f>AC29</f>
        <v>44.9</v>
      </c>
      <c r="AD101" s="733"/>
      <c r="AE101" s="1710">
        <f>AE29</f>
        <v>4.4000000000000004</v>
      </c>
      <c r="AF101" s="478">
        <f>AF29</f>
        <v>10.5</v>
      </c>
      <c r="AG101" s="478">
        <f>AG29</f>
        <v>-1.8</v>
      </c>
      <c r="AH101" s="478">
        <f>AH29</f>
        <v>14.900000000000002</v>
      </c>
      <c r="AI101" s="817">
        <f>AI29</f>
        <v>28</v>
      </c>
      <c r="AJ101" s="733"/>
      <c r="AK101" s="1710">
        <f>AK29</f>
        <v>5.8</v>
      </c>
      <c r="AL101" s="478">
        <f>AL29</f>
        <v>4.6999999999999993</v>
      </c>
      <c r="AM101" s="478">
        <f>AM29</f>
        <v>8.1</v>
      </c>
      <c r="AN101" s="478">
        <f>AN29</f>
        <v>27.700000000000003</v>
      </c>
      <c r="AO101" s="817">
        <f>AO29</f>
        <v>46.300000000000004</v>
      </c>
      <c r="AP101" s="733"/>
      <c r="AQ101" s="1710">
        <f>AQ29</f>
        <v>11</v>
      </c>
      <c r="AR101" s="478">
        <f>AR29</f>
        <v>11.4</v>
      </c>
      <c r="AS101" s="478">
        <f>AS29</f>
        <v>11.9</v>
      </c>
      <c r="AT101" s="478">
        <f>AT29</f>
        <v>19.299999999999997</v>
      </c>
      <c r="AU101" s="817">
        <f>AU29</f>
        <v>53.599999999999994</v>
      </c>
      <c r="AV101" s="733"/>
      <c r="AW101" s="1710">
        <f>AW29</f>
        <v>9.4</v>
      </c>
      <c r="AX101" s="478">
        <f>AX29</f>
        <v>12.100000000000001</v>
      </c>
      <c r="AY101" s="478">
        <f>AY29</f>
        <v>17.600000000000001</v>
      </c>
      <c r="AZ101" s="478">
        <f>AZ29</f>
        <v>10.100000000000001</v>
      </c>
      <c r="BA101" s="817">
        <f>BA29</f>
        <v>49.2</v>
      </c>
      <c r="BB101" s="733"/>
      <c r="BC101" s="1710">
        <f>BC29</f>
        <v>12.3</v>
      </c>
      <c r="BD101" s="478">
        <f>BD29</f>
        <v>9.6999999999999993</v>
      </c>
      <c r="BE101" s="478">
        <f>BE29</f>
        <v>19.399999999999999</v>
      </c>
      <c r="BF101" s="478">
        <f>BF29</f>
        <v>20.9</v>
      </c>
      <c r="BG101" s="817">
        <f>BG29</f>
        <v>62.3</v>
      </c>
      <c r="BH101" s="733"/>
      <c r="BI101" s="1710">
        <f>BI29</f>
        <v>5.0999999999999996</v>
      </c>
      <c r="BJ101" s="478">
        <f>BJ29</f>
        <v>13.7</v>
      </c>
      <c r="BK101" s="478">
        <f>BK29</f>
        <v>8.5</v>
      </c>
      <c r="BL101" s="478">
        <f>BL29</f>
        <v>21.200000000000003</v>
      </c>
      <c r="BM101" s="817">
        <f>BM29</f>
        <v>48.5</v>
      </c>
      <c r="BN101" s="733"/>
      <c r="BO101" s="1710">
        <f>BO29</f>
        <v>6.9</v>
      </c>
      <c r="BP101" s="478">
        <f>BP29</f>
        <v>15.1</v>
      </c>
      <c r="BQ101" s="478">
        <f>BQ29</f>
        <v>9.1</v>
      </c>
      <c r="BR101" s="478">
        <f>BR29</f>
        <v>12.699999999999996</v>
      </c>
      <c r="BS101" s="817">
        <f>BS29</f>
        <v>43.8</v>
      </c>
      <c r="BT101" s="733"/>
      <c r="BU101" s="1710">
        <f>BU29</f>
        <v>8.8000000000000007</v>
      </c>
      <c r="BV101" s="478">
        <f>BV29</f>
        <v>3.8</v>
      </c>
      <c r="BW101" s="478">
        <f>BW29</f>
        <v>15.5</v>
      </c>
      <c r="BX101" s="478">
        <f>BX29</f>
        <v>15.3</v>
      </c>
      <c r="BY101" s="817">
        <f>BY29</f>
        <v>43.400000000000006</v>
      </c>
      <c r="BZ101" s="733"/>
      <c r="CA101" s="1710">
        <f>CA29</f>
        <v>7.4</v>
      </c>
      <c r="CB101" s="478">
        <f>CB29</f>
        <v>4.5</v>
      </c>
      <c r="CC101" s="478">
        <f>CC29</f>
        <v>3.5</v>
      </c>
      <c r="CD101" s="478">
        <f>CD29</f>
        <v>20.5</v>
      </c>
      <c r="CE101" s="817">
        <f>CE29</f>
        <v>35.9</v>
      </c>
      <c r="CF101" s="733"/>
      <c r="CG101" s="1710">
        <f>CG29</f>
        <v>13.2</v>
      </c>
      <c r="CH101" s="478">
        <f>CH29</f>
        <v>11.7</v>
      </c>
      <c r="CI101" s="478">
        <f>CI29</f>
        <v>13.8</v>
      </c>
      <c r="CJ101" s="478">
        <f>CJ29</f>
        <v>26</v>
      </c>
      <c r="CK101" s="817">
        <f>CK29</f>
        <v>64.7</v>
      </c>
      <c r="CL101" s="733"/>
      <c r="CM101" s="1709"/>
      <c r="CN101" s="733"/>
      <c r="CO101" s="733"/>
      <c r="CP101" s="1803"/>
      <c r="CQ101" s="818"/>
      <c r="CR101" s="733"/>
      <c r="CS101" s="1709"/>
      <c r="CT101" s="733"/>
      <c r="CU101" s="733"/>
      <c r="CV101" s="1803"/>
      <c r="CW101" s="818"/>
      <c r="CX101" s="478"/>
      <c r="CY101" s="1709"/>
      <c r="CZ101" s="733"/>
      <c r="DA101" s="733"/>
      <c r="DB101" s="1803"/>
      <c r="DC101" s="818"/>
      <c r="DD101" s="478"/>
      <c r="DE101" s="1709"/>
      <c r="DF101" s="733"/>
      <c r="DG101" s="733"/>
      <c r="DH101" s="1803"/>
      <c r="DI101" s="818"/>
      <c r="DJ101"/>
      <c r="DK101"/>
      <c r="DL101"/>
      <c r="DM101"/>
      <c r="DN101"/>
      <c r="DO101"/>
    </row>
    <row r="102" spans="1:119" s="10" customFormat="1" ht="11.25" customHeight="1">
      <c r="A102" s="1810"/>
      <c r="B102" s="734"/>
      <c r="C102" s="1448"/>
      <c r="D102" s="15"/>
      <c r="E102" s="1448"/>
      <c r="F102" s="15"/>
      <c r="G102" s="1448"/>
      <c r="H102" s="15"/>
      <c r="I102" s="1448"/>
      <c r="J102" s="15"/>
      <c r="K102" s="1448"/>
      <c r="L102" s="15"/>
      <c r="M102" s="1448"/>
      <c r="N102" s="15"/>
      <c r="O102" s="1448"/>
      <c r="P102" s="15"/>
      <c r="Q102" s="1448"/>
      <c r="R102" s="15"/>
      <c r="S102" s="1811"/>
      <c r="T102" s="1438"/>
      <c r="U102" s="1438"/>
      <c r="V102" s="1438"/>
      <c r="W102" s="1448"/>
      <c r="X102" s="15"/>
      <c r="Y102" s="1811"/>
      <c r="Z102" s="1438"/>
      <c r="AA102" s="1438"/>
      <c r="AB102" s="1438"/>
      <c r="AC102" s="1448"/>
      <c r="AD102" s="15"/>
      <c r="AE102" s="1811"/>
      <c r="AF102" s="1438"/>
      <c r="AG102" s="1438"/>
      <c r="AH102" s="1438"/>
      <c r="AI102" s="1448"/>
      <c r="AJ102" s="15"/>
      <c r="AK102" s="1811"/>
      <c r="AL102" s="1438"/>
      <c r="AM102" s="1438"/>
      <c r="AN102" s="1438"/>
      <c r="AO102" s="1448"/>
      <c r="AP102" s="15"/>
      <c r="AQ102" s="1811"/>
      <c r="AR102" s="1438"/>
      <c r="AS102" s="1438"/>
      <c r="AT102" s="1438"/>
      <c r="AU102" s="1448"/>
      <c r="AV102" s="15"/>
      <c r="AW102" s="1811"/>
      <c r="AX102" s="1438"/>
      <c r="AY102" s="1438"/>
      <c r="AZ102" s="1819"/>
      <c r="BA102" s="1448"/>
      <c r="BB102" s="15"/>
      <c r="BC102" s="1811"/>
      <c r="BD102" s="1438"/>
      <c r="BE102" s="1438"/>
      <c r="BF102" s="1819"/>
      <c r="BG102" s="1448"/>
      <c r="BH102" s="15"/>
      <c r="BI102" s="1811"/>
      <c r="BJ102" s="1438"/>
      <c r="BK102" s="1438"/>
      <c r="BL102" s="1819"/>
      <c r="BM102" s="1448"/>
      <c r="BN102" s="734"/>
      <c r="BO102" s="1811"/>
      <c r="BP102" s="1438"/>
      <c r="BQ102" s="1438"/>
      <c r="BR102" s="1819"/>
      <c r="BS102" s="1448"/>
      <c r="BT102" s="734"/>
      <c r="BU102" s="1789"/>
      <c r="BV102" s="1438"/>
      <c r="BW102" s="734"/>
      <c r="BX102" s="815"/>
      <c r="BY102" s="816"/>
      <c r="BZ102" s="734"/>
      <c r="CA102" s="1812"/>
      <c r="CB102" s="1443"/>
      <c r="CC102" s="734"/>
      <c r="CD102" s="815"/>
      <c r="CE102" s="816"/>
      <c r="CF102" s="734"/>
      <c r="CG102" s="1812"/>
      <c r="CH102" s="1443"/>
      <c r="CI102" s="734"/>
      <c r="CJ102" s="815"/>
      <c r="CK102" s="816"/>
      <c r="CL102" s="734"/>
      <c r="CM102" s="1812"/>
      <c r="CN102" s="1443"/>
      <c r="CO102" s="734"/>
      <c r="CP102" s="815"/>
      <c r="CQ102" s="816"/>
      <c r="CR102" s="734"/>
      <c r="CS102" s="1812"/>
      <c r="CT102" s="1443"/>
      <c r="CU102" s="734"/>
      <c r="CV102" s="815"/>
      <c r="CW102" s="816"/>
      <c r="CX102" s="1720"/>
      <c r="CY102" s="1812"/>
      <c r="CZ102" s="1443"/>
      <c r="DA102" s="734"/>
      <c r="DB102" s="815"/>
      <c r="DC102" s="816"/>
      <c r="DD102" s="1720"/>
      <c r="DE102" s="1812"/>
      <c r="DF102" s="1443"/>
      <c r="DG102" s="734"/>
      <c r="DH102" s="815"/>
      <c r="DI102" s="816"/>
      <c r="DJ102"/>
      <c r="DK102"/>
      <c r="DL102"/>
      <c r="DM102"/>
      <c r="DN102"/>
      <c r="DO102"/>
    </row>
    <row r="103" spans="1:119" s="10" customFormat="1" ht="11.25" customHeight="1">
      <c r="A103" s="1798" t="s">
        <v>66</v>
      </c>
      <c r="B103" s="734"/>
      <c r="C103" s="817">
        <f>C108-SUM(C104:C106)+C107</f>
        <v>-0.505000000000005</v>
      </c>
      <c r="D103" s="733"/>
      <c r="E103" s="817">
        <f>E108-SUM(E104:E106)+E107</f>
        <v>1.2490000000000041</v>
      </c>
      <c r="F103" s="733"/>
      <c r="G103" s="817">
        <f>G108-SUM(G104:G106)+G107</f>
        <v>2.2499999999999996</v>
      </c>
      <c r="H103" s="733"/>
      <c r="I103" s="817">
        <f>I108-SUM(I104:I106)+I107</f>
        <v>3.637000000000008</v>
      </c>
      <c r="J103" s="733"/>
      <c r="K103" s="817">
        <f>K108-SUM(K104:K106)+K107</f>
        <v>-6.8020000000000156</v>
      </c>
      <c r="L103" s="733"/>
      <c r="M103" s="817">
        <f>M108-SUM(M104:M106)+M107</f>
        <v>-17.553999999999974</v>
      </c>
      <c r="N103" s="733"/>
      <c r="O103" s="817">
        <f>O108-SUM(O104:O106)+O107</f>
        <v>-7.8309999999999951</v>
      </c>
      <c r="P103" s="733"/>
      <c r="Q103" s="817">
        <f>Q108-SUM(Q104:Q106)+Q107</f>
        <v>9.7469999999999963</v>
      </c>
      <c r="R103" s="733"/>
      <c r="S103" s="1710">
        <f>S108-SUM(S104:S106)+S107</f>
        <v>3.2589999999999955</v>
      </c>
      <c r="T103" s="478">
        <f>T108-SUM(T104:T106)+T107</f>
        <v>2.5379999999999887</v>
      </c>
      <c r="U103" s="478">
        <f>U108-SUM(U104:U106)+U107</f>
        <v>2.9760000000000075</v>
      </c>
      <c r="V103" s="478">
        <f>V108-SUM(V104:V106)+V107</f>
        <v>9.7080000000000233</v>
      </c>
      <c r="W103" s="817">
        <f>W108-SUM(W104:W106)+W107</f>
        <v>18.480999999999973</v>
      </c>
      <c r="X103" s="733"/>
      <c r="Y103" s="1710">
        <f>Y108-SUM(Y104:Y106)+Y107</f>
        <v>14.350000000000005</v>
      </c>
      <c r="Z103" s="478">
        <f>Z108-SUM(Z104:Z106)+Z107</f>
        <v>17.656999999999986</v>
      </c>
      <c r="AA103" s="478">
        <f>AA108-SUM(AA104:AA106)+AA107</f>
        <v>26.670999999999964</v>
      </c>
      <c r="AB103" s="478">
        <f>AB108-SUM(AB104:AB106)+AB107</f>
        <v>40.222000000000065</v>
      </c>
      <c r="AC103" s="817">
        <f>AC108-SUM(AC104:AC106)+AC107</f>
        <v>98.900000000000034</v>
      </c>
      <c r="AD103" s="733"/>
      <c r="AE103" s="1710">
        <f>AE108-SUM(AE104:AE106)+AE107</f>
        <v>-0.80000000000000249</v>
      </c>
      <c r="AF103" s="478">
        <f>AF108-SUM(AF104:AF106)+AF107</f>
        <v>21.7</v>
      </c>
      <c r="AG103" s="478">
        <f>AG108-SUM(AG104:AG106)+AG107</f>
        <v>17.8</v>
      </c>
      <c r="AH103" s="478">
        <f>AH108-SUM(AH104:AH106)+AH107</f>
        <v>26.199999999999907</v>
      </c>
      <c r="AI103" s="817">
        <f>AI108-SUM(AI104:AI106)+AI107</f>
        <v>64.899999999999878</v>
      </c>
      <c r="AJ103" s="733"/>
      <c r="AK103" s="1710">
        <f>AK108-SUM(AK104:AK106)+AK107</f>
        <v>8.3999999999999808</v>
      </c>
      <c r="AL103" s="478">
        <f>AL108-SUM(AL104:AL106)+AL107</f>
        <v>12.899999999999986</v>
      </c>
      <c r="AM103" s="478">
        <f>AM108-SUM(AM104:AM106)+AM107</f>
        <v>16.399999999999952</v>
      </c>
      <c r="AN103" s="478">
        <f>AN108-SUM(AN104:AN106)+AN107</f>
        <v>43.499999999999972</v>
      </c>
      <c r="AO103" s="817">
        <f>AO108-SUM(AO104:AO106)+AO107</f>
        <v>81.199999999999818</v>
      </c>
      <c r="AP103" s="733"/>
      <c r="AQ103" s="1710">
        <f>AQ108-SUM(AQ104:AQ106)+AQ107</f>
        <v>16.100000000000019</v>
      </c>
      <c r="AR103" s="478">
        <f>AR108-SUM(AR104:AR106)+AR107</f>
        <v>22.599999999999966</v>
      </c>
      <c r="AS103" s="478">
        <f>AS108-SUM(AS104:AS106)+AS107</f>
        <v>27.400000000000006</v>
      </c>
      <c r="AT103" s="478">
        <f>AT108-SUM(AT104:AT106)+AT107</f>
        <v>29.299999999999944</v>
      </c>
      <c r="AU103" s="817">
        <f>AU108-SUM(AU104:AU106)+AU107</f>
        <v>95.400000000000077</v>
      </c>
      <c r="AV103" s="733"/>
      <c r="AW103" s="1710">
        <f>AW108-SUM(AW104:AW106)+AW107</f>
        <v>11.299999999999997</v>
      </c>
      <c r="AX103" s="478">
        <f>AX108-SUM(AX104:AX106)+AX107</f>
        <v>22.100000000000108</v>
      </c>
      <c r="AY103" s="478">
        <f>AY108-SUM(AY104:AY106)+AY107</f>
        <v>19.79999999999999</v>
      </c>
      <c r="AZ103" s="478">
        <f>AZ108-SUM(AZ104:AZ106)+AZ107</f>
        <v>39.099999999999817</v>
      </c>
      <c r="BA103" s="817">
        <f>BA108-SUM(BA104:BA106)+BA107</f>
        <v>92.299999999999812</v>
      </c>
      <c r="BB103" s="733"/>
      <c r="BC103" s="1710">
        <f>BC108-SUM(BC104:BC106)+BC107</f>
        <v>15.099999999999966</v>
      </c>
      <c r="BD103" s="478">
        <f>BD108-SUM(BD104:BD106)+BD107</f>
        <v>9.900000000000027</v>
      </c>
      <c r="BE103" s="478">
        <f>BE108-SUM(BE104:BE106)+BE107</f>
        <v>39.700000000000017</v>
      </c>
      <c r="BF103" s="478">
        <f>BF108-SUM(BF104:BF106)+BF107</f>
        <v>12.800000000000111</v>
      </c>
      <c r="BG103" s="817">
        <f>BG108-SUM(BG104:BG106)+BG107</f>
        <v>77.500000000000128</v>
      </c>
      <c r="BH103" s="733"/>
      <c r="BI103" s="1710">
        <f>BI108-SUM(BI104:BI106)+BI107</f>
        <v>5.4000000000000501</v>
      </c>
      <c r="BJ103" s="478">
        <f>BJ108-SUM(BJ104:BJ106)+BJ107</f>
        <v>22.899999999999977</v>
      </c>
      <c r="BK103" s="478">
        <f>BK108-SUM(BK104:BK106)+BK107</f>
        <v>16.599999999999952</v>
      </c>
      <c r="BL103" s="478">
        <f>BL108-SUM(BL104:BL106)+BL107</f>
        <v>35.200000000000088</v>
      </c>
      <c r="BM103" s="817">
        <f>BM108-SUM(BM104:BM106)+BM107</f>
        <v>80.100000000000009</v>
      </c>
      <c r="BN103" s="733"/>
      <c r="BO103" s="1710">
        <f>BO108-SUM(BO104:BO106)+BO107</f>
        <v>8.700000000000049</v>
      </c>
      <c r="BP103" s="478">
        <f>BP108-SUM(BP104:BP106)+BP107</f>
        <v>16.399999999999956</v>
      </c>
      <c r="BQ103" s="478">
        <f>BQ108-SUM(BQ104:BQ106)+BQ107</f>
        <v>5.499999999999976</v>
      </c>
      <c r="BR103" s="478">
        <f>BR108-SUM(BR104:BR106)+BR107</f>
        <v>26.100000000000101</v>
      </c>
      <c r="BS103" s="817">
        <f>BS108-SUM(BS104:BS106)+BS107</f>
        <v>56.700000000000074</v>
      </c>
      <c r="BT103" s="733"/>
      <c r="BU103" s="1710">
        <f>BU108-SUM(BU104:BU106)+BU107</f>
        <v>6.5000000000000115</v>
      </c>
      <c r="BV103" s="478">
        <f>BV108-SUM(BV104:BV106)+BV107</f>
        <v>21.899999999999981</v>
      </c>
      <c r="BW103" s="478">
        <f>BW108-SUM(BW104:BW106)+BW107</f>
        <v>11.800000000000008</v>
      </c>
      <c r="BX103" s="478">
        <f>BX108-SUM(BX104:BX106)+BX107</f>
        <v>61.39999999999992</v>
      </c>
      <c r="BY103" s="817">
        <f>SUM(BU103:BX103)</f>
        <v>101.59999999999992</v>
      </c>
      <c r="BZ103" s="733"/>
      <c r="CA103" s="1710">
        <f>CA108-SUM(CA104:CA106)+CA107</f>
        <v>23.600000000000041</v>
      </c>
      <c r="CB103" s="478">
        <f>CB108-SUM(CB104:CB106)+CB107</f>
        <v>14.500000000000057</v>
      </c>
      <c r="CC103" s="478">
        <f>CC108-SUM(CC104:CC106)+CC107</f>
        <v>46.499999999999964</v>
      </c>
      <c r="CD103" s="478">
        <f>CD108-SUM(CD104:CD106)+CD107</f>
        <v>68.999999999999943</v>
      </c>
      <c r="CE103" s="817">
        <f>SUM(CA103:CD103)</f>
        <v>153.6</v>
      </c>
      <c r="CF103" s="733"/>
      <c r="CG103" s="1710">
        <f>CG108-SUM(CG104:CG106)+CG107</f>
        <v>21.599999999999987</v>
      </c>
      <c r="CH103" s="478">
        <f>CH108-SUM(CH104:CH106)+CH107</f>
        <v>23.399999999999988</v>
      </c>
      <c r="CI103" s="478">
        <f>CI108-SUM(CI104:CI106)+CI107</f>
        <v>36.99999999999995</v>
      </c>
      <c r="CJ103" s="478">
        <f>CJ108-SUM(CJ104:CJ106)+CJ107</f>
        <v>-3.3999999999997783</v>
      </c>
      <c r="CK103" s="817">
        <f>SUM(CG103:CJ103)</f>
        <v>78.600000000000136</v>
      </c>
      <c r="CL103" s="733"/>
      <c r="CM103" s="1710">
        <f>CM108-SUM(CM104:CM106)+CM107</f>
        <v>26.921035372468715</v>
      </c>
      <c r="CN103" s="478">
        <f>CN108-SUM(CN104:CN106)+CN107</f>
        <v>28.324398418900657</v>
      </c>
      <c r="CO103" s="478">
        <f>CO108-SUM(CO104:CO106)+CO107</f>
        <v>44.38579832668038</v>
      </c>
      <c r="CP103" s="478">
        <f>CP108-SUM(CP104:CP106)+CP107</f>
        <v>75.631600320252147</v>
      </c>
      <c r="CQ103" s="817">
        <f>SUM(CM103:CP103)</f>
        <v>175.2628324383019</v>
      </c>
      <c r="CR103" s="733"/>
      <c r="CS103" s="1710">
        <f>CS108-SUM(CS104:CS106)+CS107</f>
        <v>42.457997695629821</v>
      </c>
      <c r="CT103" s="478">
        <f>CT108-SUM(CT104:CT106)+CT107</f>
        <v>45.138498578707043</v>
      </c>
      <c r="CU103" s="478">
        <f>CU108-SUM(CU104:CU106)+CU107</f>
        <v>46.177418535902319</v>
      </c>
      <c r="CV103" s="478">
        <f>CV108-SUM(CV104:CV106)+CV107</f>
        <v>63.53141711651871</v>
      </c>
      <c r="CW103" s="817">
        <f>SUM(CS103:CV103)</f>
        <v>197.3053319267579</v>
      </c>
      <c r="CX103" s="478"/>
      <c r="CY103" s="1710">
        <f>CY108-SUM(CY104:CY106)+CY107</f>
        <v>47.566190662377402</v>
      </c>
      <c r="CZ103" s="478">
        <f>CZ108-SUM(CZ104:CZ106)+CZ107</f>
        <v>57.448634067847493</v>
      </c>
      <c r="DA103" s="478">
        <f>DA108-SUM(DA104:DA106)+DA107</f>
        <v>59.080037229501542</v>
      </c>
      <c r="DB103" s="478">
        <f>DB108-SUM(DB104:DB106)+DB107</f>
        <v>76.259925419343929</v>
      </c>
      <c r="DC103" s="817">
        <f>SUM(CY103:DB103)</f>
        <v>240.35478737907033</v>
      </c>
      <c r="DD103" s="478"/>
      <c r="DE103" s="1710">
        <f>DE108-SUM(DE104:DE106)+DE107</f>
        <v>57.988758634370782</v>
      </c>
      <c r="DF103" s="478">
        <f>DF108-SUM(DF104:DF106)+DF107</f>
        <v>55.969012482739458</v>
      </c>
      <c r="DG103" s="478">
        <f>DG108-SUM(DG104:DG106)+DG107</f>
        <v>57.684654772254106</v>
      </c>
      <c r="DH103" s="478">
        <f>DH108-SUM(DH104:DH106)+DH107</f>
        <v>78.00939284800188</v>
      </c>
      <c r="DI103" s="817">
        <f>SUM(DE103:DH103)</f>
        <v>249.65181873736623</v>
      </c>
      <c r="DJ103"/>
      <c r="DK103"/>
      <c r="DL103"/>
      <c r="DM103"/>
      <c r="DN103"/>
      <c r="DO103"/>
    </row>
    <row r="104" spans="1:119" s="10" customFormat="1" ht="11.25" customHeight="1">
      <c r="A104" s="1463" t="s">
        <v>55</v>
      </c>
      <c r="B104" s="734"/>
      <c r="C104" s="533">
        <f>C75</f>
        <v>0</v>
      </c>
      <c r="D104" s="734"/>
      <c r="E104" s="533">
        <f>E75</f>
        <v>0</v>
      </c>
      <c r="F104" s="734"/>
      <c r="G104" s="533">
        <f>G75</f>
        <v>0</v>
      </c>
      <c r="H104" s="734"/>
      <c r="I104" s="533">
        <f>I75</f>
        <v>0</v>
      </c>
      <c r="J104" s="734"/>
      <c r="K104" s="533">
        <f>K75</f>
        <v>0.7</v>
      </c>
      <c r="L104" s="734"/>
      <c r="M104" s="533">
        <f>M75</f>
        <v>1.0289999999999999</v>
      </c>
      <c r="N104" s="734"/>
      <c r="O104" s="533">
        <f>O75</f>
        <v>0</v>
      </c>
      <c r="P104" s="734"/>
      <c r="Q104" s="533">
        <f>Q75</f>
        <v>0</v>
      </c>
      <c r="R104" s="734"/>
      <c r="S104" s="1716">
        <f>S75</f>
        <v>0</v>
      </c>
      <c r="T104" s="477">
        <f>T75</f>
        <v>0</v>
      </c>
      <c r="U104" s="477">
        <f>U75</f>
        <v>0</v>
      </c>
      <c r="V104" s="477">
        <f>V75</f>
        <v>0</v>
      </c>
      <c r="W104" s="533">
        <f>SUM(S104:V104)</f>
        <v>0</v>
      </c>
      <c r="X104" s="734"/>
      <c r="Y104" s="1716">
        <f>Y75</f>
        <v>0</v>
      </c>
      <c r="Z104" s="477">
        <f>Z75</f>
        <v>0</v>
      </c>
      <c r="AA104" s="477">
        <f>AA75</f>
        <v>0</v>
      </c>
      <c r="AB104" s="477">
        <f>AB75</f>
        <v>0</v>
      </c>
      <c r="AC104" s="533">
        <f>SUM(Y104:AB104)</f>
        <v>0</v>
      </c>
      <c r="AD104" s="734"/>
      <c r="AE104" s="1716">
        <f>AE75</f>
        <v>0</v>
      </c>
      <c r="AF104" s="477">
        <f>AF75</f>
        <v>0</v>
      </c>
      <c r="AG104" s="477">
        <f>AG75</f>
        <v>0</v>
      </c>
      <c r="AH104" s="477">
        <f>AH75</f>
        <v>0</v>
      </c>
      <c r="AI104" s="533">
        <f>SUM(AE104:AH104)</f>
        <v>0</v>
      </c>
      <c r="AJ104" s="734"/>
      <c r="AK104" s="1716">
        <f>AK75</f>
        <v>0</v>
      </c>
      <c r="AL104" s="477">
        <f>AL75</f>
        <v>0</v>
      </c>
      <c r="AM104" s="477">
        <f>AM75</f>
        <v>0</v>
      </c>
      <c r="AN104" s="477">
        <f>AN75</f>
        <v>-6.7</v>
      </c>
      <c r="AO104" s="533">
        <f>SUM(AK104:AN104)</f>
        <v>-6.7</v>
      </c>
      <c r="AP104" s="734"/>
      <c r="AQ104" s="1716">
        <f>AQ75</f>
        <v>0</v>
      </c>
      <c r="AR104" s="477">
        <f>AR75</f>
        <v>0.2</v>
      </c>
      <c r="AS104" s="477">
        <f>AS75</f>
        <v>4.9000000000000004</v>
      </c>
      <c r="AT104" s="477">
        <f>AT75</f>
        <v>5.4999999999999991</v>
      </c>
      <c r="AU104" s="533">
        <f>SUM(AQ104:AT104)</f>
        <v>10.6</v>
      </c>
      <c r="AV104" s="734"/>
      <c r="AW104" s="1716">
        <f>AW75</f>
        <v>4.0999999999999996</v>
      </c>
      <c r="AX104" s="477">
        <f>AX75</f>
        <v>5</v>
      </c>
      <c r="AY104" s="477">
        <f>AY75</f>
        <v>1.3</v>
      </c>
      <c r="AZ104" s="477">
        <f>AZ75</f>
        <v>-1.0999999999999996</v>
      </c>
      <c r="BA104" s="533">
        <f>SUM(AW104:AZ104)</f>
        <v>9.3000000000000007</v>
      </c>
      <c r="BB104" s="734"/>
      <c r="BC104" s="1716">
        <f>BC75</f>
        <v>0.7</v>
      </c>
      <c r="BD104" s="477">
        <f>BD75</f>
        <v>1.7</v>
      </c>
      <c r="BE104" s="477">
        <f>BE75</f>
        <v>1.1000000000000001</v>
      </c>
      <c r="BF104" s="477">
        <f>BF75</f>
        <v>-0.20000000000000018</v>
      </c>
      <c r="BG104" s="533">
        <f>SUM(BC104:BF104)</f>
        <v>3.3</v>
      </c>
      <c r="BH104" s="734"/>
      <c r="BI104" s="1716">
        <f>BI75</f>
        <v>0</v>
      </c>
      <c r="BJ104" s="477">
        <f>BJ75</f>
        <v>0</v>
      </c>
      <c r="BK104" s="477">
        <f>BK75</f>
        <v>0</v>
      </c>
      <c r="BL104" s="477">
        <f>BL75</f>
        <v>0</v>
      </c>
      <c r="BM104" s="533">
        <f>SUM(BI104:BL104)</f>
        <v>0</v>
      </c>
      <c r="BN104" s="734"/>
      <c r="BO104" s="1716">
        <f>BO75</f>
        <v>0</v>
      </c>
      <c r="BP104" s="477">
        <f>BP75</f>
        <v>0</v>
      </c>
      <c r="BQ104" s="477">
        <f>BQ75</f>
        <v>0</v>
      </c>
      <c r="BR104" s="477">
        <f>BR75</f>
        <v>0</v>
      </c>
      <c r="BS104" s="533">
        <f>SUM(BO104:BR104)</f>
        <v>0</v>
      </c>
      <c r="BT104" s="734"/>
      <c r="BU104" s="1716">
        <f>BU75</f>
        <v>0</v>
      </c>
      <c r="BV104" s="477">
        <f>BV75</f>
        <v>0</v>
      </c>
      <c r="BW104" s="477">
        <f>BW75</f>
        <v>0</v>
      </c>
      <c r="BX104" s="477">
        <f>BX75</f>
        <v>0</v>
      </c>
      <c r="BY104" s="533">
        <f>SUM(BU104:BX104)</f>
        <v>0</v>
      </c>
      <c r="BZ104" s="734"/>
      <c r="CA104" s="1716">
        <f>CA75</f>
        <v>0</v>
      </c>
      <c r="CB104" s="477">
        <f>CB75</f>
        <v>0</v>
      </c>
      <c r="CC104" s="477">
        <f>CC75</f>
        <v>0</v>
      </c>
      <c r="CD104" s="477">
        <f>CD75</f>
        <v>0</v>
      </c>
      <c r="CE104" s="533">
        <f>SUM(CA104:CD104)</f>
        <v>0</v>
      </c>
      <c r="CF104" s="734"/>
      <c r="CG104" s="1716">
        <f>CG75</f>
        <v>0</v>
      </c>
      <c r="CH104" s="15">
        <f>CH75</f>
        <v>0</v>
      </c>
      <c r="CI104" s="15">
        <f>CI75</f>
        <v>1.8</v>
      </c>
      <c r="CJ104" s="477">
        <f>CJ75</f>
        <v>4.0999999999999996</v>
      </c>
      <c r="CK104" s="533">
        <f>SUM(CG104:CJ104)</f>
        <v>5.8999999999999995</v>
      </c>
      <c r="CL104" s="734"/>
      <c r="CM104" s="1107">
        <v>0</v>
      </c>
      <c r="CN104" s="15">
        <f t="shared" ref="CN104:CP106" si="106">+CM104</f>
        <v>0</v>
      </c>
      <c r="CO104" s="15">
        <f t="shared" si="106"/>
        <v>0</v>
      </c>
      <c r="CP104" s="15">
        <f t="shared" si="106"/>
        <v>0</v>
      </c>
      <c r="CQ104" s="533">
        <f>SUM(CM104:CP104)</f>
        <v>0</v>
      </c>
      <c r="CR104" s="734"/>
      <c r="CS104" s="1107">
        <v>0</v>
      </c>
      <c r="CT104" s="15">
        <f t="shared" ref="CT104:CV106" si="107">+CS104</f>
        <v>0</v>
      </c>
      <c r="CU104" s="15">
        <f t="shared" si="107"/>
        <v>0</v>
      </c>
      <c r="CV104" s="15">
        <f t="shared" si="107"/>
        <v>0</v>
      </c>
      <c r="CW104" s="533">
        <f>SUM(CS104:CV104)</f>
        <v>0</v>
      </c>
      <c r="CX104" s="1720"/>
      <c r="CY104" s="1107">
        <v>0</v>
      </c>
      <c r="CZ104" s="15">
        <f t="shared" ref="CZ104:CZ106" si="108">+CY104</f>
        <v>0</v>
      </c>
      <c r="DA104" s="15">
        <f t="shared" ref="DA104:DA106" si="109">+CZ104</f>
        <v>0</v>
      </c>
      <c r="DB104" s="15">
        <f t="shared" ref="DB104:DB106" si="110">+DA104</f>
        <v>0</v>
      </c>
      <c r="DC104" s="533">
        <f>SUM(CY104:DB104)</f>
        <v>0</v>
      </c>
      <c r="DD104" s="1720"/>
      <c r="DE104" s="1107">
        <v>0</v>
      </c>
      <c r="DF104" s="15">
        <f t="shared" ref="DF104:DF106" si="111">+DE104</f>
        <v>0</v>
      </c>
      <c r="DG104" s="15">
        <f t="shared" ref="DG104:DG106" si="112">+DF104</f>
        <v>0</v>
      </c>
      <c r="DH104" s="15">
        <f t="shared" ref="DH104:DH106" si="113">+DG104</f>
        <v>0</v>
      </c>
      <c r="DI104" s="533">
        <f>SUM(DE104:DH104)</f>
        <v>0</v>
      </c>
      <c r="DJ104"/>
      <c r="DK104"/>
      <c r="DL104"/>
      <c r="DM104"/>
      <c r="DN104"/>
      <c r="DO104"/>
    </row>
    <row r="105" spans="1:119" s="10" customFormat="1" ht="11.25" customHeight="1">
      <c r="A105" s="1463" t="s">
        <v>477</v>
      </c>
      <c r="B105" s="734"/>
      <c r="C105" s="533">
        <f>C76-C83</f>
        <v>0</v>
      </c>
      <c r="D105" s="734"/>
      <c r="E105" s="533">
        <f>E76-E83</f>
        <v>0</v>
      </c>
      <c r="F105" s="734"/>
      <c r="G105" s="533">
        <f>G76-G83</f>
        <v>0</v>
      </c>
      <c r="H105" s="734"/>
      <c r="I105" s="533">
        <f>I76-I83</f>
        <v>0</v>
      </c>
      <c r="J105" s="734"/>
      <c r="K105" s="533">
        <f>K76-K83</f>
        <v>0</v>
      </c>
      <c r="L105" s="734"/>
      <c r="M105" s="533">
        <f>M76-M83</f>
        <v>0.245</v>
      </c>
      <c r="N105" s="734"/>
      <c r="O105" s="533">
        <f>O76-O83</f>
        <v>0</v>
      </c>
      <c r="P105" s="734"/>
      <c r="Q105" s="533">
        <f>Q76-Q83</f>
        <v>0</v>
      </c>
      <c r="R105" s="734"/>
      <c r="S105" s="1716">
        <f>S76-S83</f>
        <v>0</v>
      </c>
      <c r="T105" s="477">
        <f>T76-T83</f>
        <v>0</v>
      </c>
      <c r="U105" s="477">
        <f>U76-U83</f>
        <v>0</v>
      </c>
      <c r="V105" s="477">
        <f>V76-V83</f>
        <v>0</v>
      </c>
      <c r="W105" s="533">
        <f>SUM(S105:V105)</f>
        <v>0</v>
      </c>
      <c r="X105" s="734"/>
      <c r="Y105" s="1716">
        <f>Y76-Y83</f>
        <v>0</v>
      </c>
      <c r="Z105" s="477">
        <f>Z76-Z83</f>
        <v>0</v>
      </c>
      <c r="AA105" s="477">
        <f>AA76-AA83</f>
        <v>0</v>
      </c>
      <c r="AB105" s="477">
        <f>AB76-AB83</f>
        <v>0</v>
      </c>
      <c r="AC105" s="533">
        <f>SUM(Y105:AB105)</f>
        <v>0</v>
      </c>
      <c r="AD105" s="734"/>
      <c r="AE105" s="1716">
        <f>AE76-AE83</f>
        <v>0</v>
      </c>
      <c r="AF105" s="477">
        <f>AF76-AF83</f>
        <v>0</v>
      </c>
      <c r="AG105" s="477">
        <f>AG76-AG83</f>
        <v>0</v>
      </c>
      <c r="AH105" s="477">
        <f>AH76-AH83</f>
        <v>0</v>
      </c>
      <c r="AI105" s="533">
        <f>SUM(AE105:AH105)</f>
        <v>0</v>
      </c>
      <c r="AJ105" s="734"/>
      <c r="AK105" s="1716">
        <f>AK76-AK83</f>
        <v>0.4</v>
      </c>
      <c r="AL105" s="477">
        <f>AL76-AL83</f>
        <v>0.5</v>
      </c>
      <c r="AM105" s="477">
        <f>AM76-AM83</f>
        <v>0.4</v>
      </c>
      <c r="AN105" s="477">
        <f>AN76-AN83</f>
        <v>0.5</v>
      </c>
      <c r="AO105" s="533">
        <f>SUM(AK105:AN105)</f>
        <v>1.8</v>
      </c>
      <c r="AP105" s="734"/>
      <c r="AQ105" s="1716">
        <f>AQ76-AQ83</f>
        <v>0.5</v>
      </c>
      <c r="AR105" s="477">
        <f>AR76-AR83</f>
        <v>0.7</v>
      </c>
      <c r="AS105" s="477">
        <f>AS76-AS83</f>
        <v>0.89999999999999991</v>
      </c>
      <c r="AT105" s="477">
        <f>AT76-AT83</f>
        <v>3.6999999999999997</v>
      </c>
      <c r="AU105" s="533">
        <f>SUM(AQ105:AT105)</f>
        <v>5.7999999999999989</v>
      </c>
      <c r="AV105" s="734"/>
      <c r="AW105" s="1716">
        <f>AW76-AW83</f>
        <v>3.9</v>
      </c>
      <c r="AX105" s="477">
        <f>AX76-AX83</f>
        <v>4.2</v>
      </c>
      <c r="AY105" s="477">
        <f>AY76-AY83</f>
        <v>5</v>
      </c>
      <c r="AZ105" s="477">
        <f>AZ76-AZ83</f>
        <v>5</v>
      </c>
      <c r="BA105" s="533">
        <f>SUM(AW105:AZ105)</f>
        <v>18.100000000000001</v>
      </c>
      <c r="BB105" s="734"/>
      <c r="BC105" s="1716">
        <f>BC76-BC83</f>
        <v>5.0999999999999996</v>
      </c>
      <c r="BD105" s="477">
        <f>BD76-BD83</f>
        <v>5.6000000000000005</v>
      </c>
      <c r="BE105" s="477">
        <f>BE76-BE83</f>
        <v>5.5</v>
      </c>
      <c r="BF105" s="477">
        <f>BF76-BF83</f>
        <v>5.8000000000000007</v>
      </c>
      <c r="BG105" s="533">
        <f>SUM(BC105:BF105)</f>
        <v>22</v>
      </c>
      <c r="BH105" s="734"/>
      <c r="BI105" s="1716">
        <f>BI76-BI83</f>
        <v>5.0999999999999996</v>
      </c>
      <c r="BJ105" s="477">
        <f>BJ76-BJ83</f>
        <v>5.0999999999999996</v>
      </c>
      <c r="BK105" s="477">
        <f>BK76-BK83</f>
        <v>5.0999999999999996</v>
      </c>
      <c r="BL105" s="477">
        <f>BL76-BL83</f>
        <v>5.4</v>
      </c>
      <c r="BM105" s="533">
        <f>SUM(BI105:BL105)</f>
        <v>20.7</v>
      </c>
      <c r="BN105" s="734"/>
      <c r="BO105" s="1716">
        <f>BO76-BO83</f>
        <v>5.2</v>
      </c>
      <c r="BP105" s="477">
        <f>BP76-BP83</f>
        <v>4.8</v>
      </c>
      <c r="BQ105" s="477">
        <f>BQ76-BQ83</f>
        <v>1.4</v>
      </c>
      <c r="BR105" s="477">
        <f>BR76-BR83</f>
        <v>5.0999999999999996</v>
      </c>
      <c r="BS105" s="533">
        <f>SUM(BO105:BR105)</f>
        <v>16.5</v>
      </c>
      <c r="BT105" s="734"/>
      <c r="BU105" s="1716">
        <f>BU76-BU83</f>
        <v>5.2</v>
      </c>
      <c r="BV105" s="477">
        <f>BV76-BV83</f>
        <v>5.2</v>
      </c>
      <c r="BW105" s="477">
        <f>BW76-BW83</f>
        <v>5.0999999999999996</v>
      </c>
      <c r="BX105" s="477">
        <f>BX76-BX83</f>
        <v>5.3</v>
      </c>
      <c r="BY105" s="533">
        <f>SUM(BU105:BX105)</f>
        <v>20.8</v>
      </c>
      <c r="BZ105" s="734"/>
      <c r="CA105" s="1716">
        <f>CA76-CA83</f>
        <v>5.4</v>
      </c>
      <c r="CB105" s="477">
        <f>CB76-CB83</f>
        <v>8.1</v>
      </c>
      <c r="CC105" s="477">
        <f>CC76-CC83</f>
        <v>5.4</v>
      </c>
      <c r="CD105" s="477">
        <f>CD76-CD83</f>
        <v>5.5</v>
      </c>
      <c r="CE105" s="533">
        <f>SUM(CA105:CD105)</f>
        <v>24.4</v>
      </c>
      <c r="CF105" s="734"/>
      <c r="CG105" s="1716">
        <f>CG76-CG83</f>
        <v>6.9</v>
      </c>
      <c r="CH105" s="15">
        <f>CH76-CH83</f>
        <v>7.5</v>
      </c>
      <c r="CI105" s="15">
        <f>CI76-CI83</f>
        <v>8.1999999999999993</v>
      </c>
      <c r="CJ105" s="477">
        <f>CJ76-CJ83</f>
        <v>7</v>
      </c>
      <c r="CK105" s="533">
        <f>SUM(CG105:CJ105)</f>
        <v>29.6</v>
      </c>
      <c r="CL105" s="734"/>
      <c r="CM105" s="1107">
        <v>5</v>
      </c>
      <c r="CN105" s="15">
        <f t="shared" si="106"/>
        <v>5</v>
      </c>
      <c r="CO105" s="15">
        <f t="shared" si="106"/>
        <v>5</v>
      </c>
      <c r="CP105" s="15">
        <f t="shared" si="106"/>
        <v>5</v>
      </c>
      <c r="CQ105" s="533">
        <f>SUM(CM105:CP105)</f>
        <v>20</v>
      </c>
      <c r="CR105" s="734"/>
      <c r="CS105" s="1107">
        <v>5</v>
      </c>
      <c r="CT105" s="15">
        <f t="shared" si="107"/>
        <v>5</v>
      </c>
      <c r="CU105" s="15">
        <f t="shared" si="107"/>
        <v>5</v>
      </c>
      <c r="CV105" s="15">
        <f t="shared" si="107"/>
        <v>5</v>
      </c>
      <c r="CW105" s="533">
        <f>SUM(CS105:CV105)</f>
        <v>20</v>
      </c>
      <c r="CX105" s="1720"/>
      <c r="CY105" s="1107">
        <v>5</v>
      </c>
      <c r="CZ105" s="15">
        <f t="shared" si="108"/>
        <v>5</v>
      </c>
      <c r="DA105" s="15">
        <f t="shared" si="109"/>
        <v>5</v>
      </c>
      <c r="DB105" s="15">
        <f t="shared" si="110"/>
        <v>5</v>
      </c>
      <c r="DC105" s="533">
        <f>SUM(CY105:DB105)</f>
        <v>20</v>
      </c>
      <c r="DD105" s="1720"/>
      <c r="DE105" s="1107">
        <v>5</v>
      </c>
      <c r="DF105" s="15">
        <f t="shared" si="111"/>
        <v>5</v>
      </c>
      <c r="DG105" s="15">
        <f t="shared" si="112"/>
        <v>5</v>
      </c>
      <c r="DH105" s="15">
        <f t="shared" si="113"/>
        <v>5</v>
      </c>
      <c r="DI105" s="533">
        <f>SUM(DE105:DH105)</f>
        <v>20</v>
      </c>
      <c r="DJ105"/>
      <c r="DK105"/>
      <c r="DL105"/>
      <c r="DM105"/>
      <c r="DN105"/>
      <c r="DO105"/>
    </row>
    <row r="106" spans="1:119" s="10" customFormat="1" ht="11.25" customHeight="1">
      <c r="A106" s="1463" t="s">
        <v>56</v>
      </c>
      <c r="B106" s="734"/>
      <c r="C106" s="1101">
        <v>-0.38300000000000001</v>
      </c>
      <c r="D106" s="734"/>
      <c r="E106" s="24">
        <f>0.538-0.373</f>
        <v>0.16500000000000004</v>
      </c>
      <c r="F106" s="734"/>
      <c r="G106" s="24">
        <f>1.082+0.303-0.184</f>
        <v>1.2010000000000001</v>
      </c>
      <c r="H106" s="734"/>
      <c r="I106" s="1101">
        <v>-0.35599999999999998</v>
      </c>
      <c r="J106" s="734"/>
      <c r="K106" s="24">
        <f>-(-0.617-1.14-0.42-10.938+0.918)-K104-K105+K107</f>
        <v>12.606000000000002</v>
      </c>
      <c r="L106" s="734"/>
      <c r="M106" s="24">
        <f>11.674-0.846</f>
        <v>10.827999999999999</v>
      </c>
      <c r="N106" s="734"/>
      <c r="O106" s="1101">
        <v>0</v>
      </c>
      <c r="P106" s="734"/>
      <c r="Q106" s="1101">
        <v>0</v>
      </c>
      <c r="R106" s="734"/>
      <c r="S106" s="1107">
        <v>1.1759999999999999</v>
      </c>
      <c r="T106" s="1104">
        <v>3.6920000000000002</v>
      </c>
      <c r="U106" s="1104">
        <v>0.96099999999999997</v>
      </c>
      <c r="V106" s="23">
        <f>5.724-S106-T106-U106</f>
        <v>-0.10500000000000009</v>
      </c>
      <c r="W106" s="533">
        <f>SUM(S106:V106)</f>
        <v>5.7240000000000002</v>
      </c>
      <c r="X106" s="734"/>
      <c r="Y106" s="1107">
        <v>0.39400000000000002</v>
      </c>
      <c r="Z106" s="1104">
        <v>0.40300000000000002</v>
      </c>
      <c r="AA106" s="23">
        <f>0.7+0.544</f>
        <v>1.244</v>
      </c>
      <c r="AB106" s="23">
        <f>7.4+2.2-Y106-Z106-AA106</f>
        <v>7.5590000000000011</v>
      </c>
      <c r="AC106" s="533">
        <f>SUM(Y106:AB106)</f>
        <v>9.6000000000000014</v>
      </c>
      <c r="AD106" s="734"/>
      <c r="AE106" s="1455">
        <f>0.7+5.8</f>
        <v>6.5</v>
      </c>
      <c r="AF106" s="23">
        <f>1.1+0.4</f>
        <v>1.5</v>
      </c>
      <c r="AG106" s="1104">
        <v>1.3</v>
      </c>
      <c r="AH106" s="23">
        <f>6.2+4.5+2.3-AE106-AF106-AG106</f>
        <v>3.7</v>
      </c>
      <c r="AI106" s="533">
        <f>SUM(AE106:AH106)</f>
        <v>13</v>
      </c>
      <c r="AJ106" s="734"/>
      <c r="AK106" s="1107">
        <v>0.4</v>
      </c>
      <c r="AL106" s="1104">
        <v>-1</v>
      </c>
      <c r="AM106" s="1104">
        <v>0</v>
      </c>
      <c r="AN106" s="23">
        <f>0.4-AK106-AL106-AM106</f>
        <v>1</v>
      </c>
      <c r="AO106" s="533">
        <f>SUM(AK106:AN106)</f>
        <v>0.4</v>
      </c>
      <c r="AP106" s="734"/>
      <c r="AQ106" s="1455">
        <f>1.6+0.5</f>
        <v>2.1</v>
      </c>
      <c r="AR106" s="23">
        <f>1.7+1.9</f>
        <v>3.5999999999999996</v>
      </c>
      <c r="AS106" s="23">
        <f>1.7+1.9</f>
        <v>3.5999999999999996</v>
      </c>
      <c r="AT106" s="23">
        <f>8.6+6.9-SUM(AQ106:AS106)</f>
        <v>6.2000000000000011</v>
      </c>
      <c r="AU106" s="533">
        <f>SUM(AQ106:AT106)</f>
        <v>15.5</v>
      </c>
      <c r="AV106" s="734"/>
      <c r="AW106" s="1455">
        <f>1.8+2.1</f>
        <v>3.9000000000000004</v>
      </c>
      <c r="AX106" s="23">
        <f>1.9+2.4</f>
        <v>4.3</v>
      </c>
      <c r="AY106" s="23">
        <f>2.1+6.3</f>
        <v>8.4</v>
      </c>
      <c r="AZ106" s="23">
        <f>7.9+13.8-SUM(AW106:AY106)</f>
        <v>5.1000000000000014</v>
      </c>
      <c r="BA106" s="533">
        <f>SUM(AW106:AZ106)</f>
        <v>21.700000000000003</v>
      </c>
      <c r="BB106" s="734"/>
      <c r="BC106" s="1107">
        <v>3.4</v>
      </c>
      <c r="BD106" s="1104">
        <v>3.6</v>
      </c>
      <c r="BE106" s="1104">
        <v>2.5</v>
      </c>
      <c r="BF106" s="1722">
        <f>13.9+23.8-SUM(BC106:BE106)</f>
        <v>28.200000000000003</v>
      </c>
      <c r="BG106" s="533">
        <f>SUM(BC106:BF106)</f>
        <v>37.700000000000003</v>
      </c>
      <c r="BH106" s="734"/>
      <c r="BI106" s="1455">
        <f>3.2+0.6+2.5-0.9</f>
        <v>5.4</v>
      </c>
      <c r="BJ106" s="23">
        <f>2.6+0.3+1.8-1.5</f>
        <v>3.2</v>
      </c>
      <c r="BK106" s="23">
        <f>0.8+8.6+1.3</f>
        <v>10.700000000000001</v>
      </c>
      <c r="BL106" s="23">
        <f>11.7+2.3+0.9</f>
        <v>14.9</v>
      </c>
      <c r="BM106" s="533">
        <f>SUM(BI106:BL106)</f>
        <v>34.200000000000003</v>
      </c>
      <c r="BN106" s="734"/>
      <c r="BO106" s="1107">
        <f>2.4+1.1+2.8-0.3</f>
        <v>6</v>
      </c>
      <c r="BP106" s="23">
        <f>1.3+0.5+10.7</f>
        <v>12.5</v>
      </c>
      <c r="BQ106" s="23">
        <f>16.2+5.1+8.3-8.7+2.4</f>
        <v>23.299999999999997</v>
      </c>
      <c r="BR106" s="23">
        <f>6.8+1+6.3+0.7</f>
        <v>14.799999999999999</v>
      </c>
      <c r="BS106" s="533">
        <f>SUM(BO106:BR106)</f>
        <v>56.599999999999994</v>
      </c>
      <c r="BT106" s="734"/>
      <c r="BU106" s="1457">
        <f>3.3+0.2+11.9</f>
        <v>15.4</v>
      </c>
      <c r="BV106" s="1824">
        <f>5.2-2.8+3.7+0.2</f>
        <v>6.3000000000000007</v>
      </c>
      <c r="BW106" s="1824">
        <f>12.7+1.2+5.6</f>
        <v>19.5</v>
      </c>
      <c r="BX106" s="1824">
        <f>8.1-3.3+2.9</f>
        <v>7.6999999999999993</v>
      </c>
      <c r="BY106" s="533">
        <f>SUM(BU106:BX106)</f>
        <v>48.900000000000006</v>
      </c>
      <c r="BZ106" s="734"/>
      <c r="CA106" s="1457">
        <f>3.8+1.9+2.2</f>
        <v>7.8999999999999995</v>
      </c>
      <c r="CB106" s="1824">
        <f>3.7+5.4+2.4</f>
        <v>11.500000000000002</v>
      </c>
      <c r="CC106" s="1824">
        <f>5.3+0.4+1.6</f>
        <v>7.3000000000000007</v>
      </c>
      <c r="CD106" s="1824">
        <f>8+0.7+0.9-9.2</f>
        <v>0.40000000000000036</v>
      </c>
      <c r="CE106" s="533">
        <f>SUM(CA106:CD106)</f>
        <v>27.1</v>
      </c>
      <c r="CF106" s="734"/>
      <c r="CG106" s="1457">
        <f>0.1+2.8+1.8</f>
        <v>4.7</v>
      </c>
      <c r="CH106" s="1824">
        <f>3.8+5.9+1</f>
        <v>10.7</v>
      </c>
      <c r="CI106" s="1824">
        <v>3.3999999999999937</v>
      </c>
      <c r="CJ106" s="1824">
        <v>6.4999999999999911</v>
      </c>
      <c r="CK106" s="533">
        <f>SUM(CG106:CJ106)</f>
        <v>25.299999999999983</v>
      </c>
      <c r="CL106" s="734"/>
      <c r="CM106" s="1107">
        <v>10</v>
      </c>
      <c r="CN106" s="15">
        <f t="shared" si="106"/>
        <v>10</v>
      </c>
      <c r="CO106" s="15">
        <f t="shared" si="106"/>
        <v>10</v>
      </c>
      <c r="CP106" s="15">
        <f t="shared" si="106"/>
        <v>10</v>
      </c>
      <c r="CQ106" s="533">
        <f>SUM(CM106:CP106)</f>
        <v>40</v>
      </c>
      <c r="CR106" s="734"/>
      <c r="CS106" s="1107">
        <v>10</v>
      </c>
      <c r="CT106" s="15">
        <f t="shared" si="107"/>
        <v>10</v>
      </c>
      <c r="CU106" s="15">
        <f t="shared" si="107"/>
        <v>10</v>
      </c>
      <c r="CV106" s="15">
        <f t="shared" si="107"/>
        <v>10</v>
      </c>
      <c r="CW106" s="533">
        <f>SUM(CS106:CV106)</f>
        <v>40</v>
      </c>
      <c r="CX106" s="1720"/>
      <c r="CY106" s="1107">
        <v>10</v>
      </c>
      <c r="CZ106" s="15">
        <f t="shared" si="108"/>
        <v>10</v>
      </c>
      <c r="DA106" s="15">
        <f t="shared" si="109"/>
        <v>10</v>
      </c>
      <c r="DB106" s="15">
        <f t="shared" si="110"/>
        <v>10</v>
      </c>
      <c r="DC106" s="533">
        <f>SUM(CY106:DB106)</f>
        <v>40</v>
      </c>
      <c r="DD106" s="1720"/>
      <c r="DE106" s="1107">
        <v>10</v>
      </c>
      <c r="DF106" s="15">
        <f t="shared" si="111"/>
        <v>10</v>
      </c>
      <c r="DG106" s="15">
        <f t="shared" si="112"/>
        <v>10</v>
      </c>
      <c r="DH106" s="15">
        <f t="shared" si="113"/>
        <v>10</v>
      </c>
      <c r="DI106" s="533">
        <f>SUM(DE106:DH106)</f>
        <v>40</v>
      </c>
      <c r="DJ106"/>
      <c r="DK106"/>
      <c r="DL106"/>
      <c r="DM106"/>
      <c r="DN106"/>
      <c r="DO106"/>
    </row>
    <row r="107" spans="1:119" s="10" customFormat="1" ht="11.25" customHeight="1">
      <c r="A107" s="1463" t="s">
        <v>64</v>
      </c>
      <c r="B107" s="734"/>
      <c r="C107" s="533">
        <f>C100</f>
        <v>0</v>
      </c>
      <c r="D107" s="734"/>
      <c r="E107" s="533">
        <f>E100</f>
        <v>0.18830000000000002</v>
      </c>
      <c r="F107" s="734"/>
      <c r="G107" s="533">
        <f>G100</f>
        <v>0.48475000000000001</v>
      </c>
      <c r="H107" s="734"/>
      <c r="I107" s="533">
        <f>I100</f>
        <v>-0.12460000000000004</v>
      </c>
      <c r="J107" s="734"/>
      <c r="K107" s="533">
        <f>K100</f>
        <v>1.109</v>
      </c>
      <c r="L107" s="734"/>
      <c r="M107" s="533">
        <f>M100</f>
        <v>-7.6820000000000004</v>
      </c>
      <c r="N107" s="734"/>
      <c r="O107" s="533">
        <f>O100</f>
        <v>0</v>
      </c>
      <c r="P107" s="734"/>
      <c r="Q107" s="533">
        <f>Q100</f>
        <v>0</v>
      </c>
      <c r="R107" s="734"/>
      <c r="S107" s="1716">
        <f>S100</f>
        <v>0.14874633123689707</v>
      </c>
      <c r="T107" s="477">
        <f>T100</f>
        <v>0.46698252969951071</v>
      </c>
      <c r="U107" s="477">
        <f>U100</f>
        <v>0.1215520614954575</v>
      </c>
      <c r="V107" s="477">
        <f>V100</f>
        <v>-1.3280922431860631E-2</v>
      </c>
      <c r="W107" s="533">
        <f>SUM(S107:V107)</f>
        <v>0.72400000000000464</v>
      </c>
      <c r="X107" s="734"/>
      <c r="Y107" s="1716">
        <f>Y100</f>
        <v>0.11000000000000032</v>
      </c>
      <c r="Z107" s="477">
        <f>Z100</f>
        <v>0.11300000000000043</v>
      </c>
      <c r="AA107" s="477">
        <f>AA100</f>
        <v>0.19599999999999973</v>
      </c>
      <c r="AB107" s="477">
        <f>AB100</f>
        <v>0.18099999999999739</v>
      </c>
      <c r="AC107" s="533">
        <f>SUM(Y107:AB107)</f>
        <v>0.59999999999999787</v>
      </c>
      <c r="AD107" s="734"/>
      <c r="AE107" s="1716">
        <f>AE100</f>
        <v>0.20000000000000018</v>
      </c>
      <c r="AF107" s="477">
        <f>AF100</f>
        <v>0.19999999999999929</v>
      </c>
      <c r="AG107" s="477">
        <f>AG100</f>
        <v>0.19999999999999996</v>
      </c>
      <c r="AH107" s="477">
        <f>AH100</f>
        <v>-0.59999999999999787</v>
      </c>
      <c r="AI107" s="533">
        <f>SUM(AE107:AH107)</f>
        <v>1.5543122344752192E-15</v>
      </c>
      <c r="AJ107" s="734"/>
      <c r="AK107" s="1716">
        <f>AK100</f>
        <v>0</v>
      </c>
      <c r="AL107" s="477">
        <f>AL100</f>
        <v>9.9999999999999645E-2</v>
      </c>
      <c r="AM107" s="477">
        <f>AM100</f>
        <v>0</v>
      </c>
      <c r="AN107" s="477">
        <f>AN100</f>
        <v>-1.8999999999999986</v>
      </c>
      <c r="AO107" s="533">
        <f>SUM(AK107:AN107)</f>
        <v>-1.7999999999999989</v>
      </c>
      <c r="AP107" s="734"/>
      <c r="AQ107" s="1716">
        <f>AQ100</f>
        <v>0.40000000000000036</v>
      </c>
      <c r="AR107" s="477">
        <f>AR100</f>
        <v>0.59999999999999964</v>
      </c>
      <c r="AS107" s="477">
        <f>AS100</f>
        <v>1.5999999999999996</v>
      </c>
      <c r="AT107" s="477">
        <f>AT100</f>
        <v>-2.3000000000000007</v>
      </c>
      <c r="AU107" s="533">
        <f>SUM(AQ107:AT107)</f>
        <v>0.29999999999999893</v>
      </c>
      <c r="AV107" s="734"/>
      <c r="AW107" s="1716">
        <f>AW100</f>
        <v>0.40000000000000036</v>
      </c>
      <c r="AX107" s="477">
        <f>AX100</f>
        <v>1.7000000000000011</v>
      </c>
      <c r="AY107" s="477">
        <f>AY100</f>
        <v>-1.6999999999999993</v>
      </c>
      <c r="AZ107" s="477">
        <f>AZ100</f>
        <v>-2.6999999999999957</v>
      </c>
      <c r="BA107" s="533">
        <f>SUM(AW107:AZ107)</f>
        <v>-2.2999999999999936</v>
      </c>
      <c r="BB107" s="734"/>
      <c r="BC107" s="1716">
        <f>BC100</f>
        <v>0.5</v>
      </c>
      <c r="BD107" s="477">
        <f>BD100</f>
        <v>0.29999999999999893</v>
      </c>
      <c r="BE107" s="477">
        <f>BE100</f>
        <v>1.6999999999999993</v>
      </c>
      <c r="BF107" s="477">
        <f>BF100</f>
        <v>-0.29999999999999716</v>
      </c>
      <c r="BG107" s="533">
        <f>SUM(BC107:BF107)</f>
        <v>2.2000000000000011</v>
      </c>
      <c r="BH107" s="734"/>
      <c r="BI107" s="1716">
        <f>BI100</f>
        <v>2.4999999999999996</v>
      </c>
      <c r="BJ107" s="477">
        <f>BJ100</f>
        <v>1.2999999999999989</v>
      </c>
      <c r="BK107" s="477">
        <f>BK100</f>
        <v>-1.4000000000000004</v>
      </c>
      <c r="BL107" s="477">
        <f>BL100</f>
        <v>3.3000000000000043</v>
      </c>
      <c r="BM107" s="533">
        <f>SUM(BI107:BL107)</f>
        <v>5.7000000000000028</v>
      </c>
      <c r="BN107" s="734"/>
      <c r="BO107" s="1716">
        <f>BO100</f>
        <v>1.2000000000000002</v>
      </c>
      <c r="BP107" s="477">
        <f>BP100</f>
        <v>-1.2000000000000011</v>
      </c>
      <c r="BQ107" s="477">
        <f>BQ100</f>
        <v>6.3999999999999995</v>
      </c>
      <c r="BR107" s="477">
        <f>BR100</f>
        <v>-4.3000000000000043</v>
      </c>
      <c r="BS107" s="533">
        <f>SUM(BO107:BR107)</f>
        <v>2.0999999999999943</v>
      </c>
      <c r="BT107" s="734"/>
      <c r="BU107" s="1716">
        <f>BU100</f>
        <v>4.0000000000000009</v>
      </c>
      <c r="BV107" s="477">
        <f>BV100</f>
        <v>1.5</v>
      </c>
      <c r="BW107" s="477">
        <f>BW100</f>
        <v>4.8000000000000007</v>
      </c>
      <c r="BX107" s="477">
        <f>BX100</f>
        <v>10</v>
      </c>
      <c r="BY107" s="533">
        <f>SUM(BU107:BX107)</f>
        <v>20.3</v>
      </c>
      <c r="BZ107" s="734"/>
      <c r="CA107" s="1716">
        <f>CA100</f>
        <v>2.6000000000000005</v>
      </c>
      <c r="CB107" s="477">
        <f>CB100</f>
        <v>1.5</v>
      </c>
      <c r="CC107" s="477">
        <f>CC100</f>
        <v>7.5</v>
      </c>
      <c r="CD107" s="477">
        <f>CD100</f>
        <v>1.1999999999999993</v>
      </c>
      <c r="CE107" s="533">
        <f>SUM(CA107:CD107)</f>
        <v>12.8</v>
      </c>
      <c r="CF107" s="734"/>
      <c r="CG107" s="1716">
        <f>CG100</f>
        <v>3.2999999999999989</v>
      </c>
      <c r="CH107" s="15">
        <f>CH100</f>
        <v>5.4999999999999991</v>
      </c>
      <c r="CI107" s="15">
        <f>CI100</f>
        <v>4</v>
      </c>
      <c r="CJ107" s="477">
        <f>CJ100</f>
        <v>-65.599999999999994</v>
      </c>
      <c r="CK107" s="533">
        <f>SUM(CG107:CJ107)</f>
        <v>-52.8</v>
      </c>
      <c r="CL107" s="734"/>
      <c r="CM107" s="822">
        <f>SUM(CM104:CM106)*CM58</f>
        <v>3.75</v>
      </c>
      <c r="CN107" s="15">
        <f>SUM(CN104:CN106)*CN58</f>
        <v>3.75</v>
      </c>
      <c r="CO107" s="15">
        <f>SUM(CO104:CO106)*CO58</f>
        <v>3.75</v>
      </c>
      <c r="CP107" s="1692">
        <f>SUM(CP104:CP106)*CP58</f>
        <v>3.75</v>
      </c>
      <c r="CQ107" s="533">
        <f>SUM(CM107:CP107)</f>
        <v>15</v>
      </c>
      <c r="CR107" s="734"/>
      <c r="CS107" s="822">
        <f>SUM(CS104:CS106)*CS58</f>
        <v>3.75</v>
      </c>
      <c r="CT107" s="15">
        <f>SUM(CT104:CT106)*CT58</f>
        <v>3.75</v>
      </c>
      <c r="CU107" s="15">
        <f>SUM(CU104:CU106)*CU58</f>
        <v>3.75</v>
      </c>
      <c r="CV107" s="1692">
        <f>SUM(CV104:CV106)*CV58</f>
        <v>3.75</v>
      </c>
      <c r="CW107" s="533">
        <f>SUM(CS107:CV107)</f>
        <v>15</v>
      </c>
      <c r="CX107" s="1720"/>
      <c r="CY107" s="822">
        <f>SUM(CY104:CY106)*CY58</f>
        <v>3.75</v>
      </c>
      <c r="CZ107" s="15">
        <f>SUM(CZ104:CZ106)*CZ58</f>
        <v>3.75</v>
      </c>
      <c r="DA107" s="15">
        <f>SUM(DA104:DA106)*DA58</f>
        <v>3.75</v>
      </c>
      <c r="DB107" s="1692">
        <f>SUM(DB104:DB106)*DB58</f>
        <v>3.75</v>
      </c>
      <c r="DC107" s="533">
        <f>SUM(CY107:DB107)</f>
        <v>15</v>
      </c>
      <c r="DD107" s="1720"/>
      <c r="DE107" s="822">
        <f>SUM(DE104:DE106)*DE58</f>
        <v>3.75</v>
      </c>
      <c r="DF107" s="15">
        <f>SUM(DF104:DF106)*DF58</f>
        <v>3.75</v>
      </c>
      <c r="DG107" s="15">
        <f>SUM(DG104:DG106)*DG58</f>
        <v>3.75</v>
      </c>
      <c r="DH107" s="1692">
        <f>SUM(DH104:DH106)*DH58</f>
        <v>3.75</v>
      </c>
      <c r="DI107" s="533">
        <f>SUM(DE107:DH107)</f>
        <v>15</v>
      </c>
      <c r="DJ107"/>
      <c r="DK107"/>
      <c r="DL107"/>
      <c r="DM107"/>
      <c r="DN107"/>
      <c r="DO107"/>
    </row>
    <row r="108" spans="1:119" s="10" customFormat="1" ht="11.25" customHeight="1">
      <c r="A108" s="1798" t="s">
        <v>67</v>
      </c>
      <c r="B108" s="734"/>
      <c r="C108" s="817">
        <f>C32</f>
        <v>-0.88800000000000501</v>
      </c>
      <c r="D108" s="733"/>
      <c r="E108" s="817">
        <f>E32</f>
        <v>1.2257000000000042</v>
      </c>
      <c r="F108" s="733"/>
      <c r="G108" s="817">
        <f>G32</f>
        <v>2.9662499999999996</v>
      </c>
      <c r="H108" s="733"/>
      <c r="I108" s="817">
        <f>I32</f>
        <v>3.4056000000000082</v>
      </c>
      <c r="J108" s="733"/>
      <c r="K108" s="817">
        <f>K32</f>
        <v>5.3949999999999854</v>
      </c>
      <c r="L108" s="733"/>
      <c r="M108" s="817">
        <f>M32</f>
        <v>2.2300000000000249</v>
      </c>
      <c r="N108" s="733"/>
      <c r="O108" s="817">
        <f>O32</f>
        <v>-7.8309999999999951</v>
      </c>
      <c r="P108" s="733"/>
      <c r="Q108" s="817">
        <f>Q32</f>
        <v>9.7469999999999963</v>
      </c>
      <c r="R108" s="733"/>
      <c r="S108" s="1710">
        <f t="shared" ref="S108:BS108" si="114">S32</f>
        <v>4.2862536687630985</v>
      </c>
      <c r="T108" s="478">
        <f t="shared" si="114"/>
        <v>5.7630174703004782</v>
      </c>
      <c r="U108" s="478">
        <f t="shared" si="114"/>
        <v>3.8154479385045499</v>
      </c>
      <c r="V108" s="478">
        <f t="shared" si="114"/>
        <v>9.6162809224318835</v>
      </c>
      <c r="W108" s="817">
        <f t="shared" si="114"/>
        <v>23.48099999999997</v>
      </c>
      <c r="X108" s="733"/>
      <c r="Y108" s="1710">
        <f t="shared" si="114"/>
        <v>14.634000000000006</v>
      </c>
      <c r="Z108" s="478">
        <f t="shared" si="114"/>
        <v>17.946999999999985</v>
      </c>
      <c r="AA108" s="478">
        <f t="shared" si="114"/>
        <v>27.718999999999966</v>
      </c>
      <c r="AB108" s="478">
        <f t="shared" si="114"/>
        <v>47.600000000000072</v>
      </c>
      <c r="AC108" s="817">
        <f t="shared" si="114"/>
        <v>107.90000000000005</v>
      </c>
      <c r="AD108" s="733"/>
      <c r="AE108" s="1710">
        <f t="shared" si="114"/>
        <v>5.4999999999999973</v>
      </c>
      <c r="AF108" s="478">
        <f t="shared" si="114"/>
        <v>23</v>
      </c>
      <c r="AG108" s="478">
        <f t="shared" si="114"/>
        <v>18.900000000000002</v>
      </c>
      <c r="AH108" s="478">
        <f t="shared" si="114"/>
        <v>30.499999999999904</v>
      </c>
      <c r="AI108" s="817">
        <f t="shared" si="114"/>
        <v>77.899999999999878</v>
      </c>
      <c r="AJ108" s="733"/>
      <c r="AK108" s="1710">
        <f t="shared" si="114"/>
        <v>9.1999999999999815</v>
      </c>
      <c r="AL108" s="478">
        <f t="shared" si="114"/>
        <v>12.299999999999986</v>
      </c>
      <c r="AM108" s="478">
        <f t="shared" si="114"/>
        <v>16.799999999999951</v>
      </c>
      <c r="AN108" s="478">
        <f t="shared" si="114"/>
        <v>40.199999999999967</v>
      </c>
      <c r="AO108" s="817">
        <f t="shared" si="114"/>
        <v>78.499999999999815</v>
      </c>
      <c r="AP108" s="733"/>
      <c r="AQ108" s="1710">
        <f t="shared" si="114"/>
        <v>18.300000000000018</v>
      </c>
      <c r="AR108" s="478">
        <f t="shared" si="114"/>
        <v>26.499999999999968</v>
      </c>
      <c r="AS108" s="478">
        <f t="shared" si="114"/>
        <v>35.200000000000003</v>
      </c>
      <c r="AT108" s="478">
        <f t="shared" si="114"/>
        <v>46.999999999999943</v>
      </c>
      <c r="AU108" s="817">
        <f t="shared" si="114"/>
        <v>127.00000000000009</v>
      </c>
      <c r="AV108" s="733"/>
      <c r="AW108" s="1710">
        <f t="shared" si="114"/>
        <v>22.799999999999997</v>
      </c>
      <c r="AX108" s="478">
        <f t="shared" si="114"/>
        <v>33.900000000000105</v>
      </c>
      <c r="AY108" s="478">
        <f t="shared" si="114"/>
        <v>36.199999999999989</v>
      </c>
      <c r="AZ108" s="478">
        <f t="shared" si="114"/>
        <v>50.799999999999812</v>
      </c>
      <c r="BA108" s="817">
        <f t="shared" si="114"/>
        <v>143.69999999999982</v>
      </c>
      <c r="BB108" s="733"/>
      <c r="BC108" s="1710">
        <f t="shared" si="114"/>
        <v>23.799999999999965</v>
      </c>
      <c r="BD108" s="478">
        <f t="shared" si="114"/>
        <v>20.500000000000028</v>
      </c>
      <c r="BE108" s="478">
        <f t="shared" si="114"/>
        <v>47.100000000000016</v>
      </c>
      <c r="BF108" s="478">
        <f t="shared" si="114"/>
        <v>46.900000000000112</v>
      </c>
      <c r="BG108" s="817">
        <f t="shared" si="114"/>
        <v>138.30000000000013</v>
      </c>
      <c r="BH108" s="733"/>
      <c r="BI108" s="1710">
        <f t="shared" si="114"/>
        <v>13.40000000000005</v>
      </c>
      <c r="BJ108" s="478">
        <f t="shared" si="114"/>
        <v>29.899999999999981</v>
      </c>
      <c r="BK108" s="478">
        <f t="shared" si="114"/>
        <v>33.799999999999955</v>
      </c>
      <c r="BL108" s="478">
        <f t="shared" si="114"/>
        <v>52.200000000000088</v>
      </c>
      <c r="BM108" s="817">
        <f t="shared" si="114"/>
        <v>129.30000000000001</v>
      </c>
      <c r="BN108" s="733"/>
      <c r="BO108" s="1710">
        <f t="shared" si="114"/>
        <v>18.700000000000049</v>
      </c>
      <c r="BP108" s="478">
        <f t="shared" si="114"/>
        <v>34.899999999999956</v>
      </c>
      <c r="BQ108" s="478">
        <f t="shared" si="114"/>
        <v>23.799999999999972</v>
      </c>
      <c r="BR108" s="478">
        <f t="shared" si="114"/>
        <v>50.300000000000104</v>
      </c>
      <c r="BS108" s="817">
        <f t="shared" si="114"/>
        <v>127.70000000000007</v>
      </c>
      <c r="BT108" s="733"/>
      <c r="BU108" s="1710">
        <f>BU32</f>
        <v>23.100000000000012</v>
      </c>
      <c r="BV108" s="478">
        <f>BV32</f>
        <v>31.899999999999981</v>
      </c>
      <c r="BW108" s="478">
        <f>BW32</f>
        <v>31.600000000000009</v>
      </c>
      <c r="BX108" s="1723">
        <f>BX32</f>
        <v>64.39999999999992</v>
      </c>
      <c r="BY108" s="817">
        <f>BY32</f>
        <v>151.00000000000003</v>
      </c>
      <c r="BZ108" s="733"/>
      <c r="CA108" s="1710">
        <f>CA32</f>
        <v>34.30000000000004</v>
      </c>
      <c r="CB108" s="478">
        <f>CB32</f>
        <v>32.600000000000058</v>
      </c>
      <c r="CC108" s="478">
        <f>CC32</f>
        <v>51.699999999999967</v>
      </c>
      <c r="CD108" s="1723">
        <f>CD32</f>
        <v>73.699999999999946</v>
      </c>
      <c r="CE108" s="817">
        <f>CE32</f>
        <v>192.30000000000007</v>
      </c>
      <c r="CF108" s="733"/>
      <c r="CG108" s="1710">
        <f>CG32</f>
        <v>29.899999999999988</v>
      </c>
      <c r="CH108" s="478">
        <f>CH32</f>
        <v>36.099999999999987</v>
      </c>
      <c r="CI108" s="478">
        <f>CI32</f>
        <v>46.399999999999942</v>
      </c>
      <c r="CJ108" s="1723">
        <f>CJ32</f>
        <v>79.80000000000021</v>
      </c>
      <c r="CK108" s="817">
        <f>CK32</f>
        <v>192.20000000000005</v>
      </c>
      <c r="CL108" s="733"/>
      <c r="CM108" s="1710">
        <f>CM32</f>
        <v>38.171035372468715</v>
      </c>
      <c r="CN108" s="478">
        <f>CN32</f>
        <v>39.574398418900657</v>
      </c>
      <c r="CO108" s="478">
        <f>CO32</f>
        <v>55.63579832668038</v>
      </c>
      <c r="CP108" s="1723">
        <f>CP32</f>
        <v>86.881600320252147</v>
      </c>
      <c r="CQ108" s="817">
        <f>CQ32</f>
        <v>220.26283243830196</v>
      </c>
      <c r="CR108" s="733"/>
      <c r="CS108" s="1710">
        <f>CS32</f>
        <v>53.707997695629821</v>
      </c>
      <c r="CT108" s="478">
        <f>CT32</f>
        <v>56.388498578707043</v>
      </c>
      <c r="CU108" s="478">
        <f>CU32</f>
        <v>57.427418535902319</v>
      </c>
      <c r="CV108" s="1723">
        <f>CV32</f>
        <v>74.78141711651871</v>
      </c>
      <c r="CW108" s="817">
        <f>CW32</f>
        <v>242.30533192675767</v>
      </c>
      <c r="CX108" s="478"/>
      <c r="CY108" s="1710">
        <f>CY32</f>
        <v>58.816190662377402</v>
      </c>
      <c r="CZ108" s="478">
        <f>CZ32</f>
        <v>68.698634067847493</v>
      </c>
      <c r="DA108" s="478">
        <f>DA32</f>
        <v>70.330037229501542</v>
      </c>
      <c r="DB108" s="1723">
        <f>DB32</f>
        <v>87.509925419343929</v>
      </c>
      <c r="DC108" s="817">
        <f>DC32</f>
        <v>285.35478737907033</v>
      </c>
      <c r="DD108" s="478"/>
      <c r="DE108" s="1710">
        <f>DE32</f>
        <v>69.238758634370782</v>
      </c>
      <c r="DF108" s="478">
        <f>DF32</f>
        <v>67.219012482739458</v>
      </c>
      <c r="DG108" s="478">
        <f>DG32</f>
        <v>68.934654772254106</v>
      </c>
      <c r="DH108" s="1723">
        <f>DH32</f>
        <v>89.25939284800188</v>
      </c>
      <c r="DI108" s="817">
        <f>DI32</f>
        <v>294.65181873736606</v>
      </c>
      <c r="DJ108"/>
      <c r="DK108"/>
      <c r="DL108"/>
      <c r="DM108"/>
      <c r="DN108"/>
      <c r="DO108"/>
    </row>
    <row r="109" spans="1:119" s="10" customFormat="1" ht="11.25" customHeight="1">
      <c r="A109" s="1805" t="s">
        <v>57</v>
      </c>
      <c r="B109" s="734"/>
      <c r="C109" s="1806">
        <f>C108/C9</f>
        <v>-2.1039164119695909E-2</v>
      </c>
      <c r="D109" s="734"/>
      <c r="E109" s="1806">
        <f>E108/E9</f>
        <v>1.8947287061369673E-2</v>
      </c>
      <c r="F109" s="734"/>
      <c r="G109" s="1806">
        <f>G108/G9</f>
        <v>3.8722879298190641E-2</v>
      </c>
      <c r="H109" s="734"/>
      <c r="I109" s="1806">
        <f>I108/I9</f>
        <v>3.674143120691338E-2</v>
      </c>
      <c r="J109" s="734"/>
      <c r="K109" s="1806">
        <f>K108/K9</f>
        <v>2.4449600739606021E-2</v>
      </c>
      <c r="L109" s="734"/>
      <c r="M109" s="1806">
        <f>M108/M9</f>
        <v>8.5545824558174027E-3</v>
      </c>
      <c r="N109" s="734"/>
      <c r="O109" s="1806">
        <f>O108/O9</f>
        <v>-2.753361273627361E-2</v>
      </c>
      <c r="P109" s="734"/>
      <c r="Q109" s="1806">
        <f>Q108/Q9</f>
        <v>2.6183805100294683E-2</v>
      </c>
      <c r="R109" s="734"/>
      <c r="S109" s="1807">
        <f>S108/S9</f>
        <v>4.5186953579774591E-2</v>
      </c>
      <c r="T109" s="1441">
        <f>T108/T9</f>
        <v>5.7353158945298993E-2</v>
      </c>
      <c r="U109" s="1441">
        <f>U108/U9</f>
        <v>3.6382644593349382E-2</v>
      </c>
      <c r="V109" s="1441">
        <f>V108/V9</f>
        <v>7.0903453805949354E-2</v>
      </c>
      <c r="W109" s="1806">
        <f>W108/W9</f>
        <v>5.3876017015652679E-2</v>
      </c>
      <c r="X109" s="734"/>
      <c r="Y109" s="1807">
        <f>Y108/Y9</f>
        <v>7.0513067612366073E-2</v>
      </c>
      <c r="Z109" s="1441">
        <f>Z108/Z9</f>
        <v>7.5299359743561708E-2</v>
      </c>
      <c r="AA109" s="1441">
        <f>AA108/AA9</f>
        <v>0.11465502978160146</v>
      </c>
      <c r="AB109" s="1441">
        <f>AB108/AB9</f>
        <v>0.13806626020269075</v>
      </c>
      <c r="AC109" s="1806">
        <f>AC108/AC9</f>
        <v>0.1045137543587757</v>
      </c>
      <c r="AD109" s="734"/>
      <c r="AE109" s="1807">
        <f>AE108/AE9</f>
        <v>2.308015107007972E-2</v>
      </c>
      <c r="AF109" s="1441">
        <f>AF108/AF9</f>
        <v>7.3836276083467101E-2</v>
      </c>
      <c r="AG109" s="1441">
        <f>AG108/AG9</f>
        <v>7.8066914498141265E-2</v>
      </c>
      <c r="AH109" s="1441">
        <f>AH108/AH9</f>
        <v>9.6763959390862658E-2</v>
      </c>
      <c r="AI109" s="1806">
        <f>AI108/AI9</f>
        <v>7.0364014090867927E-2</v>
      </c>
      <c r="AJ109" s="734"/>
      <c r="AK109" s="1807">
        <f>AK108/AK9</f>
        <v>3.9913232104121392E-2</v>
      </c>
      <c r="AL109" s="1441">
        <f>AL108/AL9</f>
        <v>4.8712871287128659E-2</v>
      </c>
      <c r="AM109" s="1441">
        <f>AM108/AM9</f>
        <v>6.3372312334967762E-2</v>
      </c>
      <c r="AN109" s="1441">
        <f>AN108/AN9</f>
        <v>0.10971615720524007</v>
      </c>
      <c r="AO109" s="1806">
        <f>AO108/AO9</f>
        <v>7.0435172723194092E-2</v>
      </c>
      <c r="AP109" s="734"/>
      <c r="AQ109" s="1807">
        <f>AQ108/AQ9</f>
        <v>6.5898451566438671E-2</v>
      </c>
      <c r="AR109" s="1441">
        <f>AR108/AR9</f>
        <v>8.8069125955466829E-2</v>
      </c>
      <c r="AS109" s="1441">
        <f>AS108/AS9</f>
        <v>0.11347517730496455</v>
      </c>
      <c r="AT109" s="1441">
        <f>AT108/AT9</f>
        <v>0.11295361691900971</v>
      </c>
      <c r="AU109" s="1806">
        <f>AU108/AU9</f>
        <v>9.7325465552915991E-2</v>
      </c>
      <c r="AV109" s="734"/>
      <c r="AW109" s="1807">
        <f>AW108/AW9</f>
        <v>6.386554621848739E-2</v>
      </c>
      <c r="AX109" s="1441">
        <f>AX108/AX9</f>
        <v>8.4496510468594466E-2</v>
      </c>
      <c r="AY109" s="1441">
        <f>AY108/AY9</f>
        <v>8.6520076481835545E-2</v>
      </c>
      <c r="AZ109" s="1441">
        <f>AZ108/AZ9</f>
        <v>0.10692485792464707</v>
      </c>
      <c r="BA109" s="1806">
        <f>BA108/BA9</f>
        <v>8.7001271417327497E-2</v>
      </c>
      <c r="BB109" s="734"/>
      <c r="BC109" s="1807">
        <f>BC108/BC9</f>
        <v>5.8678500986193205E-2</v>
      </c>
      <c r="BD109" s="1441">
        <f>BD108/BD9</f>
        <v>4.8728309959591223E-2</v>
      </c>
      <c r="BE109" s="1441">
        <f>BE108/BE9</f>
        <v>0.10518088432335868</v>
      </c>
      <c r="BF109" s="1441">
        <f>BF108/BF9</f>
        <v>9.0663058186739046E-2</v>
      </c>
      <c r="BG109" s="1806">
        <f>BG108/BG9</f>
        <v>7.7202188232667251E-2</v>
      </c>
      <c r="BH109" s="734"/>
      <c r="BI109" s="1807">
        <f>BI108/BI9</f>
        <v>3.4062023385866926E-2</v>
      </c>
      <c r="BJ109" s="1441">
        <f>BJ108/BJ9</f>
        <v>6.5728731589360254E-2</v>
      </c>
      <c r="BK109" s="1441">
        <f>BK108/BK9</f>
        <v>7.6993166287015843E-2</v>
      </c>
      <c r="BL109" s="1441">
        <f>BL108/BL9</f>
        <v>9.4548089114291051E-2</v>
      </c>
      <c r="BM109" s="1806">
        <f>BM108/BM9</f>
        <v>7.0294661302598677E-2</v>
      </c>
      <c r="BN109" s="734"/>
      <c r="BO109" s="1807">
        <f>BO108/BO9</f>
        <v>4.4135001180080354E-2</v>
      </c>
      <c r="BP109" s="1441">
        <f>BP108/BP9</f>
        <v>7.6300830782684653E-2</v>
      </c>
      <c r="BQ109" s="1441">
        <f>BQ108/BQ9</f>
        <v>5.6693663649356768E-2</v>
      </c>
      <c r="BR109" s="1441">
        <f>BR108/BR9</f>
        <v>9.9015748031496251E-2</v>
      </c>
      <c r="BS109" s="1806">
        <f>BS108/BS9</f>
        <v>7.0595389463209729E-2</v>
      </c>
      <c r="BT109" s="734"/>
      <c r="BU109" s="1807">
        <f>BU108/BU9</f>
        <v>6.5346534653465377E-2</v>
      </c>
      <c r="BV109" s="1441">
        <f>BV108/BV9</f>
        <v>8.0555555555555505E-2</v>
      </c>
      <c r="BW109" s="1441">
        <f>BW108/BW9</f>
        <v>7.9777833880333271E-2</v>
      </c>
      <c r="BX109" s="1820">
        <f>BX108/BX9</f>
        <v>0.1346716854872437</v>
      </c>
      <c r="BY109" s="1806">
        <f>BY108/BY9</f>
        <v>9.2991747752186243E-2</v>
      </c>
      <c r="BZ109" s="734"/>
      <c r="CA109" s="1807">
        <f>CA108/CA9</f>
        <v>9.1369206180074686E-2</v>
      </c>
      <c r="CB109" s="1441">
        <f>CB108/CB9</f>
        <v>8.7705138552596332E-2</v>
      </c>
      <c r="CC109" s="1441">
        <f>CC108/CC9</f>
        <v>0.13125158669713119</v>
      </c>
      <c r="CD109" s="1820">
        <f>CD108/CD9</f>
        <v>0.15670848394641709</v>
      </c>
      <c r="CE109" s="1806">
        <f>CE108/CE9</f>
        <v>0.11934462856078945</v>
      </c>
      <c r="CF109" s="734"/>
      <c r="CG109" s="1807">
        <f>CG108/CG9</f>
        <v>7.7682514938945152E-2</v>
      </c>
      <c r="CH109" s="1441">
        <f>CH108/CH9</f>
        <v>8.7008917811520828E-2</v>
      </c>
      <c r="CI109" s="1441">
        <f>CI108/CI9</f>
        <v>0.10651974288337912</v>
      </c>
      <c r="CJ109" s="1820">
        <f>CJ108/CJ9</f>
        <v>0.15042412818096168</v>
      </c>
      <c r="CK109" s="1806">
        <f>CK108/CK9</f>
        <v>0.1088396851463843</v>
      </c>
      <c r="CL109" s="734"/>
      <c r="CM109" s="1807">
        <f>CM108/CM9</f>
        <v>9.0094619399139098E-2</v>
      </c>
      <c r="CN109" s="1441">
        <f>CN108/CN9</f>
        <v>9.1125552959646486E-2</v>
      </c>
      <c r="CO109" s="1441">
        <f>CO108/CO9</f>
        <v>0.1233610287380774</v>
      </c>
      <c r="CP109" s="1820">
        <f>CP108/CP9</f>
        <v>0.15576105117542166</v>
      </c>
      <c r="CQ109" s="1806">
        <f>CQ108/CQ9</f>
        <v>0.11799274087364826</v>
      </c>
      <c r="CR109" s="734"/>
      <c r="CS109" s="1807">
        <f>CS108/CS9</f>
        <v>0.12460020691400805</v>
      </c>
      <c r="CT109" s="1441">
        <f>CT108/CT9</f>
        <v>0.12547391419589712</v>
      </c>
      <c r="CU109" s="1441">
        <f>CU108/CU9</f>
        <v>0.1254450893514589</v>
      </c>
      <c r="CV109" s="1820">
        <f>CV108/CV9</f>
        <v>0.12785604875220744</v>
      </c>
      <c r="CW109" s="1806">
        <f>CW108/CW9</f>
        <v>0.12599571121579539</v>
      </c>
      <c r="CX109" s="1720"/>
      <c r="CY109" s="1807">
        <f>CY108/CY9</f>
        <v>0.13286857881391939</v>
      </c>
      <c r="CZ109" s="1441">
        <f>CZ108/CZ9</f>
        <v>0.15135364770953882</v>
      </c>
      <c r="DA109" s="1441">
        <f>DA108/DA9</f>
        <v>0.14847688802192158</v>
      </c>
      <c r="DB109" s="1820">
        <f>DB108/DB9</f>
        <v>0.14681929507200195</v>
      </c>
      <c r="DC109" s="1806">
        <f>DC108/DC9</f>
        <v>0.14512461619251016</v>
      </c>
      <c r="DD109" s="1720"/>
      <c r="DE109" s="1807">
        <f>DE108/DE9</f>
        <v>0.15391277162673628</v>
      </c>
      <c r="DF109" s="1441">
        <f>DF108/DF9</f>
        <v>0.14347026693336476</v>
      </c>
      <c r="DG109" s="1441">
        <f>DG108/DG9</f>
        <v>0.143385314089468</v>
      </c>
      <c r="DH109" s="1820">
        <f>DH108/DH9</f>
        <v>0.1456526855523731</v>
      </c>
      <c r="DI109" s="1806">
        <f>DI108/DI9</f>
        <v>0.14644955404118015</v>
      </c>
      <c r="DJ109"/>
      <c r="DK109"/>
      <c r="DL109"/>
      <c r="DM109"/>
      <c r="DN109"/>
      <c r="DO109"/>
    </row>
    <row r="110" spans="1:119" s="10" customFormat="1" ht="11.25" customHeight="1">
      <c r="A110" s="2238" t="s">
        <v>33</v>
      </c>
      <c r="B110" s="2239"/>
      <c r="C110" s="2240">
        <f>C103/C42</f>
        <v>-1.1098901098901208E-2</v>
      </c>
      <c r="D110" s="2239"/>
      <c r="E110" s="2240">
        <f>E103/E42</f>
        <v>2.745054945054954E-2</v>
      </c>
      <c r="F110" s="2239"/>
      <c r="G110" s="2240">
        <f>G103/G42</f>
        <v>4.5070309683105637E-2</v>
      </c>
      <c r="H110" s="2239"/>
      <c r="I110" s="2240">
        <f>I103/I42</f>
        <v>6.5913951212439884E-2</v>
      </c>
      <c r="J110" s="2239"/>
      <c r="K110" s="2240">
        <f>K103/K42</f>
        <v>-8.778699843836732E-2</v>
      </c>
      <c r="L110" s="2239"/>
      <c r="M110" s="2240">
        <f>M103/M42</f>
        <v>-0.21596948818897604</v>
      </c>
      <c r="N110" s="2239"/>
      <c r="O110" s="2240">
        <f>O103/O42</f>
        <v>-8.8490875190688684E-2</v>
      </c>
      <c r="P110" s="2239"/>
      <c r="Q110" s="2240">
        <f>Q103/Q42</f>
        <v>9.6380895876594444E-2</v>
      </c>
      <c r="R110" s="2239"/>
      <c r="S110" s="2241">
        <f>S103/S42</f>
        <v>3.2114702404414615E-2</v>
      </c>
      <c r="T110" s="2242">
        <f>T103/T42</f>
        <v>2.4914350783849737E-2</v>
      </c>
      <c r="U110" s="2242">
        <f>U103/U42</f>
        <v>2.8976476086617929E-2</v>
      </c>
      <c r="V110" s="2242">
        <f>V103/V42</f>
        <v>9.3915062397214116E-2</v>
      </c>
      <c r="W110" s="2240">
        <f>W103/W42</f>
        <v>0.1801952009048271</v>
      </c>
      <c r="X110" s="2239"/>
      <c r="Y110" s="2241">
        <f>Y103/Y42</f>
        <v>8.8087608805077808E-2</v>
      </c>
      <c r="Z110" s="2242">
        <f>Z103/Z42</f>
        <v>0.1074399274687695</v>
      </c>
      <c r="AA110" s="2242">
        <f>AA103/AA42</f>
        <v>0.16240622564302395</v>
      </c>
      <c r="AB110" s="2242">
        <f>AB103/AB42</f>
        <v>0.24421372191864035</v>
      </c>
      <c r="AC110" s="2240">
        <f>AC103/AC42</f>
        <v>0.60194765672550232</v>
      </c>
      <c r="AD110" s="2239"/>
      <c r="AE110" s="2241">
        <f>AE103/AE42</f>
        <v>-4.929143561306238E-3</v>
      </c>
      <c r="AF110" s="2242">
        <f>AF103/AF42</f>
        <v>0.13111782477341388</v>
      </c>
      <c r="AG110" s="2242">
        <f>AG103/AG42</f>
        <v>0.10729355033152502</v>
      </c>
      <c r="AH110" s="2242">
        <f>AH103/AH42</f>
        <v>0.15917375455650004</v>
      </c>
      <c r="AI110" s="2240">
        <f>AI103/AI42</f>
        <v>0.39190821256038577</v>
      </c>
      <c r="AJ110" s="2239"/>
      <c r="AK110" s="2241">
        <f>AK103/AK42</f>
        <v>5.1125989044430796E-2</v>
      </c>
      <c r="AL110" s="2242">
        <f>AL103/AL42</f>
        <v>7.8324225865209388E-2</v>
      </c>
      <c r="AM110" s="2242">
        <f>AM103/AM42</f>
        <v>9.9393939393939104E-2</v>
      </c>
      <c r="AN110" s="2242">
        <f>AN103/AN42</f>
        <v>0.26331719128329284</v>
      </c>
      <c r="AO110" s="2240">
        <f>AO103/AO42</f>
        <v>0.49241964827167867</v>
      </c>
      <c r="AP110" s="2239"/>
      <c r="AQ110" s="2241">
        <f>AQ103/AQ42</f>
        <v>9.7222222222222335E-2</v>
      </c>
      <c r="AR110" s="2242">
        <f>AR103/AR42</f>
        <v>0.13630880579010834</v>
      </c>
      <c r="AS110" s="2242">
        <f>AS103/AS42</f>
        <v>0.16535908267954139</v>
      </c>
      <c r="AT110" s="2242">
        <f>AT103/AT42</f>
        <v>0.17639975918121581</v>
      </c>
      <c r="AU110" s="2240">
        <f>AU103/AU42</f>
        <v>0.57573928786964446</v>
      </c>
      <c r="AV110" s="2239"/>
      <c r="AW110" s="2241">
        <f>AW103/AW42</f>
        <v>6.7786442711457701E-2</v>
      </c>
      <c r="AX110" s="2242">
        <f>AX103/AX42</f>
        <v>0.13209802749551766</v>
      </c>
      <c r="AY110" s="2242">
        <f>AY103/AY42</f>
        <v>0.11863391252246848</v>
      </c>
      <c r="AZ110" s="2242">
        <f>AZ103/AZ42</f>
        <v>0.23455308938212249</v>
      </c>
      <c r="BA110" s="2240">
        <f>BA103/BA42</f>
        <v>0.55302576393049618</v>
      </c>
      <c r="BB110" s="2239"/>
      <c r="BC110" s="2241">
        <f>BC103/BC42</f>
        <v>9.047333732774096E-2</v>
      </c>
      <c r="BD110" s="2242">
        <f>BD103/BD42</f>
        <v>5.9245960502693165E-2</v>
      </c>
      <c r="BE110" s="2242">
        <f>BE103/BE42</f>
        <v>0.23729826658696959</v>
      </c>
      <c r="BF110" s="2242">
        <f>BF103/BF42</f>
        <v>7.6326774001193268E-2</v>
      </c>
      <c r="BG110" s="2240">
        <f>BG103/BG42</f>
        <v>0.46296296296296369</v>
      </c>
      <c r="BH110" s="2239"/>
      <c r="BI110" s="2241">
        <f>BI103/BI42</f>
        <v>3.2123735871505354E-2</v>
      </c>
      <c r="BJ110" s="2242">
        <f>BJ103/BJ42</f>
        <v>0.13598574821852719</v>
      </c>
      <c r="BK110" s="2242">
        <f>BK103/BK42</f>
        <v>9.8399525785417621E-2</v>
      </c>
      <c r="BL110" s="2242">
        <f>BL103/BL42</f>
        <v>0.20828402366863957</v>
      </c>
      <c r="BM110" s="2240">
        <f>BM103/BM42</f>
        <v>0.4753709198813057</v>
      </c>
      <c r="BN110" s="2239"/>
      <c r="BO110" s="2241">
        <f>BO103/BO42</f>
        <v>5.1357733175915285E-2</v>
      </c>
      <c r="BP110" s="2242">
        <f>BP103/BP42</f>
        <v>9.6755162241887641E-2</v>
      </c>
      <c r="BQ110" s="2242">
        <f>BQ103/BQ42</f>
        <v>3.2429245283018729E-2</v>
      </c>
      <c r="BR110" s="2242">
        <f>BR103/BR42</f>
        <v>0.15389150943396288</v>
      </c>
      <c r="BS110" s="2240">
        <f>BS103/BS42</f>
        <v>0.33451327433628364</v>
      </c>
      <c r="BT110" s="2239"/>
      <c r="BU110" s="2241">
        <f>BU103/BU42</f>
        <v>3.8302887448438488E-2</v>
      </c>
      <c r="BV110" s="2242">
        <f>BV103/BV42</f>
        <v>0.12905126694166166</v>
      </c>
      <c r="BW110" s="2242">
        <f>BW103/BW42</f>
        <v>6.9946650859513987E-2</v>
      </c>
      <c r="BX110" s="2242">
        <f>BX103/BX42</f>
        <v>0.36395969176052118</v>
      </c>
      <c r="BY110" s="2240">
        <f>BY103/BY42</f>
        <v>0.6008279124778233</v>
      </c>
      <c r="BZ110" s="2239"/>
      <c r="CA110" s="2241">
        <f>CA103/CA42</f>
        <v>0.14363968350578235</v>
      </c>
      <c r="CB110" s="2242">
        <f>CB103/CB42</f>
        <v>8.9285714285714635E-2</v>
      </c>
      <c r="CC110" s="2242">
        <f>CC103/CC42</f>
        <v>0.28792569659442702</v>
      </c>
      <c r="CD110" s="2242">
        <f>CD103/CD42</f>
        <v>0.4293714996888609</v>
      </c>
      <c r="CE110" s="2240">
        <f>CE103/CE42</f>
        <v>0.94697903822441432</v>
      </c>
      <c r="CF110" s="2239"/>
      <c r="CG110" s="2241">
        <f>CG103/CG42</f>
        <v>0.13457943925233637</v>
      </c>
      <c r="CH110" s="2242">
        <f>CH103/CH42</f>
        <v>0.1458852867830423</v>
      </c>
      <c r="CI110" s="2242">
        <f>CI103/CI42</f>
        <v>0.23314429741650883</v>
      </c>
      <c r="CJ110" s="2242">
        <f>CJ103/CJ42</f>
        <v>-2.1836865767500182E-2</v>
      </c>
      <c r="CK110" s="2240">
        <f>CK103/CK42</f>
        <v>0.49402891263356469</v>
      </c>
      <c r="CL110" s="2239"/>
      <c r="CM110" s="2241">
        <f>CM103/CM42</f>
        <v>0.17025613205635157</v>
      </c>
      <c r="CN110" s="2242">
        <f>CN103/CN42</f>
        <v>0.1804004580107394</v>
      </c>
      <c r="CO110" s="2242">
        <f>CO103/CO42</f>
        <v>0.28466933815360213</v>
      </c>
      <c r="CP110" s="2242">
        <f>CP103/CP42</f>
        <v>0.48839793651966606</v>
      </c>
      <c r="CQ110" s="2243">
        <f>CQ103/CQ42</f>
        <v>1.1200579272242313</v>
      </c>
      <c r="CR110" s="2239"/>
      <c r="CS110" s="2241">
        <f>CS103/CS42</f>
        <v>0.27340648450288108</v>
      </c>
      <c r="CT110" s="2242">
        <f>CT103/CT42</f>
        <v>0.29314017890965954</v>
      </c>
      <c r="CU110" s="2242">
        <f>CU103/CU42</f>
        <v>0.3024032574198886</v>
      </c>
      <c r="CV110" s="2242">
        <f>CV103/CV42</f>
        <v>0.41949215587660404</v>
      </c>
      <c r="CW110" s="2240">
        <f>CW103/CW42</f>
        <v>1.2865814498066634</v>
      </c>
      <c r="CX110" s="1720"/>
      <c r="CY110" s="2241">
        <f>CY103/CY42</f>
        <v>0.31235678942322503</v>
      </c>
      <c r="CZ110" s="2242">
        <f>CZ103/CZ42</f>
        <v>0.38024863072143017</v>
      </c>
      <c r="DA110" s="2242">
        <f>DA103/DA42</f>
        <v>0.39410792044055082</v>
      </c>
      <c r="DB110" s="2242">
        <f>DB103/DB42</f>
        <v>0.51263544244651749</v>
      </c>
      <c r="DC110" s="2240">
        <f>DC103/DC42</f>
        <v>1.5969564287131834</v>
      </c>
      <c r="DD110" s="1720"/>
      <c r="DE110" s="2241">
        <f>DE103/DE42</f>
        <v>0.38779774129970468</v>
      </c>
      <c r="DF110" s="2242">
        <f>DF103/DF42</f>
        <v>0.37706193792943898</v>
      </c>
      <c r="DG110" s="2242">
        <f>DG103/DG42</f>
        <v>0.39145481143139044</v>
      </c>
      <c r="DH110" s="2242">
        <f>DH103/DH42</f>
        <v>0.53318458122549095</v>
      </c>
      <c r="DI110" s="2240">
        <f>DI103/DI42</f>
        <v>1.6878740237115029</v>
      </c>
      <c r="DJ110"/>
      <c r="DK110"/>
      <c r="DL110"/>
      <c r="DM110"/>
      <c r="DN110"/>
      <c r="DO110"/>
    </row>
    <row r="111" spans="1:119" s="10" customFormat="1" ht="11.25" customHeight="1">
      <c r="A111" s="2244" t="s">
        <v>34</v>
      </c>
      <c r="B111" s="2245"/>
      <c r="C111" s="2246">
        <f>C108/C42</f>
        <v>-1.9516483516483628E-2</v>
      </c>
      <c r="D111" s="2245"/>
      <c r="E111" s="2246">
        <f>E108/E42</f>
        <v>2.693846153846163E-2</v>
      </c>
      <c r="F111" s="2245"/>
      <c r="G111" s="2246">
        <f>G108/G42</f>
        <v>5.9417691598894269E-2</v>
      </c>
      <c r="H111" s="2245"/>
      <c r="I111" s="2246">
        <f>I108/I42</f>
        <v>6.172025082460416E-2</v>
      </c>
      <c r="J111" s="2245"/>
      <c r="K111" s="2246">
        <f>K108/K42</f>
        <v>6.9628176503232775E-2</v>
      </c>
      <c r="L111" s="2245"/>
      <c r="M111" s="2246">
        <f>M108/M42</f>
        <v>2.7436023622047549E-2</v>
      </c>
      <c r="N111" s="2245"/>
      <c r="O111" s="2246">
        <f>O108/O42</f>
        <v>-8.8490875190688684E-2</v>
      </c>
      <c r="P111" s="2245"/>
      <c r="Q111" s="2246">
        <f>Q108/Q42</f>
        <v>9.6380895876594444E-2</v>
      </c>
      <c r="R111" s="2245"/>
      <c r="S111" s="2247">
        <f>S108/S42</f>
        <v>4.2237422829750675E-2</v>
      </c>
      <c r="T111" s="2248">
        <f>T108/T42</f>
        <v>5.6572828537636358E-2</v>
      </c>
      <c r="U111" s="2248">
        <f>U108/U42</f>
        <v>3.7149944875609034E-2</v>
      </c>
      <c r="V111" s="2248">
        <f>V108/V42</f>
        <v>9.3027773265278932E-2</v>
      </c>
      <c r="W111" s="2246">
        <f>W108/W42</f>
        <v>0.22894667563693771</v>
      </c>
      <c r="X111" s="2245"/>
      <c r="Y111" s="2247">
        <f>Y108/Y42</f>
        <v>8.9830945453206176E-2</v>
      </c>
      <c r="Z111" s="2248">
        <f>Z108/Z42</f>
        <v>0.10920452955099996</v>
      </c>
      <c r="AA111" s="2248">
        <f>AA108/AA42</f>
        <v>0.16878775331254853</v>
      </c>
      <c r="AB111" s="2248">
        <f>AB108/AB42</f>
        <v>0.28901032179720748</v>
      </c>
      <c r="AC111" s="2246">
        <f>AC108/AC42</f>
        <v>0.65672550213024983</v>
      </c>
      <c r="AD111" s="2245"/>
      <c r="AE111" s="2247">
        <f>AE108/AE42</f>
        <v>3.3887861983980264E-2</v>
      </c>
      <c r="AF111" s="2248">
        <f>AF108/AF42</f>
        <v>0.13897280966767372</v>
      </c>
      <c r="AG111" s="2248">
        <f>AG108/AG42</f>
        <v>0.1139240506329114</v>
      </c>
      <c r="AH111" s="2248">
        <f>AH108/AH42</f>
        <v>0.18529769137302493</v>
      </c>
      <c r="AI111" s="2246">
        <f>AI108/AI42</f>
        <v>0.47041062801932293</v>
      </c>
      <c r="AJ111" s="2245"/>
      <c r="AK111" s="2247">
        <f>AK108/AK42</f>
        <v>5.599513085818613E-2</v>
      </c>
      <c r="AL111" s="2248">
        <f>AL108/AL42</f>
        <v>7.4681238615664766E-2</v>
      </c>
      <c r="AM111" s="2248">
        <f>AM108/AM42</f>
        <v>0.10181818181818152</v>
      </c>
      <c r="AN111" s="2248">
        <f>AN108/AN42</f>
        <v>0.24334140435835333</v>
      </c>
      <c r="AO111" s="2246">
        <f>AO108/AO42</f>
        <v>0.47604608853850705</v>
      </c>
      <c r="AP111" s="2245"/>
      <c r="AQ111" s="2247">
        <f>AQ108/AQ42</f>
        <v>0.11050724637681171</v>
      </c>
      <c r="AR111" s="2248">
        <f>AR108/AR42</f>
        <v>0.15983112183353418</v>
      </c>
      <c r="AS111" s="2248">
        <f>AS108/AS42</f>
        <v>0.21243210621605313</v>
      </c>
      <c r="AT111" s="2248">
        <f>AT108/AT42</f>
        <v>0.28296207104154092</v>
      </c>
      <c r="AU111" s="2246">
        <f>AU108/AU42</f>
        <v>0.76644538322269218</v>
      </c>
      <c r="AV111" s="2245"/>
      <c r="AW111" s="2247">
        <f>AW108/AW42</f>
        <v>0.13677264547090581</v>
      </c>
      <c r="AX111" s="2248">
        <f>AX108/AX42</f>
        <v>0.20263000597728692</v>
      </c>
      <c r="AY111" s="2248">
        <f>AY108/AY42</f>
        <v>0.21689634511683636</v>
      </c>
      <c r="AZ111" s="2248">
        <f>AZ108/AZ42</f>
        <v>0.30473905218956099</v>
      </c>
      <c r="BA111" s="2246">
        <f>BA108/BA42</f>
        <v>0.86099460754942969</v>
      </c>
      <c r="BB111" s="2245"/>
      <c r="BC111" s="2247">
        <f>BC108/BC42</f>
        <v>0.14260035949670441</v>
      </c>
      <c r="BD111" s="2248">
        <f>BD108/BD42</f>
        <v>0.12268102932375841</v>
      </c>
      <c r="BE111" s="2248">
        <f>BE108/BE42</f>
        <v>0.28153018529587576</v>
      </c>
      <c r="BF111" s="2248">
        <f>BF108/BF42</f>
        <v>0.27966607036374547</v>
      </c>
      <c r="BG111" s="2246">
        <f>BG108/BG42</f>
        <v>0.82616487455197207</v>
      </c>
      <c r="BH111" s="2245"/>
      <c r="BI111" s="2247">
        <f>BI108/BI42</f>
        <v>7.9714455681142479E-2</v>
      </c>
      <c r="BJ111" s="2248">
        <f>BJ108/BJ42</f>
        <v>0.17755344418052244</v>
      </c>
      <c r="BK111" s="2248">
        <f>BK108/BK42</f>
        <v>0.20035566093657353</v>
      </c>
      <c r="BL111" s="2248">
        <f>BL108/BL42</f>
        <v>0.30887573964497095</v>
      </c>
      <c r="BM111" s="2246">
        <f>BM108/BM42</f>
        <v>0.76735905044510389</v>
      </c>
      <c r="BN111" s="2245"/>
      <c r="BO111" s="2247">
        <f>BO108/BO42</f>
        <v>0.11038961038961068</v>
      </c>
      <c r="BP111" s="2248">
        <f>BP108/BP42</f>
        <v>0.205899705014749</v>
      </c>
      <c r="BQ111" s="2248">
        <f>BQ108/BQ42</f>
        <v>0.14033018867924513</v>
      </c>
      <c r="BR111" s="2248">
        <f>BR108/BR42</f>
        <v>0.2965801886792459</v>
      </c>
      <c r="BS111" s="2246">
        <f>BS108/BS42</f>
        <v>0.7533923303834813</v>
      </c>
      <c r="BT111" s="2245"/>
      <c r="BU111" s="2247">
        <f>BU108/BU42</f>
        <v>0.1361225692398351</v>
      </c>
      <c r="BV111" s="2248">
        <f>BV108/BV42</f>
        <v>0.18797878609310539</v>
      </c>
      <c r="BW111" s="2248">
        <f>BW108/BW42</f>
        <v>0.18731475992886787</v>
      </c>
      <c r="BX111" s="2248">
        <f>BX108/BX42</f>
        <v>0.38174273858921115</v>
      </c>
      <c r="BY111" s="2246">
        <f>BY108/BY42</f>
        <v>0.89296274393849817</v>
      </c>
      <c r="BZ111" s="2245"/>
      <c r="CA111" s="2247">
        <f>CA108/CA42</f>
        <v>0.20876445526475981</v>
      </c>
      <c r="CB111" s="2248">
        <f>CB108/CB42</f>
        <v>0.200738916256158</v>
      </c>
      <c r="CC111" s="2248">
        <f>CC108/CC42</f>
        <v>0.3201238390092877</v>
      </c>
      <c r="CD111" s="2248">
        <f>CD108/CD42</f>
        <v>0.45861854387056594</v>
      </c>
      <c r="CE111" s="2246">
        <f>CE108/CE42</f>
        <v>1.1855733662145505</v>
      </c>
      <c r="CF111" s="2245"/>
      <c r="CG111" s="2247">
        <f>CG108/CG42</f>
        <v>0.18629283489096565</v>
      </c>
      <c r="CH111" s="2248">
        <f>CH108/CH42</f>
        <v>0.22506234413965079</v>
      </c>
      <c r="CI111" s="2248">
        <f>CI108/CI42</f>
        <v>0.29237555135475707</v>
      </c>
      <c r="CJ111" s="2248">
        <f>CJ108/CJ42</f>
        <v>0.51252408477842137</v>
      </c>
      <c r="CK111" s="2246">
        <f>CK108/CK42</f>
        <v>1.2080452545568827</v>
      </c>
      <c r="CL111" s="2245"/>
      <c r="CM111" s="2247">
        <f>CM108/CM42</f>
        <v>0.2414042680449382</v>
      </c>
      <c r="CN111" s="2248">
        <f>CN108/CN42</f>
        <v>0.25205264714484449</v>
      </c>
      <c r="CO111" s="2248">
        <f>CO108/CO42</f>
        <v>0.35682147183062501</v>
      </c>
      <c r="CP111" s="2248">
        <f>CP108/CP42</f>
        <v>0.56104583452236068</v>
      </c>
      <c r="CQ111" s="2249">
        <f>CQ108/CQ42</f>
        <v>1.4076409020277099</v>
      </c>
      <c r="CR111" s="2245"/>
      <c r="CS111" s="2247">
        <f>CS108/CS42</f>
        <v>0.3458503847712634</v>
      </c>
      <c r="CT111" s="2248">
        <f>CT108/CT42</f>
        <v>0.36620036293379848</v>
      </c>
      <c r="CU111" s="2248">
        <f>CU108/CU42</f>
        <v>0.37607642395536112</v>
      </c>
      <c r="CV111" s="2248">
        <f>CV108/CV42</f>
        <v>0.49377488035851613</v>
      </c>
      <c r="CW111" s="2246">
        <f>CW108/CW42</f>
        <v>1.5800158171191054</v>
      </c>
      <c r="CX111" s="1720"/>
      <c r="CY111" s="2247">
        <f>CY108/CY42</f>
        <v>0.38623308332183859</v>
      </c>
      <c r="CZ111" s="2248">
        <f>CZ108/CZ42</f>
        <v>0.45471162126989062</v>
      </c>
      <c r="DA111" s="2248">
        <f>DA108/DA42</f>
        <v>0.46915381263816486</v>
      </c>
      <c r="DB111" s="2248">
        <f>DB108/DB42</f>
        <v>0.58826033580709292</v>
      </c>
      <c r="DC111" s="2246">
        <f>DC108/DC42</f>
        <v>1.8959437718641896</v>
      </c>
      <c r="DD111" s="1720"/>
      <c r="DE111" s="2247">
        <f>DE108/DE42</f>
        <v>0.46303171237208818</v>
      </c>
      <c r="DF111" s="2248">
        <f>DF108/DF42</f>
        <v>0.45285292679161304</v>
      </c>
      <c r="DG111" s="2248">
        <f>DG108/DG42</f>
        <v>0.46779862671450395</v>
      </c>
      <c r="DH111" s="2248">
        <f>DH108/DH42</f>
        <v>0.6100769440525452</v>
      </c>
      <c r="DI111" s="2246">
        <f>DI108/DI42</f>
        <v>1.9921150721090766</v>
      </c>
      <c r="DJ111"/>
      <c r="DK111"/>
      <c r="DL111"/>
      <c r="DM111"/>
      <c r="DN111"/>
      <c r="DO111"/>
    </row>
    <row r="112" spans="1:119" ht="11.25" customHeight="1">
      <c r="A112" s="278"/>
      <c r="B112" s="278"/>
      <c r="C112" s="278"/>
      <c r="D112" s="278"/>
      <c r="E112" s="278"/>
      <c r="F112" s="278"/>
      <c r="G112" s="278"/>
      <c r="H112" s="278"/>
      <c r="I112" s="278"/>
      <c r="J112" s="278"/>
      <c r="K112" s="278"/>
      <c r="L112" s="278"/>
      <c r="M112" s="278"/>
      <c r="N112" s="278"/>
      <c r="O112" s="278"/>
      <c r="P112" s="278"/>
      <c r="Q112" s="278"/>
      <c r="R112" s="278"/>
      <c r="S112" s="278"/>
      <c r="T112" s="278"/>
      <c r="U112" s="278"/>
      <c r="V112" s="278"/>
      <c r="W112" s="278"/>
      <c r="X112" s="278"/>
      <c r="Y112" s="278"/>
      <c r="Z112" s="278"/>
      <c r="AA112" s="278"/>
      <c r="AB112" s="278"/>
      <c r="AC112" s="278"/>
      <c r="AD112" s="278"/>
      <c r="AE112" s="278"/>
      <c r="AF112" s="278"/>
      <c r="AG112" s="278"/>
      <c r="AH112" s="278"/>
      <c r="AI112" s="278"/>
      <c r="AJ112" s="278"/>
      <c r="AK112" s="278"/>
      <c r="AL112" s="278"/>
      <c r="AM112" s="278"/>
      <c r="AN112" s="278"/>
      <c r="AO112" s="278"/>
      <c r="AP112" s="278"/>
      <c r="AQ112" s="278"/>
      <c r="AR112" s="278"/>
      <c r="AS112" s="278"/>
      <c r="AT112" s="278"/>
      <c r="AU112" s="278"/>
      <c r="AV112" s="278"/>
      <c r="AW112" s="278"/>
      <c r="AX112" s="278"/>
      <c r="AY112" s="278"/>
      <c r="AZ112" s="278"/>
      <c r="BA112" s="278"/>
      <c r="BB112" s="278"/>
      <c r="BC112" s="278"/>
      <c r="BD112" s="278"/>
      <c r="BE112" s="1769"/>
      <c r="BF112" s="1769"/>
      <c r="BG112" s="1769"/>
      <c r="BH112" s="278"/>
      <c r="BI112" s="278"/>
      <c r="BJ112" s="1821"/>
      <c r="BK112" s="1769"/>
      <c r="BL112" s="1769"/>
      <c r="BM112" s="1769"/>
      <c r="BN112" s="278"/>
      <c r="BO112" s="278"/>
      <c r="BP112" s="278"/>
      <c r="BQ112" s="1769"/>
      <c r="BR112" s="1769"/>
      <c r="BS112" s="1769"/>
      <c r="BT112" s="278"/>
      <c r="BU112" s="278"/>
      <c r="BV112" s="278"/>
      <c r="BW112" s="1769"/>
      <c r="BX112" s="1769"/>
      <c r="BY112" s="1769"/>
      <c r="BZ112" s="278"/>
      <c r="CA112" s="278"/>
      <c r="CB112" s="278"/>
      <c r="CC112" s="1769"/>
      <c r="CD112" s="1769"/>
      <c r="CE112" s="1769"/>
      <c r="CF112" s="278"/>
      <c r="CG112" s="278"/>
      <c r="CH112" s="278"/>
      <c r="CI112" s="1769"/>
      <c r="CJ112" s="1769"/>
      <c r="CK112" s="1769"/>
      <c r="CL112" s="278"/>
      <c r="CM112" s="278"/>
      <c r="CN112" s="278"/>
      <c r="CO112" s="1769"/>
      <c r="CP112" s="1769"/>
      <c r="CQ112" s="1769"/>
      <c r="CS112" s="278"/>
      <c r="CT112" s="278"/>
      <c r="CU112" s="1769"/>
      <c r="CV112" s="1769"/>
      <c r="CW112" s="1769"/>
      <c r="CX112" s="1769"/>
      <c r="CY112" s="278"/>
      <c r="CZ112" s="278"/>
      <c r="DA112" s="1769"/>
      <c r="DB112" s="1769"/>
      <c r="DC112" s="1769"/>
      <c r="DD112" s="1769"/>
      <c r="DE112" s="278"/>
      <c r="DF112" s="278"/>
      <c r="DG112" s="1769"/>
      <c r="DH112" s="1769"/>
      <c r="DI112" s="1769"/>
    </row>
    <row r="113" spans="1:119" ht="11.25" customHeight="1">
      <c r="A113" s="476" t="s">
        <v>266</v>
      </c>
      <c r="B113" s="467"/>
      <c r="C113" s="468"/>
      <c r="D113" s="467"/>
      <c r="E113" s="468"/>
      <c r="F113" s="467"/>
      <c r="G113" s="468"/>
      <c r="H113" s="467"/>
      <c r="I113" s="468"/>
      <c r="J113" s="467"/>
      <c r="K113" s="468"/>
      <c r="L113" s="467"/>
      <c r="M113" s="468"/>
      <c r="N113" s="467"/>
      <c r="O113" s="468"/>
      <c r="P113" s="467"/>
      <c r="Q113" s="468"/>
      <c r="R113" s="467"/>
      <c r="S113" s="469"/>
      <c r="T113" s="467"/>
      <c r="U113" s="467"/>
      <c r="V113" s="470"/>
      <c r="W113" s="468"/>
      <c r="X113" s="467"/>
      <c r="Y113" s="469"/>
      <c r="Z113" s="467"/>
      <c r="AA113" s="467"/>
      <c r="AB113" s="470"/>
      <c r="AC113" s="468"/>
      <c r="AD113" s="467"/>
      <c r="AE113" s="469"/>
      <c r="AF113" s="467"/>
      <c r="AG113" s="467"/>
      <c r="AH113" s="470"/>
      <c r="AI113" s="468"/>
      <c r="AJ113" s="467"/>
      <c r="AK113" s="469"/>
      <c r="AL113" s="467"/>
      <c r="AM113" s="467"/>
      <c r="AN113" s="470"/>
      <c r="AO113" s="468"/>
      <c r="AP113" s="467"/>
      <c r="AQ113" s="469"/>
      <c r="AR113" s="467"/>
      <c r="AS113" s="467"/>
      <c r="AT113" s="470"/>
      <c r="AU113" s="468"/>
      <c r="AV113" s="467"/>
      <c r="AW113" s="469"/>
      <c r="AX113" s="467"/>
      <c r="AY113" s="467"/>
      <c r="AZ113" s="467"/>
      <c r="BA113" s="468"/>
      <c r="BB113" s="467"/>
      <c r="BC113" s="469"/>
      <c r="BD113" s="467"/>
      <c r="BE113" s="464"/>
      <c r="BF113" s="466"/>
      <c r="BG113" s="466"/>
      <c r="BH113" s="467"/>
      <c r="BI113" s="469"/>
      <c r="BJ113" s="464"/>
      <c r="BK113" s="464"/>
      <c r="BL113" s="466"/>
      <c r="BM113" s="466"/>
      <c r="BN113" s="464"/>
      <c r="BO113" s="469"/>
      <c r="BP113" s="464"/>
      <c r="BQ113" s="464"/>
      <c r="BR113" s="466"/>
      <c r="BS113" s="466"/>
      <c r="BT113" s="464"/>
      <c r="BU113" s="465"/>
      <c r="BV113" s="464"/>
      <c r="BW113" s="464"/>
      <c r="BX113" s="466"/>
      <c r="BY113" s="466"/>
      <c r="BZ113" s="464"/>
      <c r="CA113" s="465"/>
      <c r="CB113" s="464"/>
      <c r="CC113" s="464"/>
      <c r="CD113" s="466"/>
      <c r="CE113" s="466"/>
      <c r="CF113" s="464"/>
      <c r="CG113" s="465"/>
      <c r="CH113" s="464"/>
      <c r="CI113" s="464"/>
      <c r="CJ113" s="466"/>
      <c r="CK113" s="466"/>
      <c r="CL113" s="464"/>
      <c r="CM113" s="465"/>
      <c r="CN113" s="464"/>
      <c r="CO113" s="464"/>
      <c r="CP113" s="466"/>
      <c r="CQ113" s="466"/>
      <c r="CR113" s="464"/>
      <c r="CS113" s="465"/>
      <c r="CT113" s="464"/>
      <c r="CU113" s="464"/>
      <c r="CV113" s="466"/>
      <c r="CW113" s="466"/>
      <c r="CX113" s="464"/>
      <c r="CY113" s="465"/>
      <c r="CZ113" s="464"/>
      <c r="DA113" s="464"/>
      <c r="DB113" s="466"/>
      <c r="DC113" s="466"/>
      <c r="DD113" s="464"/>
      <c r="DE113" s="465"/>
      <c r="DF113" s="464"/>
      <c r="DG113" s="464"/>
      <c r="DH113" s="466"/>
      <c r="DI113" s="466"/>
    </row>
    <row r="114" spans="1:119" ht="11.25" customHeight="1">
      <c r="A114" s="359" t="s">
        <v>267</v>
      </c>
      <c r="B114" s="360"/>
      <c r="C114" s="1111">
        <v>0</v>
      </c>
      <c r="D114" s="360"/>
      <c r="E114" s="1111">
        <v>0</v>
      </c>
      <c r="F114" s="360"/>
      <c r="G114" s="1111">
        <v>0</v>
      </c>
      <c r="H114" s="360"/>
      <c r="I114" s="1111">
        <v>0</v>
      </c>
      <c r="J114" s="360"/>
      <c r="K114" s="1111">
        <v>0</v>
      </c>
      <c r="L114" s="360"/>
      <c r="M114" s="1111">
        <v>0</v>
      </c>
      <c r="N114" s="360"/>
      <c r="O114" s="1111">
        <v>0</v>
      </c>
      <c r="P114" s="360"/>
      <c r="Q114" s="1111">
        <v>0</v>
      </c>
      <c r="R114" s="360"/>
      <c r="S114" s="1112">
        <v>0</v>
      </c>
      <c r="T114" s="1113">
        <v>0</v>
      </c>
      <c r="U114" s="1113">
        <v>0</v>
      </c>
      <c r="V114" s="1114">
        <v>0</v>
      </c>
      <c r="W114" s="1111">
        <v>0</v>
      </c>
      <c r="X114" s="360"/>
      <c r="Y114" s="1112">
        <v>0</v>
      </c>
      <c r="Z114" s="1113">
        <v>0</v>
      </c>
      <c r="AA114" s="1113">
        <v>0</v>
      </c>
      <c r="AB114" s="1114">
        <v>0</v>
      </c>
      <c r="AC114" s="1111">
        <v>0</v>
      </c>
      <c r="AD114" s="360"/>
      <c r="AE114" s="1112">
        <v>0</v>
      </c>
      <c r="AF114" s="1113">
        <v>0</v>
      </c>
      <c r="AG114" s="1113">
        <v>0</v>
      </c>
      <c r="AH114" s="1114">
        <v>0</v>
      </c>
      <c r="AI114" s="1111">
        <v>0</v>
      </c>
      <c r="AJ114" s="360"/>
      <c r="AK114" s="1112">
        <v>0</v>
      </c>
      <c r="AL114" s="1113">
        <v>0</v>
      </c>
      <c r="AM114" s="1113">
        <v>0</v>
      </c>
      <c r="AN114" s="1114">
        <v>0</v>
      </c>
      <c r="AO114" s="1111">
        <v>0</v>
      </c>
      <c r="AP114" s="360"/>
      <c r="AQ114" s="1112">
        <v>0</v>
      </c>
      <c r="AR114" s="1113">
        <v>0</v>
      </c>
      <c r="AS114" s="1113">
        <v>0</v>
      </c>
      <c r="AT114" s="1114">
        <v>0</v>
      </c>
      <c r="AU114" s="1111">
        <v>0</v>
      </c>
      <c r="AV114" s="360"/>
      <c r="AW114" s="1112">
        <v>0</v>
      </c>
      <c r="AX114" s="1113">
        <v>0</v>
      </c>
      <c r="AY114" s="1113">
        <v>0</v>
      </c>
      <c r="AZ114" s="1114">
        <v>0</v>
      </c>
      <c r="BA114" s="1111">
        <v>0</v>
      </c>
      <c r="BB114" s="360"/>
      <c r="BC114" s="1112">
        <v>0</v>
      </c>
      <c r="BD114" s="1113">
        <v>0</v>
      </c>
      <c r="BE114" s="1113">
        <v>0</v>
      </c>
      <c r="BF114" s="1114">
        <v>0</v>
      </c>
      <c r="BG114" s="1111">
        <v>0</v>
      </c>
      <c r="BH114" s="360"/>
      <c r="BI114" s="1112">
        <v>0</v>
      </c>
      <c r="BJ114" s="1113">
        <v>0</v>
      </c>
      <c r="BK114" s="1113">
        <v>0</v>
      </c>
      <c r="BL114" s="1114">
        <v>0</v>
      </c>
      <c r="BM114" s="1111">
        <v>0</v>
      </c>
      <c r="BN114" s="360"/>
      <c r="BO114" s="1112">
        <v>0</v>
      </c>
      <c r="BP114" s="1113">
        <v>0</v>
      </c>
      <c r="BQ114" s="1113">
        <v>0</v>
      </c>
      <c r="BR114" s="1114">
        <v>0</v>
      </c>
      <c r="BS114" s="1111">
        <v>0</v>
      </c>
      <c r="BT114" s="360"/>
      <c r="BU114" s="1112">
        <v>0</v>
      </c>
      <c r="BV114" s="1113">
        <v>0</v>
      </c>
      <c r="BW114" s="1113">
        <v>0</v>
      </c>
      <c r="BX114" s="1114">
        <v>0</v>
      </c>
      <c r="BY114" s="1111">
        <v>0</v>
      </c>
      <c r="BZ114" s="360"/>
      <c r="CA114" s="1112">
        <v>0</v>
      </c>
      <c r="CB114" s="1113">
        <v>0</v>
      </c>
      <c r="CC114" s="1113">
        <v>0</v>
      </c>
      <c r="CD114" s="1114">
        <v>0</v>
      </c>
      <c r="CE114" s="1111">
        <v>0</v>
      </c>
      <c r="CF114" s="360"/>
      <c r="CG114" s="1112">
        <v>0</v>
      </c>
      <c r="CH114" s="1113">
        <v>0</v>
      </c>
      <c r="CI114" s="1113">
        <v>0</v>
      </c>
      <c r="CJ114" s="1114">
        <v>0</v>
      </c>
      <c r="CK114" s="1111">
        <v>0</v>
      </c>
      <c r="CL114" s="360"/>
      <c r="CM114" s="1112">
        <v>0</v>
      </c>
      <c r="CN114" s="1113">
        <v>0</v>
      </c>
      <c r="CO114" s="1113">
        <v>0</v>
      </c>
      <c r="CP114" s="1114">
        <v>0</v>
      </c>
      <c r="CQ114" s="1111">
        <v>0</v>
      </c>
      <c r="CR114" s="360"/>
      <c r="CS114" s="1112">
        <v>0</v>
      </c>
      <c r="CT114" s="1113">
        <v>0</v>
      </c>
      <c r="CU114" s="1113">
        <v>0</v>
      </c>
      <c r="CV114" s="1114">
        <v>0</v>
      </c>
      <c r="CW114" s="1111">
        <v>0</v>
      </c>
      <c r="CX114" s="360"/>
      <c r="CY114" s="1112">
        <v>0</v>
      </c>
      <c r="CZ114" s="1113">
        <v>0</v>
      </c>
      <c r="DA114" s="1113">
        <v>0</v>
      </c>
      <c r="DB114" s="1114">
        <v>0</v>
      </c>
      <c r="DC114" s="1111">
        <v>0</v>
      </c>
      <c r="DD114" s="360"/>
      <c r="DE114" s="1112">
        <v>0</v>
      </c>
      <c r="DF114" s="1113">
        <v>0</v>
      </c>
      <c r="DG114" s="1113">
        <v>0</v>
      </c>
      <c r="DH114" s="1114">
        <v>0</v>
      </c>
      <c r="DI114" s="1111">
        <v>0</v>
      </c>
    </row>
    <row r="115" spans="1:119" ht="11.25" customHeight="1">
      <c r="A115" s="362" t="s">
        <v>268</v>
      </c>
      <c r="B115" s="21"/>
      <c r="C115" s="575">
        <v>0.34</v>
      </c>
      <c r="D115" s="573"/>
      <c r="E115" s="575">
        <f>(34%-8.9%)</f>
        <v>0.251</v>
      </c>
      <c r="F115" s="573"/>
      <c r="G115" s="575">
        <v>0.34</v>
      </c>
      <c r="H115" s="573"/>
      <c r="I115" s="575">
        <f>34%-6.6%</f>
        <v>0.27400000000000002</v>
      </c>
      <c r="J115" s="573"/>
      <c r="K115" s="575">
        <f>(34%+1%+1.4%)</f>
        <v>0.36400000000000005</v>
      </c>
      <c r="L115" s="573"/>
      <c r="M115" s="575">
        <f>(34%-3.4%-11.4%)</f>
        <v>0.19200000000000006</v>
      </c>
      <c r="N115" s="573"/>
      <c r="O115" s="575">
        <v>0.35</v>
      </c>
      <c r="P115" s="573"/>
      <c r="Q115" s="575">
        <f>(34%-0.3%+6.2%)</f>
        <v>0.39900000000000002</v>
      </c>
      <c r="R115" s="573"/>
      <c r="S115" s="378">
        <f>W115</f>
        <v>0.44900000000000007</v>
      </c>
      <c r="T115" s="388">
        <f>S115</f>
        <v>0.44900000000000007</v>
      </c>
      <c r="U115" s="388">
        <f>T115</f>
        <v>0.44900000000000007</v>
      </c>
      <c r="V115" s="453">
        <f>U115</f>
        <v>0.44900000000000007</v>
      </c>
      <c r="W115" s="575">
        <f>(34%+0.6%+10.3%)</f>
        <v>0.44900000000000007</v>
      </c>
      <c r="X115" s="573"/>
      <c r="Y115" s="378">
        <f>AC115</f>
        <v>0.32799999999999996</v>
      </c>
      <c r="Z115" s="388">
        <f>Y115</f>
        <v>0.32799999999999996</v>
      </c>
      <c r="AA115" s="388">
        <f>Z115</f>
        <v>0.32799999999999996</v>
      </c>
      <c r="AB115" s="453">
        <f>AA115</f>
        <v>0.32799999999999996</v>
      </c>
      <c r="AC115" s="575">
        <f>(35%-2.7%+0.5%)</f>
        <v>0.32799999999999996</v>
      </c>
      <c r="AD115" s="573"/>
      <c r="AE115" s="378">
        <f>AI115</f>
        <v>0.28499999999999998</v>
      </c>
      <c r="AF115" s="388">
        <f>AE115</f>
        <v>0.28499999999999998</v>
      </c>
      <c r="AG115" s="388">
        <f>AF115</f>
        <v>0.28499999999999998</v>
      </c>
      <c r="AH115" s="453">
        <f>AG115</f>
        <v>0.28499999999999998</v>
      </c>
      <c r="AI115" s="575">
        <f>(35%-7%+0.5%)</f>
        <v>0.28499999999999998</v>
      </c>
      <c r="AJ115" s="573"/>
      <c r="AK115" s="378">
        <f>AO115</f>
        <v>0.25800000000000001</v>
      </c>
      <c r="AL115" s="388">
        <f>AK115</f>
        <v>0.25800000000000001</v>
      </c>
      <c r="AM115" s="388">
        <f>AL115</f>
        <v>0.25800000000000001</v>
      </c>
      <c r="AN115" s="453">
        <f>AM115</f>
        <v>0.25800000000000001</v>
      </c>
      <c r="AO115" s="575">
        <f>(35%-9.9%+0.7%)</f>
        <v>0.25800000000000001</v>
      </c>
      <c r="AP115" s="573"/>
      <c r="AQ115" s="378">
        <f>AU115</f>
        <v>0.29299999999999998</v>
      </c>
      <c r="AR115" s="388">
        <f>AQ115</f>
        <v>0.29299999999999998</v>
      </c>
      <c r="AS115" s="388">
        <f>AR115</f>
        <v>0.29299999999999998</v>
      </c>
      <c r="AT115" s="453">
        <f>AS115</f>
        <v>0.29299999999999998</v>
      </c>
      <c r="AU115" s="575">
        <f>(35%-5.7%)</f>
        <v>0.29299999999999998</v>
      </c>
      <c r="AV115" s="573"/>
      <c r="AW115" s="378">
        <f>BA115</f>
        <v>0.26699999999999996</v>
      </c>
      <c r="AX115" s="388">
        <f>AW115</f>
        <v>0.26699999999999996</v>
      </c>
      <c r="AY115" s="388">
        <f>AX115</f>
        <v>0.26699999999999996</v>
      </c>
      <c r="AZ115" s="453">
        <f>AY115</f>
        <v>0.26699999999999996</v>
      </c>
      <c r="BA115" s="575">
        <f>(35%-8%-0.3%)</f>
        <v>0.26699999999999996</v>
      </c>
      <c r="BB115" s="573"/>
      <c r="BC115" s="378">
        <f>BA115</f>
        <v>0.26699999999999996</v>
      </c>
      <c r="BD115" s="388">
        <f>BC115</f>
        <v>0.26699999999999996</v>
      </c>
      <c r="BE115" s="391">
        <f>+BD115</f>
        <v>0.26699999999999996</v>
      </c>
      <c r="BF115" s="574">
        <f>+BE115</f>
        <v>0.26699999999999996</v>
      </c>
      <c r="BG115" s="406">
        <f>+BF115</f>
        <v>0.26699999999999996</v>
      </c>
      <c r="BH115" s="573"/>
      <c r="BI115" s="378">
        <f>BG115</f>
        <v>0.26699999999999996</v>
      </c>
      <c r="BJ115" s="391">
        <f>BJ58</f>
        <v>0.31136363636363651</v>
      </c>
      <c r="BK115" s="391">
        <f>BK58</f>
        <v>0.1995305164319251</v>
      </c>
      <c r="BL115" s="574">
        <f>BL58</f>
        <v>0.28609986504723317</v>
      </c>
      <c r="BM115" s="406">
        <f>BM58</f>
        <v>0.27019498607242337</v>
      </c>
      <c r="BN115" s="21"/>
      <c r="BO115" s="378">
        <f>BO58</f>
        <v>0.25650557620817793</v>
      </c>
      <c r="BP115" s="391">
        <f>BP58</f>
        <v>0.29960317460317487</v>
      </c>
      <c r="BQ115" s="391">
        <f>BQ58</f>
        <v>0.27002967359050467</v>
      </c>
      <c r="BR115" s="574">
        <f>BR58</f>
        <v>0.20031545741324883</v>
      </c>
      <c r="BS115" s="406">
        <f>BS58</f>
        <v>0.25114678899082554</v>
      </c>
      <c r="BT115" s="21"/>
      <c r="BU115" s="380">
        <f>BU58</f>
        <v>0.27244582043343646</v>
      </c>
      <c r="BV115" s="391">
        <f>BV58</f>
        <v>0.10298102981029816</v>
      </c>
      <c r="BW115" s="391">
        <f>BW58</f>
        <v>0.32157676348547709</v>
      </c>
      <c r="BX115" s="574">
        <f>BX58</f>
        <v>0.19053549190535513</v>
      </c>
      <c r="BY115" s="406">
        <f>BY58</f>
        <v>0.21952453211937276</v>
      </c>
      <c r="BZ115" s="21"/>
      <c r="CA115" s="380">
        <f>CA58</f>
        <v>0.17745803357314133</v>
      </c>
      <c r="CB115" s="391">
        <f>CB58</f>
        <v>0.12032085561497308</v>
      </c>
      <c r="CC115" s="391">
        <f>CC58</f>
        <v>6.2836624775583522E-2</v>
      </c>
      <c r="CD115" s="574">
        <f>CD58</f>
        <v>0.21739130434782622</v>
      </c>
      <c r="CE115" s="406">
        <f>CE58</f>
        <v>0.15670013094718457</v>
      </c>
      <c r="CF115" s="21"/>
      <c r="CG115" s="380">
        <f>CG58</f>
        <v>0.30555555555555564</v>
      </c>
      <c r="CH115" s="391">
        <f>CH58</f>
        <v>0.24173553719008267</v>
      </c>
      <c r="CI115" s="391">
        <f>CI58</f>
        <v>0.22697368421052652</v>
      </c>
      <c r="CJ115" s="574">
        <f>CJ58</f>
        <v>0.2448210922787189</v>
      </c>
      <c r="CK115" s="406">
        <f>CK58</f>
        <v>0.25019334880123745</v>
      </c>
      <c r="CL115" s="21"/>
      <c r="CM115" s="380">
        <f>CM58</f>
        <v>0.25</v>
      </c>
      <c r="CN115" s="391">
        <f>CN58</f>
        <v>0.25</v>
      </c>
      <c r="CO115" s="391">
        <f>CO58</f>
        <v>0.25</v>
      </c>
      <c r="CP115" s="574">
        <f>CP58</f>
        <v>0.25</v>
      </c>
      <c r="CQ115" s="406">
        <f>CQ58</f>
        <v>0.24999999999999994</v>
      </c>
      <c r="CR115" s="21"/>
      <c r="CS115" s="380">
        <f>CS58</f>
        <v>0.25</v>
      </c>
      <c r="CT115" s="391">
        <f>CT58</f>
        <v>0.25</v>
      </c>
      <c r="CU115" s="391">
        <f>CU58</f>
        <v>0.25</v>
      </c>
      <c r="CV115" s="574">
        <f>CV58</f>
        <v>0.25</v>
      </c>
      <c r="CW115" s="406">
        <f>CW58</f>
        <v>0.25000000000000017</v>
      </c>
      <c r="CX115" s="21"/>
      <c r="CY115" s="380">
        <f>CY58</f>
        <v>0.25</v>
      </c>
      <c r="CZ115" s="391">
        <f>CZ58</f>
        <v>0.25</v>
      </c>
      <c r="DA115" s="391">
        <f>DA58</f>
        <v>0.25</v>
      </c>
      <c r="DB115" s="574">
        <f>DB58</f>
        <v>0.25</v>
      </c>
      <c r="DC115" s="406">
        <f>DC58</f>
        <v>0.25</v>
      </c>
      <c r="DD115" s="21"/>
      <c r="DE115" s="380">
        <f>DE58</f>
        <v>0.25</v>
      </c>
      <c r="DF115" s="391">
        <f>DF58</f>
        <v>0.25</v>
      </c>
      <c r="DG115" s="391">
        <f>DG58</f>
        <v>0.25</v>
      </c>
      <c r="DH115" s="574">
        <f>DH58</f>
        <v>0.25</v>
      </c>
      <c r="DI115" s="406">
        <f>DI58</f>
        <v>0.25000000000000011</v>
      </c>
    </row>
    <row r="116" spans="1:119" ht="11.25" customHeight="1">
      <c r="A116" s="362" t="s">
        <v>310</v>
      </c>
      <c r="B116" s="21"/>
      <c r="C116" s="405">
        <v>45.5</v>
      </c>
      <c r="D116" s="21"/>
      <c r="E116" s="405">
        <v>45.5</v>
      </c>
      <c r="F116" s="21"/>
      <c r="G116" s="405">
        <v>54.779218</v>
      </c>
      <c r="H116" s="21"/>
      <c r="I116" s="405">
        <v>55.007930999999999</v>
      </c>
      <c r="J116" s="21"/>
      <c r="K116" s="405">
        <f>76.988116-0.649622</f>
        <v>76.338494000000011</v>
      </c>
      <c r="L116" s="21"/>
      <c r="M116" s="405">
        <v>86.005590999999995</v>
      </c>
      <c r="N116" s="21"/>
      <c r="O116" s="405">
        <v>89.470444000000001</v>
      </c>
      <c r="P116" s="21"/>
      <c r="Q116" s="405">
        <v>101.105705</v>
      </c>
      <c r="R116" s="21"/>
      <c r="S116" s="386">
        <v>90.074365999999998</v>
      </c>
      <c r="T116" s="399">
        <v>90.086241000000001</v>
      </c>
      <c r="U116" s="399">
        <v>102.22599599999999</v>
      </c>
      <c r="V116" s="620">
        <v>102.56112899999999</v>
      </c>
      <c r="W116" s="394">
        <f>V116</f>
        <v>102.56112899999999</v>
      </c>
      <c r="X116" s="21"/>
      <c r="Y116" s="386">
        <v>105.309641</v>
      </c>
      <c r="Z116" s="399">
        <v>105.418696</v>
      </c>
      <c r="AA116" s="399">
        <v>105.474931</v>
      </c>
      <c r="AB116" s="620">
        <v>163.25189</v>
      </c>
      <c r="AC116" s="394">
        <f>AB116</f>
        <v>163.25189</v>
      </c>
      <c r="AD116" s="21"/>
      <c r="AE116" s="386">
        <v>163.35655600000001</v>
      </c>
      <c r="AF116" s="399">
        <v>163.63618399999999</v>
      </c>
      <c r="AG116" s="399">
        <v>164.076221</v>
      </c>
      <c r="AH116" s="620">
        <v>164.068252</v>
      </c>
      <c r="AI116" s="394">
        <f>AH116</f>
        <v>164.068252</v>
      </c>
      <c r="AJ116" s="21"/>
      <c r="AK116" s="386">
        <v>164.06764699999999</v>
      </c>
      <c r="AL116" s="399">
        <v>164.08790300000001</v>
      </c>
      <c r="AM116" s="399">
        <v>164.176558</v>
      </c>
      <c r="AN116" s="620">
        <v>164.37138400000001</v>
      </c>
      <c r="AO116" s="394">
        <f>AN116</f>
        <v>164.37138400000001</v>
      </c>
      <c r="AP116" s="21"/>
      <c r="AQ116" s="386">
        <v>164.65985000000001</v>
      </c>
      <c r="AR116" s="399">
        <v>164.769127</v>
      </c>
      <c r="AS116" s="399">
        <v>164.844627</v>
      </c>
      <c r="AT116" s="620">
        <v>165.229207</v>
      </c>
      <c r="AU116" s="394">
        <f>AT116</f>
        <v>165.229207</v>
      </c>
      <c r="AV116" s="21"/>
      <c r="AW116" s="386">
        <v>165.479116</v>
      </c>
      <c r="AX116" s="399">
        <v>165.82393099999999</v>
      </c>
      <c r="AY116" s="399">
        <v>165.849391</v>
      </c>
      <c r="AZ116" s="620">
        <v>165.871905</v>
      </c>
      <c r="BA116" s="394">
        <f>AZ116</f>
        <v>165.871905</v>
      </c>
      <c r="BB116" s="21"/>
      <c r="BC116" s="386">
        <v>166.09258199999999</v>
      </c>
      <c r="BD116" s="399">
        <v>166.262767</v>
      </c>
      <c r="BE116" s="399">
        <f>166.293899</f>
        <v>166.29389900000001</v>
      </c>
      <c r="BF116" s="620">
        <v>166.60442699999999</v>
      </c>
      <c r="BG116" s="394">
        <f>BF116</f>
        <v>166.60442699999999</v>
      </c>
      <c r="BH116" s="21"/>
      <c r="BI116" s="386">
        <v>167.046063</v>
      </c>
      <c r="BJ116" s="399">
        <v>167.13669100000001</v>
      </c>
      <c r="BK116" s="399">
        <v>167.544386</v>
      </c>
      <c r="BL116" s="620">
        <v>167.579204</v>
      </c>
      <c r="BM116" s="394">
        <f>BL116</f>
        <v>167.579204</v>
      </c>
      <c r="BN116" s="395"/>
      <c r="BO116" s="386">
        <v>167.910179</v>
      </c>
      <c r="BP116" s="399">
        <v>168.056129</v>
      </c>
      <c r="BQ116" s="399">
        <v>168.48303899999999</v>
      </c>
      <c r="BR116" s="620">
        <v>168.52758399999999</v>
      </c>
      <c r="BS116" s="394">
        <f>BR116</f>
        <v>168.52758399999999</v>
      </c>
      <c r="BT116" s="395"/>
      <c r="BU116" s="386">
        <v>168.87060099999999</v>
      </c>
      <c r="BV116" s="399">
        <v>168.13397000000001</v>
      </c>
      <c r="BW116" s="399">
        <v>167.87582900000001</v>
      </c>
      <c r="BX116" s="620">
        <v>165.35418000000001</v>
      </c>
      <c r="BY116" s="394">
        <f>BX116</f>
        <v>165.35418000000001</v>
      </c>
      <c r="BZ116" s="395"/>
      <c r="CA116" s="1904">
        <v>162.554756</v>
      </c>
      <c r="CB116" s="399">
        <v>161.509041</v>
      </c>
      <c r="CC116" s="399">
        <v>160.40283199999999</v>
      </c>
      <c r="CD116" s="620">
        <f>159.854695</f>
        <v>159.85469499999999</v>
      </c>
      <c r="CE116" s="394">
        <f>CD116</f>
        <v>159.85469499999999</v>
      </c>
      <c r="CF116" s="395"/>
      <c r="CG116" s="2228">
        <v>159.93357800000001</v>
      </c>
      <c r="CH116" s="1266">
        <f>158.858855</f>
        <v>158.85885500000001</v>
      </c>
      <c r="CI116" s="1266">
        <f>156.173417</f>
        <v>156.173417</v>
      </c>
      <c r="CJ116" s="536">
        <f>CI116</f>
        <v>156.173417</v>
      </c>
      <c r="CK116" s="394">
        <f>CJ116</f>
        <v>156.173417</v>
      </c>
      <c r="CL116" s="395"/>
      <c r="CM116" s="535">
        <f>CK116</f>
        <v>156.173417</v>
      </c>
      <c r="CN116" s="395">
        <f>CM116</f>
        <v>156.173417</v>
      </c>
      <c r="CO116" s="395">
        <f>CN116</f>
        <v>156.173417</v>
      </c>
      <c r="CP116" s="536">
        <f>CO116</f>
        <v>156.173417</v>
      </c>
      <c r="CQ116" s="394">
        <f>CP116</f>
        <v>156.173417</v>
      </c>
      <c r="CR116" s="395"/>
      <c r="CS116" s="535">
        <f>CQ116</f>
        <v>156.173417</v>
      </c>
      <c r="CT116" s="395">
        <f>CS116</f>
        <v>156.173417</v>
      </c>
      <c r="CU116" s="395">
        <f>CT116</f>
        <v>156.173417</v>
      </c>
      <c r="CV116" s="536">
        <f>CU116</f>
        <v>156.173417</v>
      </c>
      <c r="CW116" s="394">
        <f>CV116</f>
        <v>156.173417</v>
      </c>
      <c r="CX116" s="395"/>
      <c r="CY116" s="535">
        <f>CW116</f>
        <v>156.173417</v>
      </c>
      <c r="CZ116" s="395">
        <f>CY116</f>
        <v>156.173417</v>
      </c>
      <c r="DA116" s="395">
        <f>CZ116</f>
        <v>156.173417</v>
      </c>
      <c r="DB116" s="536">
        <f>DA116</f>
        <v>156.173417</v>
      </c>
      <c r="DC116" s="394">
        <f>DB116</f>
        <v>156.173417</v>
      </c>
      <c r="DD116" s="395"/>
      <c r="DE116" s="535">
        <f>DC116</f>
        <v>156.173417</v>
      </c>
      <c r="DF116" s="395">
        <f>DE116</f>
        <v>156.173417</v>
      </c>
      <c r="DG116" s="395">
        <f>DF116</f>
        <v>156.173417</v>
      </c>
      <c r="DH116" s="536">
        <f>DG116</f>
        <v>156.173417</v>
      </c>
      <c r="DI116" s="394">
        <f>DH116</f>
        <v>156.173417</v>
      </c>
    </row>
    <row r="117" spans="1:119" s="17" customFormat="1" ht="11.25" customHeight="1">
      <c r="A117" s="614" t="s">
        <v>311</v>
      </c>
      <c r="B117" s="614"/>
      <c r="C117" s="615">
        <f>C30+C33</f>
        <v>-0.505000000000005</v>
      </c>
      <c r="D117" s="616"/>
      <c r="E117" s="615">
        <f>E30+E33</f>
        <v>1.2490000000000041</v>
      </c>
      <c r="F117" s="616"/>
      <c r="G117" s="615">
        <f>G30+G33</f>
        <v>2.2499999999999996</v>
      </c>
      <c r="H117" s="616"/>
      <c r="I117" s="615">
        <f>I30+I33</f>
        <v>3.637000000000008</v>
      </c>
      <c r="J117" s="616"/>
      <c r="K117" s="615">
        <f>K30+K33</f>
        <v>-6.0960000000000161</v>
      </c>
      <c r="L117" s="616"/>
      <c r="M117" s="615">
        <f>M30+M33</f>
        <v>-17.560999999999975</v>
      </c>
      <c r="N117" s="616"/>
      <c r="O117" s="615">
        <f>O30+O33</f>
        <v>-7.7619999999999951</v>
      </c>
      <c r="P117" s="616"/>
      <c r="Q117" s="615">
        <f>Q30+Q33</f>
        <v>9.7869999999999955</v>
      </c>
      <c r="R117" s="616"/>
      <c r="S117" s="619">
        <f>S30+S33</f>
        <v>3.3069999999999959</v>
      </c>
      <c r="T117" s="617">
        <f>T30+T33</f>
        <v>2.5829999999999886</v>
      </c>
      <c r="U117" s="617">
        <f>U30+U33</f>
        <v>2.9580000000000077</v>
      </c>
      <c r="V117" s="623">
        <f>V30+V33</f>
        <v>9.6410000000000231</v>
      </c>
      <c r="W117" s="615">
        <f>W30+W33</f>
        <v>18.488999999999972</v>
      </c>
      <c r="X117" s="616"/>
      <c r="Y117" s="619">
        <f>Y30+Y33</f>
        <v>14.436000000000007</v>
      </c>
      <c r="Z117" s="617">
        <f>Z30+Z33</f>
        <v>17.716999999999985</v>
      </c>
      <c r="AA117" s="617">
        <f>AA30+AA33</f>
        <v>26.779999999999966</v>
      </c>
      <c r="AB117" s="623">
        <f>AB30+AB33</f>
        <v>40.267000000000067</v>
      </c>
      <c r="AC117" s="615">
        <f>AC30+AC33</f>
        <v>99.200000000000045</v>
      </c>
      <c r="AD117" s="616"/>
      <c r="AE117" s="619">
        <f>AE30+AE33</f>
        <v>-0.60000000000000231</v>
      </c>
      <c r="AF117" s="617">
        <f>AF30+AF33</f>
        <v>21.7</v>
      </c>
      <c r="AG117" s="617">
        <f>AG30+AG33</f>
        <v>17.900000000000002</v>
      </c>
      <c r="AH117" s="623">
        <f>AH30+AH33</f>
        <v>26.199999999999907</v>
      </c>
      <c r="AI117" s="615">
        <f>AI30+AI33</f>
        <v>65.199999999999875</v>
      </c>
      <c r="AJ117" s="618"/>
      <c r="AK117" s="619">
        <f>AK30+AK33</f>
        <v>8.5999999999999801</v>
      </c>
      <c r="AL117" s="617">
        <f>AL30+AL33</f>
        <v>12.699999999999987</v>
      </c>
      <c r="AM117" s="617">
        <f>AM30+AM33</f>
        <v>16.099999999999952</v>
      </c>
      <c r="AN117" s="623">
        <f>AN30+AN33</f>
        <v>43.599999999999973</v>
      </c>
      <c r="AO117" s="615">
        <f>AO30+AO33</f>
        <v>80.999999999999815</v>
      </c>
      <c r="AP117" s="618"/>
      <c r="AQ117" s="619">
        <f>AQ30+AQ33</f>
        <v>16.000000000000018</v>
      </c>
      <c r="AR117" s="617">
        <f>AR30+AR33</f>
        <v>22.89999999999997</v>
      </c>
      <c r="AS117" s="617">
        <f>AS30+AS33</f>
        <v>27.900000000000002</v>
      </c>
      <c r="AT117" s="623">
        <f>AT30+AT33</f>
        <v>29.999999999999943</v>
      </c>
      <c r="AU117" s="615">
        <f>AU30+AU33</f>
        <v>96.800000000000097</v>
      </c>
      <c r="AV117" s="618"/>
      <c r="AW117" s="619">
        <f>AW30+AW33</f>
        <v>11.699999999999996</v>
      </c>
      <c r="AX117" s="617">
        <f>AX30+AX33</f>
        <v>22.600000000000108</v>
      </c>
      <c r="AY117" s="617">
        <f>AY30+AY33</f>
        <v>20.099999999999987</v>
      </c>
      <c r="AZ117" s="623">
        <f>AZ30+AZ33</f>
        <v>39.599999999999817</v>
      </c>
      <c r="BA117" s="615">
        <f>BA30+BA33</f>
        <v>93.999999999999801</v>
      </c>
      <c r="BB117" s="618"/>
      <c r="BC117" s="619">
        <f>BC30+BC33</f>
        <v>15.099999999999966</v>
      </c>
      <c r="BD117" s="617">
        <f>BD30+BD33</f>
        <v>9.900000000000027</v>
      </c>
      <c r="BE117" s="617">
        <f>BE30+BE33</f>
        <v>39.90000000000002</v>
      </c>
      <c r="BF117" s="623">
        <f>BF30+BF33</f>
        <v>13.300000000000111</v>
      </c>
      <c r="BG117" s="615">
        <f>BG30+BG33</f>
        <v>78.200000000000117</v>
      </c>
      <c r="BH117" s="618"/>
      <c r="BI117" s="619">
        <f>BI30+BI33</f>
        <v>5.7000000000000508</v>
      </c>
      <c r="BJ117" s="617">
        <f>BJ30+BJ33</f>
        <v>23.299999999999976</v>
      </c>
      <c r="BK117" s="617">
        <f>BK30+BK33</f>
        <v>16.899999999999949</v>
      </c>
      <c r="BL117" s="623">
        <f>BL30+BL33</f>
        <v>35.900000000000091</v>
      </c>
      <c r="BM117" s="615">
        <f>BM30+BM33</f>
        <v>81.8</v>
      </c>
      <c r="BN117" s="616"/>
      <c r="BO117" s="619">
        <f>BO30+BO33</f>
        <v>10.00000000000005</v>
      </c>
      <c r="BP117" s="617">
        <f>BP30+BP33</f>
        <v>16.799999999999955</v>
      </c>
      <c r="BQ117" s="617">
        <f>BQ30+BQ33</f>
        <v>6.2999999999999758</v>
      </c>
      <c r="BR117" s="617">
        <f>BR30+BR33</f>
        <v>26.500000000000099</v>
      </c>
      <c r="BS117" s="615">
        <f>BS30+BS33</f>
        <v>59.60000000000008</v>
      </c>
      <c r="BT117" s="618"/>
      <c r="BU117" s="619">
        <f>BU30+BU33</f>
        <v>6.9000000000000092</v>
      </c>
      <c r="BV117" s="617">
        <f>BV30+BV33</f>
        <v>23.09999999999998</v>
      </c>
      <c r="BW117" s="617">
        <f>BW30+BW33</f>
        <v>12.900000000000009</v>
      </c>
      <c r="BX117" s="617">
        <f>BX30+BX33</f>
        <v>61.999999999999915</v>
      </c>
      <c r="BY117" s="615">
        <f>BY30+BY33</f>
        <v>104.90000000000003</v>
      </c>
      <c r="BZ117" s="618"/>
      <c r="CA117" s="619">
        <f>CA30+CA33</f>
        <v>23.600000000000041</v>
      </c>
      <c r="CB117" s="617">
        <f>CB30+CB33</f>
        <v>14.800000000000054</v>
      </c>
      <c r="CC117" s="617">
        <f>CC30+CC33</f>
        <v>46.999999999999964</v>
      </c>
      <c r="CD117" s="623">
        <f>CD30+CD33</f>
        <v>69.099999999999937</v>
      </c>
      <c r="CE117" s="615">
        <f>CE30+CE33</f>
        <v>154.50000000000006</v>
      </c>
      <c r="CF117" s="618"/>
      <c r="CG117" s="619">
        <f>CG30+CG33</f>
        <v>21.699999999999989</v>
      </c>
      <c r="CH117" s="617">
        <f>CH30+CH33</f>
        <v>23.999999999999989</v>
      </c>
      <c r="CI117" s="617">
        <f>CI30+CI33</f>
        <v>37.599999999999952</v>
      </c>
      <c r="CJ117" s="623">
        <f>CJ30+CJ33</f>
        <v>-2.9999999999997726</v>
      </c>
      <c r="CK117" s="615">
        <f>CK30+CK33</f>
        <v>80.300000000000054</v>
      </c>
      <c r="CL117" s="618"/>
      <c r="CM117" s="619">
        <f>CM30+CM33</f>
        <v>27.321035372468714</v>
      </c>
      <c r="CN117" s="617">
        <f>CN30+CN33</f>
        <v>28.724398418900655</v>
      </c>
      <c r="CO117" s="617">
        <f>CO30+CO33</f>
        <v>44.785798326680379</v>
      </c>
      <c r="CP117" s="623">
        <f>CP30+CP33</f>
        <v>76.031600320252153</v>
      </c>
      <c r="CQ117" s="615">
        <f>CQ30+CQ33</f>
        <v>176.86283243830195</v>
      </c>
      <c r="CR117" s="618"/>
      <c r="CS117" s="619">
        <f>CS30+CS33</f>
        <v>42.85799769562982</v>
      </c>
      <c r="CT117" s="617">
        <f>CT30+CT33</f>
        <v>45.538498578707042</v>
      </c>
      <c r="CU117" s="617">
        <f>CU30+CU33</f>
        <v>46.577418535902318</v>
      </c>
      <c r="CV117" s="623">
        <f>CV30+CV33</f>
        <v>63.931417116518716</v>
      </c>
      <c r="CW117" s="615">
        <f>CW30+CW33</f>
        <v>198.90533192675767</v>
      </c>
      <c r="CX117" s="618"/>
      <c r="CY117" s="619">
        <f>CY30+CY33</f>
        <v>47.9661906623774</v>
      </c>
      <c r="CZ117" s="617">
        <f>CZ30+CZ33</f>
        <v>57.848634067847499</v>
      </c>
      <c r="DA117" s="617">
        <f>DA30+DA33</f>
        <v>59.480037229501548</v>
      </c>
      <c r="DB117" s="623">
        <f>DB30+DB33</f>
        <v>76.659925419343935</v>
      </c>
      <c r="DC117" s="615">
        <f>DC30+DC33</f>
        <v>241.95478737907035</v>
      </c>
      <c r="DD117" s="618"/>
      <c r="DE117" s="619">
        <f>DE30+DE33</f>
        <v>58.388758634370788</v>
      </c>
      <c r="DF117" s="617">
        <f>DF30+DF33</f>
        <v>56.369012482739464</v>
      </c>
      <c r="DG117" s="617">
        <f>DG30+DG33</f>
        <v>58.084654772254112</v>
      </c>
      <c r="DH117" s="623">
        <f>DH30+DH33</f>
        <v>78.409392848001886</v>
      </c>
      <c r="DI117" s="615">
        <f>DI30+DI33</f>
        <v>251.25181873736608</v>
      </c>
      <c r="DJ117"/>
      <c r="DK117"/>
      <c r="DL117"/>
      <c r="DM117"/>
      <c r="DN117"/>
      <c r="DO117"/>
    </row>
    <row r="118" spans="1:119" ht="11.25" customHeight="1">
      <c r="CR118"/>
      <c r="CX118"/>
      <c r="DD118"/>
    </row>
    <row r="119" spans="1:119" ht="11.25" customHeight="1">
      <c r="A119" s="1958" t="s">
        <v>498</v>
      </c>
      <c r="B119" s="1959"/>
      <c r="C119" s="1959"/>
      <c r="D119" s="1959"/>
      <c r="E119" s="1959"/>
      <c r="F119" s="1959"/>
      <c r="G119" s="1959"/>
      <c r="H119" s="1959"/>
      <c r="I119" s="1959"/>
      <c r="J119" s="1959"/>
      <c r="K119" s="1959"/>
      <c r="L119" s="1959"/>
      <c r="M119" s="1959"/>
      <c r="N119" s="1959"/>
      <c r="O119" s="1959"/>
      <c r="P119" s="1959"/>
      <c r="Q119" s="1959"/>
      <c r="R119" s="1959"/>
      <c r="S119" s="1959"/>
      <c r="T119" s="1959"/>
      <c r="U119" s="1959"/>
      <c r="V119" s="1959"/>
      <c r="W119" s="1959"/>
      <c r="X119" s="1959"/>
      <c r="Y119" s="1959"/>
      <c r="Z119" s="1959"/>
      <c r="AA119" s="1959"/>
      <c r="AB119" s="1959"/>
      <c r="AC119" s="1959"/>
      <c r="AD119" s="1959"/>
      <c r="AE119" s="1959"/>
      <c r="AF119" s="1959"/>
      <c r="AG119" s="1959"/>
      <c r="AH119" s="1959"/>
      <c r="AI119" s="1959"/>
      <c r="AJ119" s="1959"/>
      <c r="AK119" s="1959"/>
      <c r="AL119" s="1959"/>
      <c r="AM119" s="1959"/>
      <c r="AN119" s="1959"/>
      <c r="AO119" s="1959"/>
      <c r="AP119" s="1959"/>
      <c r="AQ119" s="1959"/>
      <c r="AR119" s="1959"/>
      <c r="AS119" s="1959"/>
      <c r="AT119" s="1959"/>
      <c r="AU119" s="1959"/>
      <c r="AV119" s="1959"/>
      <c r="AW119" s="1959"/>
      <c r="AX119" s="1959"/>
      <c r="AY119" s="1959"/>
      <c r="AZ119" s="1959"/>
      <c r="BA119" s="1959"/>
      <c r="BB119" s="1959"/>
      <c r="BC119" s="1959"/>
      <c r="BD119" s="1959"/>
      <c r="BE119" s="1959"/>
      <c r="BF119" s="1959"/>
      <c r="BG119" s="1959"/>
      <c r="BH119" s="1959"/>
      <c r="BI119" s="1959"/>
      <c r="BJ119" s="1959"/>
      <c r="BK119" s="1959"/>
      <c r="BL119" s="1959"/>
      <c r="BM119" s="1959"/>
      <c r="BN119" s="1959"/>
      <c r="BO119" s="1959"/>
      <c r="BP119" s="1959"/>
      <c r="BQ119" s="1959"/>
      <c r="BR119" s="1959"/>
      <c r="BS119" s="1959"/>
      <c r="BT119" s="1959"/>
      <c r="BU119" s="1959"/>
      <c r="BV119" s="1959"/>
      <c r="BW119" s="1959"/>
      <c r="BX119" s="1959"/>
      <c r="BY119" s="1960"/>
      <c r="BZ119" s="1959"/>
      <c r="CA119" s="1961"/>
      <c r="CB119" s="1962"/>
      <c r="CC119" s="1963"/>
      <c r="CD119" s="1959"/>
      <c r="CE119" s="1959"/>
      <c r="CF119" s="1959"/>
      <c r="CG119" s="1959"/>
      <c r="CH119" s="1959"/>
      <c r="CI119" s="1959"/>
      <c r="CJ119" s="1959"/>
      <c r="CK119" s="1959"/>
      <c r="CL119" s="1959"/>
      <c r="CM119" s="1959"/>
      <c r="CN119" s="1959"/>
      <c r="CO119" s="1959"/>
      <c r="CP119" s="1959"/>
      <c r="CQ119" s="1959"/>
      <c r="CR119" s="1959"/>
      <c r="CS119" s="1959"/>
      <c r="CT119" s="1959"/>
      <c r="CU119" s="1959"/>
      <c r="CV119" s="1959"/>
      <c r="CW119" s="1959"/>
      <c r="CX119" s="1959"/>
      <c r="CY119" s="1959"/>
      <c r="CZ119" s="1959"/>
      <c r="DA119" s="1959"/>
      <c r="DB119" s="1959"/>
      <c r="DC119" s="1959"/>
      <c r="DD119" s="1959"/>
      <c r="DE119" s="1959"/>
      <c r="DF119" s="1959"/>
      <c r="DG119" s="1959"/>
      <c r="DH119" s="1959"/>
      <c r="DI119" s="1959"/>
    </row>
    <row r="120" spans="1:119" s="580" customFormat="1" ht="11.25" customHeight="1">
      <c r="A120" s="1974" t="s">
        <v>481</v>
      </c>
      <c r="B120" s="1971"/>
      <c r="C120" s="1971"/>
      <c r="D120" s="1957"/>
      <c r="E120" s="1971"/>
      <c r="F120" s="1957"/>
      <c r="G120" s="1971"/>
      <c r="H120" s="1957"/>
      <c r="I120" s="1971"/>
      <c r="J120" s="1957"/>
      <c r="K120" s="1971"/>
      <c r="L120" s="1957"/>
      <c r="M120" s="1971"/>
      <c r="N120" s="1957"/>
      <c r="O120" s="1971"/>
      <c r="P120" s="1957"/>
      <c r="Q120" s="1971"/>
      <c r="R120" s="1970"/>
      <c r="S120" s="1967"/>
      <c r="T120" s="1966"/>
      <c r="U120" s="1966"/>
      <c r="V120" s="1965"/>
      <c r="W120" s="1965"/>
      <c r="X120" s="1966"/>
      <c r="Y120" s="1967"/>
      <c r="Z120" s="1966"/>
      <c r="AA120" s="1966"/>
      <c r="AB120" s="1965"/>
      <c r="AC120" s="1965"/>
      <c r="AD120" s="1966"/>
      <c r="AE120" s="1967"/>
      <c r="AF120" s="1966"/>
      <c r="AG120" s="1966"/>
      <c r="AH120" s="1965"/>
      <c r="AI120" s="1965"/>
      <c r="AJ120" s="1966"/>
      <c r="AK120" s="1967"/>
      <c r="AL120" s="1966"/>
      <c r="AM120" s="1966"/>
      <c r="AN120" s="1965"/>
      <c r="AO120" s="1965"/>
      <c r="AP120" s="1966"/>
      <c r="AQ120" s="1967"/>
      <c r="AR120" s="1966"/>
      <c r="AS120" s="1966"/>
      <c r="AT120" s="1965"/>
      <c r="AU120" s="1965"/>
      <c r="AV120" s="1966"/>
      <c r="AW120" s="1967"/>
      <c r="AX120" s="1966"/>
      <c r="AY120" s="1966"/>
      <c r="AZ120" s="1965"/>
      <c r="BA120" s="1965"/>
      <c r="BB120" s="1966"/>
      <c r="BC120" s="1967"/>
      <c r="BD120" s="1966"/>
      <c r="BE120" s="1966"/>
      <c r="BF120" s="1965"/>
      <c r="BG120" s="1965"/>
      <c r="BH120" s="1971"/>
      <c r="BI120" s="1981">
        <f>+BI53</f>
        <v>5.9989832231825239E-2</v>
      </c>
      <c r="BJ120" s="1982">
        <f>+BJ53</f>
        <v>0.11716860848538135</v>
      </c>
      <c r="BK120" s="1982">
        <f>+BK53</f>
        <v>0.10774487471526185</v>
      </c>
      <c r="BL120" s="1983">
        <f>+BL53</f>
        <v>0.14725593189639574</v>
      </c>
      <c r="BM120" s="1968">
        <f>+BM53</f>
        <v>0.11172121343916494</v>
      </c>
      <c r="BN120" s="1968"/>
      <c r="BO120" s="1967">
        <f>+BO53</f>
        <v>7.5761151758319684E-2</v>
      </c>
      <c r="BP120" s="1966">
        <f>+BP53</f>
        <v>0.11521644075207688</v>
      </c>
      <c r="BQ120" s="1966">
        <f>+BQ53</f>
        <v>8.5516912815626428E-2</v>
      </c>
      <c r="BR120" s="1965">
        <f>+BR53</f>
        <v>0.12539370078740175</v>
      </c>
      <c r="BS120" s="1968">
        <f>+BS53</f>
        <v>0.10194040577146336</v>
      </c>
      <c r="BT120" s="1968"/>
      <c r="BU120" s="1967">
        <f>+BU53</f>
        <v>0.10127298444130131</v>
      </c>
      <c r="BV120" s="1966">
        <f>+BV53</f>
        <v>0.10833333333333328</v>
      </c>
      <c r="BW120" s="1966">
        <f>+BW53</f>
        <v>0.13329967180005051</v>
      </c>
      <c r="BX120" s="1965">
        <f>+BX53</f>
        <v>0.17503136762860713</v>
      </c>
      <c r="BY120" s="1968">
        <f>+BY53</f>
        <v>0.13252863653159258</v>
      </c>
      <c r="BZ120" s="1968"/>
      <c r="CA120" s="1967">
        <f>+CA53</f>
        <v>0.12599893446989888</v>
      </c>
      <c r="CB120" s="1966">
        <f>+CB53</f>
        <v>0.10761366693570097</v>
      </c>
      <c r="CC120" s="1966">
        <f>+CC53</f>
        <v>0.14876872302614869</v>
      </c>
      <c r="CD120" s="1965">
        <f>+CD53</f>
        <v>0.19561981713799692</v>
      </c>
      <c r="CE120" s="1965">
        <f>+CE53</f>
        <v>0.14764475889033704</v>
      </c>
      <c r="CF120" s="1968"/>
      <c r="CG120" s="1967">
        <f>+CG53</f>
        <v>0.12782540919719407</v>
      </c>
      <c r="CH120" s="1966">
        <f>+CH53</f>
        <v>0.12460833935888163</v>
      </c>
      <c r="CI120" s="1966">
        <f>+CI53</f>
        <v>0.14784205693296593</v>
      </c>
      <c r="CJ120" s="1965">
        <f>+CJ53</f>
        <v>0.20885956644674866</v>
      </c>
      <c r="CK120" s="1965">
        <f>+CK53</f>
        <v>0.15635086924514413</v>
      </c>
      <c r="CL120" s="1968"/>
      <c r="CM120" s="1967">
        <f>+CM53</f>
        <v>0.12855884981688276</v>
      </c>
      <c r="CN120" s="1966">
        <f>+CN53</f>
        <v>0.12878944402438469</v>
      </c>
      <c r="CO120" s="1966">
        <f>+CO53</f>
        <v>0.17313081631263885</v>
      </c>
      <c r="CP120" s="1965">
        <f>+CP53</f>
        <v>0.2148288129776029</v>
      </c>
      <c r="CQ120" s="1968">
        <f>+CQ53</f>
        <v>0.16515852978806136</v>
      </c>
      <c r="CR120" s="1968"/>
      <c r="CS120" s="1967">
        <f>+CS53</f>
        <v>0.1747201748521601</v>
      </c>
      <c r="CT120" s="1966">
        <f>+CT53</f>
        <v>0.17509932575908108</v>
      </c>
      <c r="CU120" s="1966">
        <f>+CU53</f>
        <v>0.1752623556795935</v>
      </c>
      <c r="CV120" s="1965">
        <f>+CV53</f>
        <v>0.17716107911926871</v>
      </c>
      <c r="CW120" s="1968">
        <f>+CW53</f>
        <v>0.17568020215063976</v>
      </c>
      <c r="CX120" s="1968"/>
      <c r="CY120" s="1967">
        <f>+CY53</f>
        <v>0.18596380929689069</v>
      </c>
      <c r="CZ120" s="1966">
        <f>+CZ53</f>
        <v>0.18618738532355333</v>
      </c>
      <c r="DA120" s="1966">
        <f>+DA53</f>
        <v>0.18655542104791381</v>
      </c>
      <c r="DB120" s="1965">
        <f>+DB53</f>
        <v>0.1882890220455132</v>
      </c>
      <c r="DC120" s="1968">
        <f>+DC53</f>
        <v>0.18686278288720076</v>
      </c>
      <c r="DD120" s="1968"/>
      <c r="DE120" s="1967">
        <f>+DE53</f>
        <v>0.19810828820952711</v>
      </c>
      <c r="DF120" s="1966">
        <f>+DF53</f>
        <v>0.19846251861583336</v>
      </c>
      <c r="DG120" s="1966">
        <f>+DG53</f>
        <v>0.19867992850254007</v>
      </c>
      <c r="DH120" s="1965">
        <f>+DH53</f>
        <v>0.20047283547848452</v>
      </c>
      <c r="DI120" s="1968">
        <f>+DI53</f>
        <v>0.19904758730253261</v>
      </c>
      <c r="DJ120"/>
      <c r="DK120"/>
      <c r="DL120"/>
      <c r="DM120"/>
      <c r="DN120"/>
      <c r="DO120"/>
    </row>
    <row r="121" spans="1:119" s="210" customFormat="1" ht="11.25" customHeight="1">
      <c r="A121" s="1964" t="s">
        <v>482</v>
      </c>
      <c r="B121" s="824"/>
      <c r="D121" s="824"/>
      <c r="F121" s="824"/>
      <c r="H121" s="824"/>
      <c r="J121" s="824"/>
      <c r="L121" s="824"/>
      <c r="N121" s="824"/>
      <c r="P121" s="824"/>
      <c r="R121" s="824"/>
      <c r="S121" s="1939"/>
      <c r="T121" s="1940"/>
      <c r="U121" s="1940"/>
      <c r="V121" s="1941"/>
      <c r="W121" s="1932"/>
      <c r="Y121" s="1939"/>
      <c r="Z121" s="1940"/>
      <c r="AA121" s="1940"/>
      <c r="AB121" s="1941"/>
      <c r="AC121" s="1932"/>
      <c r="AE121" s="1939"/>
      <c r="AF121" s="1940"/>
      <c r="AG121" s="1940"/>
      <c r="AH121" s="1941"/>
      <c r="AI121" s="1932"/>
      <c r="AK121" s="1939"/>
      <c r="AL121" s="1940"/>
      <c r="AM121" s="1940"/>
      <c r="AN121" s="1941"/>
      <c r="AO121" s="1932"/>
      <c r="AQ121" s="1939"/>
      <c r="AR121" s="1940"/>
      <c r="AS121" s="1940"/>
      <c r="AT121" s="1941"/>
      <c r="AU121" s="1932"/>
      <c r="AW121" s="1939"/>
      <c r="AX121" s="1940"/>
      <c r="AY121" s="1940"/>
      <c r="AZ121" s="1941"/>
      <c r="BA121" s="1932"/>
      <c r="BC121" s="1939"/>
      <c r="BD121" s="1940"/>
      <c r="BE121" s="1940"/>
      <c r="BF121" s="1941"/>
      <c r="BG121" s="1932"/>
      <c r="BH121" s="824"/>
      <c r="BI121" s="504">
        <f>+BI120-BC120</f>
        <v>5.9989832231825239E-2</v>
      </c>
      <c r="BJ121" s="211">
        <f>+BJ120-BD120</f>
        <v>0.11716860848538135</v>
      </c>
      <c r="BK121" s="211">
        <f>+BK120-BE120</f>
        <v>0.10774487471526185</v>
      </c>
      <c r="BL121" s="211">
        <f>+BL120-BF120</f>
        <v>0.14725593189639574</v>
      </c>
      <c r="BM121" s="1932">
        <f>+BM120-BG120</f>
        <v>0.11172121343916494</v>
      </c>
      <c r="BO121" s="1939">
        <f>+BO120-BI120</f>
        <v>1.5771319526494444E-2</v>
      </c>
      <c r="BP121" s="1940">
        <f>+BP120-BJ120</f>
        <v>-1.9521677333044773E-3</v>
      </c>
      <c r="BQ121" s="1940">
        <f>+BQ120-BK120</f>
        <v>-2.2227961899635426E-2</v>
      </c>
      <c r="BR121" s="1941">
        <f>+BR120-BL120</f>
        <v>-2.186223110899399E-2</v>
      </c>
      <c r="BS121" s="1932">
        <f>+BS120-BM120</f>
        <v>-9.7808076677015771E-3</v>
      </c>
      <c r="BU121" s="1939">
        <f>+BU120-BO120</f>
        <v>2.5511832682981628E-2</v>
      </c>
      <c r="BV121" s="1940">
        <f>+BV120-BP120</f>
        <v>-6.8831074187435948E-3</v>
      </c>
      <c r="BW121" s="1940">
        <f>+BW120-BQ120</f>
        <v>4.7782758984424079E-2</v>
      </c>
      <c r="BX121" s="1941">
        <f t="shared" ref="BX121:CD121" si="115">+BX120-BR120</f>
        <v>4.963766684120538E-2</v>
      </c>
      <c r="BY121" s="1932">
        <f t="shared" si="115"/>
        <v>3.0588230760129217E-2</v>
      </c>
      <c r="CA121" s="1939">
        <f t="shared" si="115"/>
        <v>2.4725950028597565E-2</v>
      </c>
      <c r="CB121" s="1940">
        <f t="shared" si="115"/>
        <v>-7.1966639763230977E-4</v>
      </c>
      <c r="CC121" s="1940">
        <f t="shared" si="115"/>
        <v>1.5469051226098179E-2</v>
      </c>
      <c r="CD121" s="1941">
        <f t="shared" si="115"/>
        <v>2.0588449509389789E-2</v>
      </c>
      <c r="CE121" s="1932">
        <f>+CE120-BY120</f>
        <v>1.511612235874446E-2</v>
      </c>
      <c r="CG121" s="1939">
        <f>+CG120-CA120</f>
        <v>1.8264747272951909E-3</v>
      </c>
      <c r="CH121" s="1940">
        <f>+CH120-CB120</f>
        <v>1.699467242318066E-2</v>
      </c>
      <c r="CI121" s="1940">
        <f>+CI120-CC120</f>
        <v>-9.2666609318275972E-4</v>
      </c>
      <c r="CJ121" s="1941">
        <f>+CJ120-CD120</f>
        <v>1.3239749308751741E-2</v>
      </c>
      <c r="CK121" s="1932">
        <f>+CK120-CE120</f>
        <v>8.7061103548070895E-3</v>
      </c>
      <c r="CM121" s="1939">
        <f>+CM120-CG120</f>
        <v>7.3344061968869112E-4</v>
      </c>
      <c r="CN121" s="1940">
        <f>+CN120-CH120</f>
        <v>4.1811046655030604E-3</v>
      </c>
      <c r="CO121" s="1940">
        <f>+CO120-CI120</f>
        <v>2.5288759379672926E-2</v>
      </c>
      <c r="CP121" s="1941">
        <f>+CP120-CJ120</f>
        <v>5.9692465308542331E-3</v>
      </c>
      <c r="CQ121" s="1932">
        <f>+CQ120-CK120</f>
        <v>8.8076605429172339E-3</v>
      </c>
      <c r="CS121" s="1939">
        <f>+CS120-CM120</f>
        <v>4.616132503527734E-2</v>
      </c>
      <c r="CT121" s="1940">
        <f>+CT120-CN120</f>
        <v>4.6309881734696384E-2</v>
      </c>
      <c r="CU121" s="1940">
        <f>+CU120-CO120</f>
        <v>2.131539366954649E-3</v>
      </c>
      <c r="CV121" s="1941">
        <f>+CV120-CP120</f>
        <v>-3.766773385833419E-2</v>
      </c>
      <c r="CW121" s="1932">
        <f>+CW120-CQ120</f>
        <v>1.0521672362578394E-2</v>
      </c>
      <c r="CY121" s="1939">
        <f>+CY120-CS120</f>
        <v>1.1243634444730588E-2</v>
      </c>
      <c r="CZ121" s="1940">
        <f>+CZ120-CT120</f>
        <v>1.1088059564472258E-2</v>
      </c>
      <c r="DA121" s="1940">
        <f>+DA120-CU120</f>
        <v>1.129306536832031E-2</v>
      </c>
      <c r="DB121" s="1941">
        <f>+DB120-CV120</f>
        <v>1.11279429262445E-2</v>
      </c>
      <c r="DC121" s="1932">
        <f>+DC120-CW120</f>
        <v>1.1182580736561004E-2</v>
      </c>
      <c r="DE121" s="1939">
        <f>+DE120-CY120</f>
        <v>1.2144478912636425E-2</v>
      </c>
      <c r="DF121" s="1940">
        <f>+DF120-CZ120</f>
        <v>1.2275133292280027E-2</v>
      </c>
      <c r="DG121" s="1940">
        <f>+DG120-DA120</f>
        <v>1.212450745462626E-2</v>
      </c>
      <c r="DH121" s="1941">
        <f>+DH120-DB120</f>
        <v>1.2183813432971313E-2</v>
      </c>
      <c r="DI121" s="1932">
        <f>+DI120-DC120</f>
        <v>1.2184804415331846E-2</v>
      </c>
      <c r="DJ121"/>
      <c r="DK121"/>
      <c r="DL121"/>
      <c r="DM121"/>
      <c r="DN121"/>
      <c r="DO121"/>
    </row>
    <row r="122" spans="1:119" s="210" customFormat="1" ht="11.25" customHeight="1">
      <c r="A122" s="1964" t="s">
        <v>548</v>
      </c>
      <c r="B122" s="824"/>
      <c r="D122" s="824"/>
      <c r="F122" s="824"/>
      <c r="H122" s="824"/>
      <c r="J122" s="824"/>
      <c r="L122" s="824"/>
      <c r="N122" s="824"/>
      <c r="P122" s="824"/>
      <c r="R122" s="824"/>
      <c r="S122" s="656"/>
      <c r="T122" s="657"/>
      <c r="U122" s="657"/>
      <c r="V122" s="1942"/>
      <c r="W122" s="1933"/>
      <c r="Y122" s="656"/>
      <c r="Z122" s="657"/>
      <c r="AA122" s="657"/>
      <c r="AB122" s="1942"/>
      <c r="AC122" s="1933"/>
      <c r="AE122" s="656"/>
      <c r="AF122" s="657"/>
      <c r="AG122" s="657"/>
      <c r="AH122" s="1942"/>
      <c r="AI122" s="1933"/>
      <c r="AK122" s="656"/>
      <c r="AL122" s="657"/>
      <c r="AM122" s="657"/>
      <c r="AN122" s="1942"/>
      <c r="AO122" s="1933"/>
      <c r="AQ122" s="656"/>
      <c r="AR122" s="657"/>
      <c r="AS122" s="657"/>
      <c r="AT122" s="1942"/>
      <c r="AU122" s="1933"/>
      <c r="AW122" s="656"/>
      <c r="AX122" s="657"/>
      <c r="AY122" s="657"/>
      <c r="AZ122" s="1942"/>
      <c r="BA122" s="1933"/>
      <c r="BC122" s="656"/>
      <c r="BD122" s="657"/>
      <c r="BE122" s="657"/>
      <c r="BF122" s="1942"/>
      <c r="BG122" s="1933"/>
      <c r="BH122" s="824"/>
      <c r="BI122" s="656">
        <v>0</v>
      </c>
      <c r="BJ122" s="657">
        <v>0</v>
      </c>
      <c r="BK122" s="657">
        <v>0</v>
      </c>
      <c r="BL122" s="657">
        <v>0</v>
      </c>
      <c r="BM122" s="1933">
        <f>(BI122*BC20+BJ122*BD20+BK122*BE20+BL122*BF20)/BG20</f>
        <v>0</v>
      </c>
      <c r="BO122" s="656">
        <f>4.375/BO9</f>
        <v>1.0325702147746045E-2</v>
      </c>
      <c r="BP122" s="657">
        <f>(4.375/BP9)</f>
        <v>9.5649322256230879E-3</v>
      </c>
      <c r="BQ122" s="657">
        <f t="shared" ref="BQ122:BR122" si="116">4.375/BQ9</f>
        <v>1.0421629347308241E-2</v>
      </c>
      <c r="BR122" s="1942">
        <f t="shared" si="116"/>
        <v>8.6122047244094474E-3</v>
      </c>
      <c r="BS122" s="1933">
        <f>(BO122*BI20+BP122*BJ20+BQ122*BK20+BR122*BL20)/BM20</f>
        <v>9.4725682264461594E-3</v>
      </c>
      <c r="BU122" s="656">
        <f>6/BU9</f>
        <v>1.6973125884016973E-2</v>
      </c>
      <c r="BV122" s="657">
        <f>(5.3/BV9)</f>
        <v>1.3383838383838383E-2</v>
      </c>
      <c r="BW122" s="657">
        <f>4.7/BW9</f>
        <v>1.1865690482201464E-2</v>
      </c>
      <c r="BX122" s="1942">
        <f>2/BX9</f>
        <v>4.1823504809703066E-3</v>
      </c>
      <c r="BY122" s="1933">
        <f>(BU122*BO20+BV122*BP20+BW122*BQ20+BX122*BR20)/BS20</f>
        <v>1.0534488273612084E-2</v>
      </c>
      <c r="CA122" s="656">
        <f>(2.5/CA9)</f>
        <v>6.6595631326584973E-3</v>
      </c>
      <c r="CB122" s="657">
        <f>(2.5/CB9)</f>
        <v>6.7258541834813012E-3</v>
      </c>
      <c r="CC122" s="657">
        <f>(2.5/CC9)</f>
        <v>6.3467885250063473E-3</v>
      </c>
      <c r="CD122" s="1942">
        <f>+(2.5/CD9)</f>
        <v>5.3157559004890498E-3</v>
      </c>
      <c r="CE122" s="1933">
        <f>(CA122*BU20+CB122*BV20+CC122*BW20+CD122*BX20)/BY20</f>
        <v>6.0733768941068304E-3</v>
      </c>
      <c r="CG122" s="656">
        <f>(1.75/CI9)</f>
        <v>4.0174471992653815E-3</v>
      </c>
      <c r="CH122" s="2223">
        <f>(1.75/CI9)</f>
        <v>4.0174471992653815E-3</v>
      </c>
      <c r="CI122" s="657">
        <f>(4/CI9)</f>
        <v>9.1827364554637296E-3</v>
      </c>
      <c r="CJ122" s="1942">
        <f>(4/CJ9)</f>
        <v>7.5400565504241245E-3</v>
      </c>
      <c r="CK122" s="1933">
        <f>(CG122*CA20+CH122*CB20+CI122*CC20+CJ122*CD20)/CE20</f>
        <v>6.6520247979195493E-3</v>
      </c>
      <c r="CM122" s="656">
        <v>4.0000000000000001E-3</v>
      </c>
      <c r="CN122" s="657">
        <v>4.0000000000000001E-3</v>
      </c>
      <c r="CO122" s="657">
        <v>4.0000000000000001E-3</v>
      </c>
      <c r="CP122" s="1942">
        <v>4.0000000000000001E-3</v>
      </c>
      <c r="CQ122" s="1933">
        <f>(CM122*CG20+CN122*CH20+CO122*CI20+CP122*CJ20)/CK20</f>
        <v>4.0000000000000018E-3</v>
      </c>
      <c r="CS122" s="656">
        <v>4.0000000000000001E-3</v>
      </c>
      <c r="CT122" s="657">
        <v>4.0000000000000001E-3</v>
      </c>
      <c r="CU122" s="657">
        <v>4.0000000000000001E-3</v>
      </c>
      <c r="CV122" s="1942">
        <v>4.0000000000000001E-3</v>
      </c>
      <c r="CW122" s="1933">
        <f>(CS122*CM20+CT122*CN20+CU122*CO20+CV122*CP20)/CQ20</f>
        <v>3.9999999999999992E-3</v>
      </c>
      <c r="CY122" s="656">
        <v>4.0000000000000001E-3</v>
      </c>
      <c r="CZ122" s="657">
        <v>4.0000000000000001E-3</v>
      </c>
      <c r="DA122" s="657">
        <v>4.0000000000000001E-3</v>
      </c>
      <c r="DB122" s="1942">
        <v>4.0000000000000001E-3</v>
      </c>
      <c r="DC122" s="1933">
        <f>(CY122*CS20+CZ122*CT20+DA122*CU20+DB122*CV20)/CW20</f>
        <v>4.0000000000000027E-3</v>
      </c>
      <c r="DE122" s="656">
        <v>4.0000000000000001E-3</v>
      </c>
      <c r="DF122" s="657">
        <v>4.0000000000000001E-3</v>
      </c>
      <c r="DG122" s="657">
        <v>4.0000000000000001E-3</v>
      </c>
      <c r="DH122" s="1942">
        <v>4.0000000000000001E-3</v>
      </c>
      <c r="DI122" s="1933">
        <f>(DE122*CY20+DF122*CZ20+DG122*DA20+DH122*DB20)/DC20</f>
        <v>4.000000000000001E-3</v>
      </c>
      <c r="DJ122"/>
      <c r="DK122"/>
      <c r="DL122"/>
      <c r="DM122"/>
      <c r="DN122"/>
      <c r="DO122"/>
    </row>
    <row r="123" spans="1:119" s="210" customFormat="1" ht="11.25" customHeight="1">
      <c r="A123" s="1964" t="s">
        <v>549</v>
      </c>
      <c r="B123" s="824"/>
      <c r="D123" s="824"/>
      <c r="F123" s="824"/>
      <c r="H123" s="824"/>
      <c r="J123" s="824"/>
      <c r="L123" s="824"/>
      <c r="N123" s="824"/>
      <c r="P123" s="824"/>
      <c r="R123" s="824"/>
      <c r="S123" s="656"/>
      <c r="T123" s="657"/>
      <c r="U123" s="657"/>
      <c r="V123" s="1942"/>
      <c r="W123" s="1933"/>
      <c r="Y123" s="656"/>
      <c r="Z123" s="657"/>
      <c r="AA123" s="657"/>
      <c r="AB123" s="1942"/>
      <c r="AC123" s="1933"/>
      <c r="AE123" s="656"/>
      <c r="AF123" s="657"/>
      <c r="AG123" s="657"/>
      <c r="AH123" s="1942"/>
      <c r="AI123" s="1933"/>
      <c r="AK123" s="656"/>
      <c r="AL123" s="657"/>
      <c r="AM123" s="657"/>
      <c r="AN123" s="1942"/>
      <c r="AO123" s="1933"/>
      <c r="AQ123" s="656"/>
      <c r="AR123" s="657"/>
      <c r="AS123" s="657"/>
      <c r="AT123" s="1942"/>
      <c r="AU123" s="1933"/>
      <c r="AW123" s="656"/>
      <c r="AX123" s="657"/>
      <c r="AY123" s="657"/>
      <c r="AZ123" s="1942"/>
      <c r="BA123" s="1933"/>
      <c r="BC123" s="656"/>
      <c r="BD123" s="657"/>
      <c r="BE123" s="657"/>
      <c r="BF123" s="1942"/>
      <c r="BG123" s="1933"/>
      <c r="BH123" s="824"/>
      <c r="BI123" s="656">
        <v>0</v>
      </c>
      <c r="BJ123" s="657">
        <f>5.7/BJ9</f>
        <v>1.2530226423389756E-2</v>
      </c>
      <c r="BK123" s="657">
        <v>-7.0000000000000001E-3</v>
      </c>
      <c r="BL123" s="657">
        <v>0</v>
      </c>
      <c r="BM123" s="1933">
        <f>(BI123*BC20+BJ123*BD20+BK123*BE20+BL123*BF20)/BG20</f>
        <v>-3.30148529808848E-4</v>
      </c>
      <c r="BO123" s="656">
        <v>0</v>
      </c>
      <c r="BP123" s="657">
        <v>0.01</v>
      </c>
      <c r="BQ123" s="657">
        <v>0</v>
      </c>
      <c r="BR123" s="1942">
        <v>0</v>
      </c>
      <c r="BS123" s="1933">
        <f>(BO123*BI20+BP123*BJ20+BQ123*BK20+BR123*BL20)/BM20</f>
        <v>2.5936739659367389E-3</v>
      </c>
      <c r="BU123" s="656">
        <v>0</v>
      </c>
      <c r="BV123" s="657">
        <v>-0.01</v>
      </c>
      <c r="BW123" s="657">
        <v>0</v>
      </c>
      <c r="BX123" s="1942">
        <v>0</v>
      </c>
      <c r="BY123" s="1933">
        <f>(BU123*BO20+BV123*BP20+BW123*BQ20+BX123*BR20)/BS20</f>
        <v>-2.8579175704989117E-3</v>
      </c>
      <c r="CA123" s="656">
        <f>(-2/CA9)+0.4%</f>
        <v>-1.3276505061267973E-3</v>
      </c>
      <c r="CB123" s="657">
        <f>(-3/CB9)+0.4%</f>
        <v>-4.0710250201775617E-3</v>
      </c>
      <c r="CC123" s="657">
        <f>(-3/CC9)+0.4%</f>
        <v>-3.6161462300076169E-3</v>
      </c>
      <c r="CD123" s="1942">
        <v>4.0000000000000001E-3</v>
      </c>
      <c r="CE123" s="1933">
        <f>(CA123*BU20+CB123*BV20+CC123*BW20+CD123*BX20)/BY20</f>
        <v>-3.6389118229256177E-4</v>
      </c>
      <c r="CG123" s="656">
        <f>(-0.25%)</f>
        <v>-2.5000000000000001E-3</v>
      </c>
      <c r="CH123" s="1344">
        <f>(-0.4%)</f>
        <v>-4.0000000000000001E-3</v>
      </c>
      <c r="CI123" s="657">
        <f>(-0.4%)</f>
        <v>-4.0000000000000001E-3</v>
      </c>
      <c r="CJ123" s="1942">
        <v>-6.0000000000000001E-3</v>
      </c>
      <c r="CK123" s="1933">
        <f>(CG123*CA20+CH123*CB20+CI123*CC20+CJ123*CD20)/CE20</f>
        <v>-4.4751996637242518E-3</v>
      </c>
      <c r="CM123" s="656">
        <v>0</v>
      </c>
      <c r="CN123" s="657">
        <v>0</v>
      </c>
      <c r="CO123" s="657">
        <v>0</v>
      </c>
      <c r="CP123" s="1942">
        <v>0</v>
      </c>
      <c r="CQ123" s="1933">
        <f>(CM123*CG20+CN123*CH20+CO123*CI20+CP123*CJ20)/CK20</f>
        <v>0</v>
      </c>
      <c r="CS123" s="656">
        <v>0</v>
      </c>
      <c r="CT123" s="657">
        <v>0</v>
      </c>
      <c r="CU123" s="657">
        <v>0</v>
      </c>
      <c r="CV123" s="1942">
        <v>0</v>
      </c>
      <c r="CW123" s="1933">
        <f>(CS123*CM20+CT123*CN20+CU123*CO20+CV123*CP20)/CQ20</f>
        <v>0</v>
      </c>
      <c r="CY123" s="656">
        <v>0</v>
      </c>
      <c r="CZ123" s="657">
        <v>0</v>
      </c>
      <c r="DA123" s="657">
        <v>0</v>
      </c>
      <c r="DB123" s="1942">
        <v>0</v>
      </c>
      <c r="DC123" s="1933">
        <f>(CY123*CS20+CZ123*CT20+DA123*CU20+DB123*CV20)/CW20</f>
        <v>0</v>
      </c>
      <c r="DE123" s="656">
        <v>0</v>
      </c>
      <c r="DF123" s="657">
        <v>0</v>
      </c>
      <c r="DG123" s="657">
        <v>0</v>
      </c>
      <c r="DH123" s="1942">
        <v>0</v>
      </c>
      <c r="DI123" s="1933">
        <f>(DE123*CY20+DF123*CZ20+DG123*DA20+DH123*DB20)/DC20</f>
        <v>0</v>
      </c>
      <c r="DJ123"/>
      <c r="DK123"/>
      <c r="DL123"/>
      <c r="DM123"/>
      <c r="DN123"/>
      <c r="DO123"/>
    </row>
    <row r="124" spans="1:119" s="210" customFormat="1">
      <c r="A124" s="1964" t="s">
        <v>335</v>
      </c>
      <c r="B124" s="824"/>
      <c r="D124" s="824"/>
      <c r="F124" s="824"/>
      <c r="H124" s="824"/>
      <c r="J124" s="824"/>
      <c r="L124" s="824"/>
      <c r="N124" s="824"/>
      <c r="P124" s="824"/>
      <c r="R124" s="824"/>
      <c r="S124" s="656"/>
      <c r="T124" s="657"/>
      <c r="U124" s="657"/>
      <c r="V124" s="1942"/>
      <c r="W124" s="1933"/>
      <c r="Y124" s="656"/>
      <c r="Z124" s="657"/>
      <c r="AA124" s="657"/>
      <c r="AB124" s="1942"/>
      <c r="AC124" s="1933"/>
      <c r="AE124" s="656"/>
      <c r="AF124" s="657"/>
      <c r="AG124" s="657"/>
      <c r="AH124" s="1942"/>
      <c r="AI124" s="1933"/>
      <c r="AK124" s="656"/>
      <c r="AL124" s="657"/>
      <c r="AM124" s="657"/>
      <c r="AN124" s="1942"/>
      <c r="AO124" s="1933"/>
      <c r="AQ124" s="656"/>
      <c r="AR124" s="657"/>
      <c r="AS124" s="657"/>
      <c r="AT124" s="1942"/>
      <c r="AU124" s="1933"/>
      <c r="AW124" s="656"/>
      <c r="AX124" s="657"/>
      <c r="AY124" s="657"/>
      <c r="AZ124" s="1942"/>
      <c r="BA124" s="1933"/>
      <c r="BC124" s="656"/>
      <c r="BD124" s="657"/>
      <c r="BE124" s="657"/>
      <c r="BF124" s="1942"/>
      <c r="BG124" s="1933"/>
      <c r="BH124" s="824"/>
      <c r="BI124" s="656">
        <v>-1.2E-2</v>
      </c>
      <c r="BJ124" s="657">
        <v>-0.01</v>
      </c>
      <c r="BK124" s="657">
        <v>-1.2E-2</v>
      </c>
      <c r="BL124" s="657">
        <v>-0.01</v>
      </c>
      <c r="BM124" s="1933">
        <f>(BI124*BC20+BJ124*BD20+BK124*BE20+BL124*BF20)/BG20</f>
        <v>-1.1031963470319634E-2</v>
      </c>
      <c r="BO124" s="656">
        <v>-2.5000000000000001E-3</v>
      </c>
      <c r="BP124" s="657">
        <v>-2.5000000000000001E-3</v>
      </c>
      <c r="BQ124" s="657">
        <v>-4.0000000000000001E-3</v>
      </c>
      <c r="BR124" s="1942">
        <f>((BR20)/BR9)-((BR20+6)/BR9)</f>
        <v>-1.1811023622047251E-2</v>
      </c>
      <c r="BS124" s="1933">
        <f>(BO124*BI20+BP124*BJ20+BQ124*BK20+BR124*BL20)/BM20</f>
        <v>-6.5288867176274568E-3</v>
      </c>
      <c r="BU124" s="656">
        <v>-2E-3</v>
      </c>
      <c r="BV124" s="657">
        <v>-2E-3</v>
      </c>
      <c r="BW124" s="657">
        <v>2.5799999999999998E-3</v>
      </c>
      <c r="BX124" s="1942">
        <v>5.0000000000000001E-3</v>
      </c>
      <c r="BY124" s="1933">
        <f>(BU124*BO20+BV124*BP20+BW124*BQ20+BX124*BR20)/BS20</f>
        <v>1.3097722342733204E-3</v>
      </c>
      <c r="CA124" s="656">
        <f>3/CA9</f>
        <v>7.9914757591901964E-3</v>
      </c>
      <c r="CB124" s="657">
        <v>0</v>
      </c>
      <c r="CC124" s="657">
        <v>0</v>
      </c>
      <c r="CD124" s="1942">
        <v>0</v>
      </c>
      <c r="CE124" s="1933">
        <f>(CA124*BU20+CB124*BV20+CC124*BW20+CD124*BX20)/BY20</f>
        <v>1.3294369525046889E-3</v>
      </c>
      <c r="CG124" s="656">
        <v>0</v>
      </c>
      <c r="CH124" s="2223">
        <v>-1E-3</v>
      </c>
      <c r="CI124" s="657">
        <v>-1E-3</v>
      </c>
      <c r="CJ124" s="1942">
        <v>-4.1999999999999997E-3</v>
      </c>
      <c r="CK124" s="1933">
        <f>(CG124*CA20+CH124*CB20+CI124*CC20+CJ124*CD20)/CE20</f>
        <v>-2.0386717108028564E-3</v>
      </c>
      <c r="CM124" s="656">
        <v>-0.02</v>
      </c>
      <c r="CN124" s="657">
        <v>-1.4999999999999999E-2</v>
      </c>
      <c r="CO124" s="657">
        <v>-3.0000000000000001E-3</v>
      </c>
      <c r="CP124" s="1942">
        <v>0</v>
      </c>
      <c r="CQ124" s="1933">
        <f>(CM124*CG20+CN124*CH20+CO124*CI20+CP124*CJ20)/CK20</f>
        <v>-7.072437522636723E-3</v>
      </c>
      <c r="CS124" s="656">
        <v>0</v>
      </c>
      <c r="CT124" s="657">
        <v>0</v>
      </c>
      <c r="CU124" s="657">
        <v>0</v>
      </c>
      <c r="CV124" s="1942">
        <v>0</v>
      </c>
      <c r="CW124" s="1933">
        <f>(CS124*CM20+CT124*CN20+CU124*CO20+CV124*CP20)/CQ20</f>
        <v>0</v>
      </c>
      <c r="CY124" s="656">
        <v>0</v>
      </c>
      <c r="CZ124" s="657">
        <v>0</v>
      </c>
      <c r="DA124" s="657">
        <v>0</v>
      </c>
      <c r="DB124" s="1942">
        <v>0</v>
      </c>
      <c r="DC124" s="1933">
        <f>(CY124*CS20+CZ124*CT20+DA124*CU20+DB124*CV20)/CW20</f>
        <v>0</v>
      </c>
      <c r="DE124" s="656">
        <v>0</v>
      </c>
      <c r="DF124" s="657">
        <v>0</v>
      </c>
      <c r="DG124" s="657">
        <v>0</v>
      </c>
      <c r="DH124" s="1942">
        <v>0</v>
      </c>
      <c r="DI124" s="1933">
        <f>(DE124*CY20+DF124*CZ20+DG124*DA20+DH124*DB20)/DC20</f>
        <v>0</v>
      </c>
      <c r="DJ124"/>
      <c r="DK124"/>
      <c r="DL124"/>
      <c r="DM124"/>
      <c r="DN124"/>
      <c r="DO124"/>
    </row>
    <row r="125" spans="1:119" s="580" customFormat="1">
      <c r="A125" s="377" t="s">
        <v>486</v>
      </c>
      <c r="B125" s="1969"/>
      <c r="C125" s="449"/>
      <c r="D125" s="1969"/>
      <c r="E125" s="449"/>
      <c r="F125" s="1969"/>
      <c r="G125" s="449"/>
      <c r="H125" s="1969"/>
      <c r="I125" s="449"/>
      <c r="J125" s="1969"/>
      <c r="K125" s="449"/>
      <c r="L125" s="1969"/>
      <c r="M125" s="449"/>
      <c r="N125" s="1969"/>
      <c r="O125" s="449"/>
      <c r="P125" s="1969"/>
      <c r="Q125" s="449"/>
      <c r="R125" s="1969"/>
      <c r="S125" s="1930"/>
      <c r="T125" s="1931"/>
      <c r="U125" s="1931"/>
      <c r="V125" s="1937"/>
      <c r="W125" s="1934"/>
      <c r="X125" s="449"/>
      <c r="Y125" s="1930"/>
      <c r="Z125" s="1931"/>
      <c r="AA125" s="1931"/>
      <c r="AB125" s="1937"/>
      <c r="AC125" s="1934"/>
      <c r="AD125" s="449"/>
      <c r="AE125" s="1930"/>
      <c r="AF125" s="1931"/>
      <c r="AG125" s="1931"/>
      <c r="AH125" s="1937"/>
      <c r="AI125" s="1934"/>
      <c r="AJ125" s="449"/>
      <c r="AK125" s="1930"/>
      <c r="AL125" s="1931"/>
      <c r="AM125" s="1931"/>
      <c r="AN125" s="1937"/>
      <c r="AO125" s="1934"/>
      <c r="AP125" s="449"/>
      <c r="AQ125" s="1930"/>
      <c r="AR125" s="1931"/>
      <c r="AS125" s="1931"/>
      <c r="AT125" s="1937"/>
      <c r="AU125" s="1934"/>
      <c r="AV125" s="449"/>
      <c r="AW125" s="1930"/>
      <c r="AX125" s="1931"/>
      <c r="AY125" s="1931"/>
      <c r="AZ125" s="1937"/>
      <c r="BA125" s="1934"/>
      <c r="BB125" s="449"/>
      <c r="BC125" s="1930"/>
      <c r="BD125" s="1931"/>
      <c r="BE125" s="1931"/>
      <c r="BF125" s="1937"/>
      <c r="BG125" s="1934"/>
      <c r="BH125" s="1969"/>
      <c r="BI125" s="1930">
        <f>+BI120-BI122-BI123-BI124</f>
        <v>7.1989832231825243E-2</v>
      </c>
      <c r="BJ125" s="1931">
        <f t="shared" ref="BJ125:BM125" si="117">+BJ120-BJ122-BJ123-BJ124</f>
        <v>0.11463838206199159</v>
      </c>
      <c r="BK125" s="1931">
        <f t="shared" si="117"/>
        <v>0.12674487471526186</v>
      </c>
      <c r="BL125" s="1931">
        <f t="shared" si="117"/>
        <v>0.15725593189639575</v>
      </c>
      <c r="BM125" s="1934">
        <f t="shared" si="117"/>
        <v>0.12308332543929343</v>
      </c>
      <c r="BN125" s="449"/>
      <c r="BO125" s="1930">
        <f>+BO120-BO122-BO123-BO124</f>
        <v>6.7935449610573642E-2</v>
      </c>
      <c r="BP125" s="1931">
        <f t="shared" ref="BP125" si="118">+BP120-BP122-BP123-BP124</f>
        <v>9.8151508526453796E-2</v>
      </c>
      <c r="BQ125" s="1931">
        <f t="shared" ref="BQ125" si="119">+BQ120-BQ122-BQ123-BQ124</f>
        <v>7.9095283468318192E-2</v>
      </c>
      <c r="BR125" s="1931">
        <f t="shared" ref="BR125" si="120">+BR120-BR122-BR123-BR124</f>
        <v>0.12859251968503954</v>
      </c>
      <c r="BS125" s="1934">
        <f t="shared" ref="BS125" si="121">+BS120-BS122-BS123-BS124</f>
        <v>9.6403050296707926E-2</v>
      </c>
      <c r="BT125" s="449"/>
      <c r="BU125" s="1930">
        <f>+BU120-BU122-BU123-BU124</f>
        <v>8.6299858557284337E-2</v>
      </c>
      <c r="BV125" s="1931">
        <f t="shared" ref="BV125" si="122">+BV120-BV122-BV123-BV124</f>
        <v>0.10694949494949489</v>
      </c>
      <c r="BW125" s="1931">
        <f t="shared" ref="BW125" si="123">+BW120-BW122-BW123-BW124</f>
        <v>0.11885398131784905</v>
      </c>
      <c r="BX125" s="1931">
        <f t="shared" ref="BX125" si="124">+BX120-BX122-BX123-BX124</f>
        <v>0.16584901714763683</v>
      </c>
      <c r="BY125" s="1934">
        <f t="shared" ref="BY125" si="125">+BY120-BY122-BY123-BY124</f>
        <v>0.12354229359420608</v>
      </c>
      <c r="BZ125" s="449"/>
      <c r="CA125" s="1930">
        <f>+CA120-CA122-CA123-CA124</f>
        <v>0.11267554608417697</v>
      </c>
      <c r="CB125" s="1931">
        <f t="shared" ref="CB125" si="126">+CB120-CB122-CB123-CB124</f>
        <v>0.10495883777239723</v>
      </c>
      <c r="CC125" s="1931">
        <f t="shared" ref="CC125" si="127">+CC120-CC122-CC123-CC124</f>
        <v>0.14603808073114996</v>
      </c>
      <c r="CD125" s="1931">
        <f t="shared" ref="CD125" si="128">+CD120-CD122-CD123-CD124</f>
        <v>0.18630406123750787</v>
      </c>
      <c r="CE125" s="1934">
        <f t="shared" ref="CE125" si="129">+CE120-CE122-CE123-CE124</f>
        <v>0.1406058362260181</v>
      </c>
      <c r="CF125" s="449"/>
      <c r="CG125" s="1930">
        <f>+CG120-CG122-CG123-CG124</f>
        <v>0.12630796199792868</v>
      </c>
      <c r="CH125" s="1931">
        <f t="shared" ref="CH125" si="130">+CH120-CH122-CH123-CH124</f>
        <v>0.12559089215961625</v>
      </c>
      <c r="CI125" s="1931">
        <f t="shared" ref="CI125" si="131">+CI120-CI122-CI123-CI124</f>
        <v>0.14365932047750221</v>
      </c>
      <c r="CJ125" s="1931">
        <f t="shared" ref="CJ125" si="132">+CJ120-CJ122-CJ123-CJ124</f>
        <v>0.21151950989632456</v>
      </c>
      <c r="CK125" s="1934">
        <f t="shared" ref="CK125" si="133">+CK120-CK122-CK123-CK124</f>
        <v>0.1562127158217517</v>
      </c>
      <c r="CL125" s="449"/>
      <c r="CM125" s="1930">
        <f>+CM120-CM122-CM123-CM124</f>
        <v>0.14455884981688275</v>
      </c>
      <c r="CN125" s="1931">
        <f t="shared" ref="CN125" si="134">+CN120-CN122-CN123-CN124</f>
        <v>0.1397894440243847</v>
      </c>
      <c r="CO125" s="1931">
        <f t="shared" ref="CO125" si="135">+CO120-CO122-CO123-CO124</f>
        <v>0.17213081631263885</v>
      </c>
      <c r="CP125" s="1931">
        <f t="shared" ref="CP125" si="136">+CP120-CP122-CP123-CP124</f>
        <v>0.21082881297760289</v>
      </c>
      <c r="CQ125" s="1934">
        <f t="shared" ref="CQ125" si="137">+CQ120-CQ122-CQ123-CQ124</f>
        <v>0.16823096731069809</v>
      </c>
      <c r="CR125" s="449"/>
      <c r="CS125" s="1930">
        <f>+CS120-CS122-CS123-CS124</f>
        <v>0.17072017485216009</v>
      </c>
      <c r="CT125" s="1931">
        <f t="shared" ref="CT125" si="138">+CT120-CT122-CT123-CT124</f>
        <v>0.17109932575908107</v>
      </c>
      <c r="CU125" s="1931">
        <f t="shared" ref="CU125" si="139">+CU120-CU122-CU123-CU124</f>
        <v>0.1712623556795935</v>
      </c>
      <c r="CV125" s="1931">
        <f t="shared" ref="CV125" si="140">+CV120-CV122-CV123-CV124</f>
        <v>0.1731610791192687</v>
      </c>
      <c r="CW125" s="1934">
        <f t="shared" ref="CW125" si="141">+CW120-CW122-CW123-CW124</f>
        <v>0.17168020215063975</v>
      </c>
      <c r="CX125" s="449"/>
      <c r="CY125" s="1930">
        <f>+CY120-CY122-CY123-CY124</f>
        <v>0.18196380929689068</v>
      </c>
      <c r="CZ125" s="1931">
        <f t="shared" ref="CZ125:DC125" si="142">+CZ120-CZ122-CZ123-CZ124</f>
        <v>0.18218738532355333</v>
      </c>
      <c r="DA125" s="1931">
        <f t="shared" si="142"/>
        <v>0.18255542104791381</v>
      </c>
      <c r="DB125" s="1931">
        <f t="shared" si="142"/>
        <v>0.1842890220455132</v>
      </c>
      <c r="DC125" s="1934">
        <f t="shared" si="142"/>
        <v>0.18286278288720076</v>
      </c>
      <c r="DD125" s="449"/>
      <c r="DE125" s="1930">
        <f>+DE120-DE122-DE123-DE124</f>
        <v>0.19410828820952711</v>
      </c>
      <c r="DF125" s="1931">
        <f t="shared" ref="DF125:DI125" si="143">+DF120-DF122-DF123-DF124</f>
        <v>0.19446251861583336</v>
      </c>
      <c r="DG125" s="1931">
        <f t="shared" si="143"/>
        <v>0.19467992850254007</v>
      </c>
      <c r="DH125" s="1931">
        <f t="shared" si="143"/>
        <v>0.19647283547848451</v>
      </c>
      <c r="DI125" s="1934">
        <f t="shared" si="143"/>
        <v>0.1950475873025326</v>
      </c>
      <c r="DJ125"/>
      <c r="DK125"/>
      <c r="DL125"/>
      <c r="DM125"/>
      <c r="DN125"/>
      <c r="DO125"/>
    </row>
    <row r="126" spans="1:119" s="210" customFormat="1">
      <c r="A126" s="210" t="s">
        <v>482</v>
      </c>
      <c r="B126" s="824"/>
      <c r="C126" s="1860"/>
      <c r="D126" s="824"/>
      <c r="E126" s="1860"/>
      <c r="F126" s="824"/>
      <c r="G126" s="1860"/>
      <c r="H126" s="824"/>
      <c r="I126" s="1860"/>
      <c r="J126" s="824"/>
      <c r="K126" s="1860"/>
      <c r="L126" s="824"/>
      <c r="M126" s="1860"/>
      <c r="N126" s="824"/>
      <c r="O126" s="1860"/>
      <c r="P126" s="824"/>
      <c r="Q126" s="1860"/>
      <c r="R126" s="824"/>
      <c r="S126" s="504"/>
      <c r="T126" s="728"/>
      <c r="U126" s="728"/>
      <c r="V126" s="1943"/>
      <c r="W126" s="1933"/>
      <c r="Y126" s="504"/>
      <c r="Z126" s="728"/>
      <c r="AA126" s="728"/>
      <c r="AB126" s="1943"/>
      <c r="AC126" s="1933"/>
      <c r="AE126" s="504"/>
      <c r="AF126" s="728"/>
      <c r="AG126" s="728"/>
      <c r="AH126" s="1943"/>
      <c r="AI126" s="1933"/>
      <c r="AK126" s="504"/>
      <c r="AL126" s="728"/>
      <c r="AM126" s="728"/>
      <c r="AN126" s="1943"/>
      <c r="AO126" s="1933"/>
      <c r="AQ126" s="504"/>
      <c r="AR126" s="728"/>
      <c r="AS126" s="728"/>
      <c r="AT126" s="1943"/>
      <c r="AU126" s="1933"/>
      <c r="AW126" s="504"/>
      <c r="AX126" s="728"/>
      <c r="AY126" s="728"/>
      <c r="AZ126" s="1943"/>
      <c r="BA126" s="1933"/>
      <c r="BC126" s="504"/>
      <c r="BD126" s="728"/>
      <c r="BE126" s="728"/>
      <c r="BF126" s="1943"/>
      <c r="BG126" s="1933"/>
      <c r="BH126" s="824"/>
      <c r="BI126" s="504">
        <f>+BI125-BC120</f>
        <v>7.1989832231825243E-2</v>
      </c>
      <c r="BJ126" s="211">
        <f>+BJ125-BD120</f>
        <v>0.11463838206199159</v>
      </c>
      <c r="BK126" s="211">
        <f>+BK125-BE120</f>
        <v>0.12674487471526186</v>
      </c>
      <c r="BL126" s="211">
        <f>+BL125-BF120</f>
        <v>0.15725593189639575</v>
      </c>
      <c r="BM126" s="1932"/>
      <c r="BO126" s="504">
        <f>+BO125-BI120</f>
        <v>7.9456173787484027E-3</v>
      </c>
      <c r="BP126" s="728">
        <f>+BP125-BJ120</f>
        <v>-1.9017099958927558E-2</v>
      </c>
      <c r="BQ126" s="728">
        <f>+BQ125-BK120</f>
        <v>-2.8649591246943662E-2</v>
      </c>
      <c r="BR126" s="1943">
        <f>+BR125-BL120</f>
        <v>-1.8663412211356201E-2</v>
      </c>
      <c r="BS126" s="1933">
        <f>+BS125-BM120</f>
        <v>-1.5318163142457014E-2</v>
      </c>
      <c r="BU126" s="504">
        <f>+BU125-BO120</f>
        <v>1.0538706798964653E-2</v>
      </c>
      <c r="BV126" s="728">
        <f>+BV125-BP120</f>
        <v>-8.2669458025819847E-3</v>
      </c>
      <c r="BW126" s="728">
        <f>+BW125-BQ120</f>
        <v>3.3337068502222622E-2</v>
      </c>
      <c r="BX126" s="1943">
        <f>+BX125-BR120</f>
        <v>4.0455316360235083E-2</v>
      </c>
      <c r="BY126" s="1933">
        <f>+BY125-BS120</f>
        <v>2.1601887822742721E-2</v>
      </c>
      <c r="CA126" s="504">
        <f>+CA125-BU120</f>
        <v>1.1402561642875661E-2</v>
      </c>
      <c r="CB126" s="728">
        <f>+CB125-BV120</f>
        <v>-3.3744955609360527E-3</v>
      </c>
      <c r="CC126" s="728">
        <f>+CC125-BW120</f>
        <v>1.2738408931099454E-2</v>
      </c>
      <c r="CD126" s="1943">
        <f>+CD125-BX120</f>
        <v>1.1272693608900736E-2</v>
      </c>
      <c r="CE126" s="1933">
        <f>+CE125-BY120</f>
        <v>8.0771996944255242E-3</v>
      </c>
      <c r="CG126" s="504">
        <f>+CG125-CA120</f>
        <v>3.0902752802980382E-4</v>
      </c>
      <c r="CH126" s="728">
        <f>+CH125-CB120</f>
        <v>1.7977225223915275E-2</v>
      </c>
      <c r="CI126" s="728">
        <f>+CI125-CC120</f>
        <v>-5.1094025486464745E-3</v>
      </c>
      <c r="CJ126" s="1943">
        <f>+CJ125-CD120</f>
        <v>1.5899692758327644E-2</v>
      </c>
      <c r="CK126" s="1933">
        <f>+CK125-CE120</f>
        <v>8.5679569314146553E-3</v>
      </c>
      <c r="CM126" s="504">
        <f>+CM125-CG120</f>
        <v>1.6733440619688678E-2</v>
      </c>
      <c r="CN126" s="728">
        <f>+CN125-CH120</f>
        <v>1.518110466550307E-2</v>
      </c>
      <c r="CO126" s="728">
        <f>+CO125-CI120</f>
        <v>2.4288759379672925E-2</v>
      </c>
      <c r="CP126" s="1943">
        <f>+CP125-CJ120</f>
        <v>1.9692465308542295E-3</v>
      </c>
      <c r="CQ126" s="1933">
        <f>+CQ125-CK120</f>
        <v>1.1880098065553957E-2</v>
      </c>
      <c r="CS126" s="504">
        <f>+CS125-CM120</f>
        <v>4.2161325035277336E-2</v>
      </c>
      <c r="CT126" s="728">
        <f>+CT125-CN120</f>
        <v>4.2309881734696381E-2</v>
      </c>
      <c r="CU126" s="728">
        <f>+CU125-CO120</f>
        <v>-1.8684606330453546E-3</v>
      </c>
      <c r="CV126" s="1943">
        <f>+CV125-CP120</f>
        <v>-4.1667733858334194E-2</v>
      </c>
      <c r="CW126" s="1933">
        <f>+CW125-CQ120</f>
        <v>6.5216723625783901E-3</v>
      </c>
      <c r="CY126" s="504">
        <f>+CY125-CS120</f>
        <v>7.2436344447305845E-3</v>
      </c>
      <c r="CZ126" s="728">
        <f>+CZ125-CT120</f>
        <v>7.0880595644722544E-3</v>
      </c>
      <c r="DA126" s="728">
        <f>+DA125-CU120</f>
        <v>7.2930653683203062E-3</v>
      </c>
      <c r="DB126" s="1943">
        <f>+DB125-CV120</f>
        <v>7.127942926244496E-3</v>
      </c>
      <c r="DC126" s="1933">
        <f>+DC125-CW120</f>
        <v>7.1825807365610006E-3</v>
      </c>
      <c r="DE126" s="504">
        <f>+DE125-CY120</f>
        <v>8.1444789126364214E-3</v>
      </c>
      <c r="DF126" s="728">
        <f>+DF125-CZ120</f>
        <v>8.2751332922800236E-3</v>
      </c>
      <c r="DG126" s="728">
        <f>+DG125-DA120</f>
        <v>8.1245074546262563E-3</v>
      </c>
      <c r="DH126" s="1943">
        <f>+DH125-DB120</f>
        <v>8.1838134329713097E-3</v>
      </c>
      <c r="DI126" s="1933">
        <f>+DI125-DC120</f>
        <v>8.1848044153318422E-3</v>
      </c>
      <c r="DJ126"/>
      <c r="DK126"/>
      <c r="DL126"/>
      <c r="DM126"/>
      <c r="DN126"/>
      <c r="DO126"/>
    </row>
    <row r="127" spans="1:119" s="210" customFormat="1">
      <c r="A127" s="210" t="s">
        <v>489</v>
      </c>
      <c r="B127" s="824"/>
      <c r="C127" s="1860"/>
      <c r="D127" s="824"/>
      <c r="E127" s="1860"/>
      <c r="F127" s="824"/>
      <c r="G127" s="1860"/>
      <c r="H127" s="824"/>
      <c r="I127" s="1860"/>
      <c r="J127" s="824"/>
      <c r="K127" s="1860"/>
      <c r="L127" s="824"/>
      <c r="M127" s="1860"/>
      <c r="N127" s="824"/>
      <c r="O127" s="1860"/>
      <c r="P127" s="824"/>
      <c r="Q127" s="1860"/>
      <c r="R127" s="824"/>
      <c r="S127" s="1944"/>
      <c r="T127" s="1945"/>
      <c r="U127" s="1945"/>
      <c r="V127" s="1946"/>
      <c r="W127" s="1935"/>
      <c r="Y127" s="1944"/>
      <c r="Z127" s="1945"/>
      <c r="AA127" s="1945"/>
      <c r="AB127" s="1946"/>
      <c r="AC127" s="1935"/>
      <c r="AE127" s="1944"/>
      <c r="AF127" s="1945"/>
      <c r="AG127" s="1945"/>
      <c r="AH127" s="1946"/>
      <c r="AI127" s="1935"/>
      <c r="AK127" s="1944"/>
      <c r="AL127" s="1945"/>
      <c r="AM127" s="1945"/>
      <c r="AN127" s="1946"/>
      <c r="AO127" s="1935"/>
      <c r="AQ127" s="1944"/>
      <c r="AR127" s="1945"/>
      <c r="AS127" s="1945"/>
      <c r="AT127" s="1946"/>
      <c r="AU127" s="1935"/>
      <c r="AW127" s="1944"/>
      <c r="AX127" s="1945"/>
      <c r="AY127" s="1945"/>
      <c r="AZ127" s="1946"/>
      <c r="BA127" s="1935"/>
      <c r="BC127" s="1944"/>
      <c r="BD127" s="1945"/>
      <c r="BE127" s="1945"/>
      <c r="BF127" s="1946"/>
      <c r="BG127" s="1935"/>
      <c r="BH127" s="824"/>
      <c r="BI127" s="1944">
        <f>+RevBuild!BC75*(1+RevBuild!BI80)</f>
        <v>401.13840000000005</v>
      </c>
      <c r="BJ127" s="1862">
        <f>+RevBuild!BD75*(1+RevBuild!BJ80)</f>
        <v>460.66649999999998</v>
      </c>
      <c r="BK127" s="1862">
        <f>+RevBuild!BE75*(1+RevBuild!BK80)</f>
        <v>437.05279999999993</v>
      </c>
      <c r="BL127" s="1862">
        <f>+RevBuild!BF75*(1+RevBuild!BL80)</f>
        <v>549.37260000000003</v>
      </c>
      <c r="BM127" s="1935">
        <f>+RevBuild!BG75*(1+RevBuild!BM80)</f>
        <v>1848.7248</v>
      </c>
      <c r="BO127" s="1944">
        <f>+RevBuild!BI75*(1+RevBuild!BO80)</f>
        <v>419.36439999999999</v>
      </c>
      <c r="BP127" s="1945">
        <f>+RevBuild!BJ75*(1+RevBuild!BP80)</f>
        <v>443.98240000000004</v>
      </c>
      <c r="BQ127" s="1945">
        <f>+RevBuild!BK75*(1+RevBuild!BQ80)</f>
        <v>417.928</v>
      </c>
      <c r="BR127" s="1946">
        <f>+RevBuild!BL75*(1+RevBuild!BR80)</f>
        <v>549.33950000000004</v>
      </c>
      <c r="BS127" s="1935">
        <f>+RevBuild!BM75*(1+RevBuild!BS80)</f>
        <v>1832.0424</v>
      </c>
      <c r="BU127" s="1944">
        <f>+RevBuild!BO75*(1+RevBuild!BU80)</f>
        <v>410.98899999999998</v>
      </c>
      <c r="BV127" s="1945">
        <f>+RevBuild!BP75*(1+RevBuild!BV80)</f>
        <v>460.60179999999991</v>
      </c>
      <c r="BW127" s="1945">
        <f>+RevBuild!BQ75*(1+RevBuild!BW80)</f>
        <v>453.80379999999991</v>
      </c>
      <c r="BX127" s="1946">
        <f>+RevBuild!BR75*(1+RevBuild!BX80)</f>
        <v>520.70000000000005</v>
      </c>
      <c r="BY127" s="1935">
        <f>+RevBuild!BS75*(1+RevBuild!BY80)</f>
        <v>1846.8869000000002</v>
      </c>
      <c r="CA127" s="1944">
        <f>+RevBuild!BU75*(1+RevBuild!CA80)</f>
        <v>373.27899999999994</v>
      </c>
      <c r="CB127" s="1945">
        <f>+RevBuild!BV75*(1+RevBuild!CB80)</f>
        <v>359.42400000000004</v>
      </c>
      <c r="CC127" s="1945">
        <f>+RevBuild!BW75*(1+RevBuild!CC80)</f>
        <v>386.77019999999999</v>
      </c>
      <c r="CD127" s="1946">
        <f>+RevBuild!BX75*(1+RevBuild!CD80)</f>
        <v>467.4306974921069</v>
      </c>
      <c r="CE127" s="1935">
        <f>+RevBuild!BY75*(1+RevBuild!CE80)</f>
        <v>1587.2626924209658</v>
      </c>
      <c r="CG127" s="1944">
        <f>+RevBuild!CA75*(1+RevBuild!CG80)</f>
        <v>372.48351999999994</v>
      </c>
      <c r="CH127" s="1945">
        <f>+RevBuild!CB75*(1+RevBuild!CH80)</f>
        <v>400.03199999999998</v>
      </c>
      <c r="CI127" s="1945">
        <f>+RevBuild!CC75*(1+RevBuild!CI80)</f>
        <v>407.09640000000002</v>
      </c>
      <c r="CJ127" s="1946">
        <f>+RevBuild!CD75*(1+RevBuild!CJ80)</f>
        <v>489.2581034520361</v>
      </c>
      <c r="CK127" s="1935">
        <f>+RevBuild!CE75*(1+RevBuild!CK80)</f>
        <v>1669.0927304540339</v>
      </c>
      <c r="CM127" s="1944">
        <f>+RevBuild!CG75*(1+RevBuild!CM80)</f>
        <v>398.0117747489042</v>
      </c>
      <c r="CN127" s="1945">
        <f>+RevBuild!CH75*(1+RevBuild!CN80)</f>
        <v>413.51127537751046</v>
      </c>
      <c r="CO127" s="1945">
        <f>+RevBuild!CI75*(1+RevBuild!CO80)</f>
        <v>440.13469921878027</v>
      </c>
      <c r="CP127" s="1946">
        <f>+RevBuild!CJ75*(1+RevBuild!CP80)</f>
        <v>533.84263651515937</v>
      </c>
      <c r="CQ127" s="1935">
        <f>+RevBuild!CK75*(1+RevBuild!CQ80)</f>
        <v>1785.5535598990359</v>
      </c>
      <c r="CS127" s="1944">
        <f>+RevBuild!CM75*(1+RevBuild!CS80)</f>
        <v>431.04260438906027</v>
      </c>
      <c r="CT127" s="1945">
        <f>+RevBuild!CN75*(1+RevBuild!CT80)</f>
        <v>449.4041565537683</v>
      </c>
      <c r="CU127" s="1945">
        <f>+RevBuild!CO75*(1+RevBuild!CU80)</f>
        <v>457.7892911774984</v>
      </c>
      <c r="CV127" s="1946">
        <f>+RevBuild!CP75*(1+RevBuild!CV80)</f>
        <v>574.88759699941522</v>
      </c>
      <c r="CW127" s="1935">
        <f>+RevBuild!CQ75*(1+RevBuild!CW80)</f>
        <v>1912.9451863814925</v>
      </c>
      <c r="CY127" s="1944">
        <f>+RevBuild!CS75*(1+RevBuild!CY80)</f>
        <v>442.66440709619292</v>
      </c>
      <c r="CZ127" s="1945">
        <f>+RevBuild!CT75*(1+RevBuild!CZ80)</f>
        <v>453.89480271850675</v>
      </c>
      <c r="DA127" s="1945">
        <f>+RevBuild!CU75*(1+RevBuild!DA80)</f>
        <v>473.67666555024914</v>
      </c>
      <c r="DB127" s="1946">
        <f>+RevBuild!CV75*(1+RevBuild!DB80)</f>
        <v>596.03831619289554</v>
      </c>
      <c r="DC127" s="1935">
        <f>+RevBuild!CW75*(1+RevBuild!DC80)</f>
        <v>1966.2741915578447</v>
      </c>
      <c r="DE127" s="1944">
        <f>+RevBuild!CY75*(1+RevBuild!DE80)</f>
        <v>449.85713597755307</v>
      </c>
      <c r="DF127" s="1945">
        <f>+RevBuild!CZ75*(1+RevBuild!DF80)</f>
        <v>468.52225147081901</v>
      </c>
      <c r="DG127" s="1945">
        <f>+RevBuild!DA75*(1+RevBuild!DG80)</f>
        <v>480.76509934093394</v>
      </c>
      <c r="DH127" s="1946">
        <f>+RevBuild!DB75*(1+RevBuild!DH80)</f>
        <v>612.82352954560815</v>
      </c>
      <c r="DI127" s="1935">
        <f>+RevBuild!DC75*(1+RevBuild!DI80)</f>
        <v>2011.9680163349144</v>
      </c>
      <c r="DJ127"/>
      <c r="DK127"/>
      <c r="DL127"/>
      <c r="DM127"/>
      <c r="DN127"/>
      <c r="DO127"/>
    </row>
    <row r="128" spans="1:119" s="210" customFormat="1">
      <c r="A128" s="210" t="s">
        <v>490</v>
      </c>
      <c r="B128" s="824"/>
      <c r="C128" s="1860"/>
      <c r="D128" s="824"/>
      <c r="E128" s="1860"/>
      <c r="F128" s="824"/>
      <c r="G128" s="1860"/>
      <c r="H128" s="824"/>
      <c r="I128" s="1860"/>
      <c r="J128" s="824"/>
      <c r="K128" s="1860"/>
      <c r="L128" s="824"/>
      <c r="M128" s="1860"/>
      <c r="N128" s="824"/>
      <c r="O128" s="1860"/>
      <c r="P128" s="824"/>
      <c r="Q128" s="1860"/>
      <c r="R128" s="824"/>
      <c r="S128" s="1944"/>
      <c r="T128" s="1945"/>
      <c r="U128" s="1945"/>
      <c r="V128" s="1946"/>
      <c r="W128" s="1935"/>
      <c r="Y128" s="1944"/>
      <c r="Z128" s="1945"/>
      <c r="AA128" s="1945"/>
      <c r="AB128" s="1946"/>
      <c r="AC128" s="1935"/>
      <c r="AE128" s="1944"/>
      <c r="AF128" s="1945"/>
      <c r="AG128" s="1945"/>
      <c r="AH128" s="1946"/>
      <c r="AI128" s="1935"/>
      <c r="AK128" s="1944"/>
      <c r="AL128" s="1945"/>
      <c r="AM128" s="1945"/>
      <c r="AN128" s="1946"/>
      <c r="AO128" s="1935"/>
      <c r="AQ128" s="1944"/>
      <c r="AR128" s="1945"/>
      <c r="AS128" s="1945"/>
      <c r="AT128" s="1946"/>
      <c r="AU128" s="1935"/>
      <c r="AW128" s="1944"/>
      <c r="AX128" s="1945"/>
      <c r="AY128" s="1945"/>
      <c r="AZ128" s="1946"/>
      <c r="BA128" s="1935"/>
      <c r="BC128" s="1944"/>
      <c r="BD128" s="1945"/>
      <c r="BE128" s="1945"/>
      <c r="BF128" s="1946"/>
      <c r="BG128" s="1935"/>
      <c r="BH128" s="824"/>
      <c r="BI128" s="1944">
        <f>+BI127*BI125</f>
        <v>28.877886117742811</v>
      </c>
      <c r="BJ128" s="1862">
        <f>+BJ127*BJ125</f>
        <v>52.810062230160447</v>
      </c>
      <c r="BK128" s="1862">
        <f>+BK127*BK125</f>
        <v>55.394202379954386</v>
      </c>
      <c r="BL128" s="1862">
        <f>+BL127*BL125</f>
        <v>86.392100171345874</v>
      </c>
      <c r="BM128" s="1935">
        <f>+BM127*BM125</f>
        <v>227.54719620609265</v>
      </c>
      <c r="BO128" s="1944">
        <f>+BO127*BO125</f>
        <v>28.48970906466845</v>
      </c>
      <c r="BP128" s="1945">
        <f>+BP127*BP125</f>
        <v>43.577542319195423</v>
      </c>
      <c r="BQ128" s="1945">
        <f>+BQ127*BQ125</f>
        <v>33.056133629347286</v>
      </c>
      <c r="BR128" s="1946">
        <f>+BR127*BR125</f>
        <v>70.640950467519787</v>
      </c>
      <c r="BS128" s="1935">
        <f>+BS127*BS125</f>
        <v>176.6144756329015</v>
      </c>
      <c r="BU128" s="1944">
        <f>+BU127*BU125</f>
        <v>35.468292568599729</v>
      </c>
      <c r="BV128" s="1945">
        <f>+BV127*BV125</f>
        <v>49.26112988282825</v>
      </c>
      <c r="BW128" s="1945">
        <f>+BW127*BW125</f>
        <v>53.936388367168895</v>
      </c>
      <c r="BX128" s="1946">
        <f>+BX127*BX125</f>
        <v>86.357583228774502</v>
      </c>
      <c r="BY128" s="1935">
        <f>+BY127*BY125</f>
        <v>228.16864363509316</v>
      </c>
      <c r="CA128" s="1944">
        <f>+CA127*CA125</f>
        <v>42.059415166755493</v>
      </c>
      <c r="CB128" s="1945">
        <f>+CB127*CB125</f>
        <v>37.724725307506105</v>
      </c>
      <c r="CC128" s="1945">
        <f>+CC127*CC125</f>
        <v>56.483177692003018</v>
      </c>
      <c r="CD128" s="1946">
        <f>+CD127*CD125</f>
        <v>87.084237289860496</v>
      </c>
      <c r="CE128" s="1935">
        <f>+CE127*CE125</f>
        <v>223.17839817821087</v>
      </c>
      <c r="CG128" s="1944">
        <f>+CG127*CG125</f>
        <v>47.047634289014702</v>
      </c>
      <c r="CH128" s="1945">
        <f>+CH127*CH125</f>
        <v>50.240375772395602</v>
      </c>
      <c r="CI128" s="1945">
        <f>+CI127*CI125</f>
        <v>58.483192192837436</v>
      </c>
      <c r="CJ128" s="1946">
        <f>+CJ127*CJ125</f>
        <v>103.48763425497994</v>
      </c>
      <c r="CK128" s="1935">
        <f>+CK127*CK125</f>
        <v>260.73350838256761</v>
      </c>
      <c r="CM128" s="1944">
        <f>+CM127*CM125</f>
        <v>57.536124371277808</v>
      </c>
      <c r="CN128" s="1945">
        <f>+CN127*CN125</f>
        <v>57.804511282836422</v>
      </c>
      <c r="CO128" s="1945">
        <f>+CO127*CO125</f>
        <v>75.760745064046418</v>
      </c>
      <c r="CP128" s="1946">
        <f>+CP127*CP125</f>
        <v>112.54940937332498</v>
      </c>
      <c r="CQ128" s="1935">
        <f>+CQ127*CQ125</f>
        <v>300.38540256687531</v>
      </c>
      <c r="CS128" s="1944">
        <f>+CS127*CS125</f>
        <v>73.587668790030847</v>
      </c>
      <c r="CT128" s="1945">
        <f>+CT127*CT125</f>
        <v>76.892748179678279</v>
      </c>
      <c r="CU128" s="1945">
        <f>+CU127*CU125</f>
        <v>78.402072411949717</v>
      </c>
      <c r="CV128" s="1946">
        <f>+CV127*CV125</f>
        <v>99.548156668702006</v>
      </c>
      <c r="CW128" s="1935">
        <f>+CW127*CW125</f>
        <v>328.41481630106784</v>
      </c>
      <c r="CY128" s="1944">
        <f>+CY127*CY125</f>
        <v>80.548901755372825</v>
      </c>
      <c r="CZ128" s="1945">
        <f>+CZ127*CZ125</f>
        <v>82.69390731923481</v>
      </c>
      <c r="DA128" s="1945">
        <f>+DA127*DA125</f>
        <v>86.472243120097588</v>
      </c>
      <c r="DB128" s="1946">
        <f>+DB127*DB125</f>
        <v>109.84331839284309</v>
      </c>
      <c r="DC128" s="1935">
        <f>+DC127*DC125</f>
        <v>359.55837058754832</v>
      </c>
      <c r="DE128" s="1944">
        <f>+DE127*DE125</f>
        <v>87.3209986034433</v>
      </c>
      <c r="DF128" s="1945">
        <f>+DF127*DF125</f>
        <v>91.110017048576296</v>
      </c>
      <c r="DG128" s="1945">
        <f>+DG127*DG125</f>
        <v>93.595315166209588</v>
      </c>
      <c r="DH128" s="1946">
        <f>+DH127*DH125</f>
        <v>120.40317649775847</v>
      </c>
      <c r="DI128" s="1935">
        <f>+DI127*DI125</f>
        <v>392.42950731598756</v>
      </c>
      <c r="DJ128"/>
      <c r="DK128"/>
      <c r="DL128"/>
      <c r="DM128"/>
      <c r="DN128"/>
      <c r="DO128"/>
    </row>
    <row r="129" spans="1:119" s="210" customFormat="1">
      <c r="A129" s="626" t="s">
        <v>491</v>
      </c>
      <c r="B129" s="1938"/>
      <c r="C129" s="1972"/>
      <c r="D129" s="1938"/>
      <c r="E129" s="1972"/>
      <c r="F129" s="1938"/>
      <c r="G129" s="1972"/>
      <c r="H129" s="1938"/>
      <c r="I129" s="1972"/>
      <c r="J129" s="1938"/>
      <c r="K129" s="1972"/>
      <c r="L129" s="1938"/>
      <c r="M129" s="1972"/>
      <c r="N129" s="1938"/>
      <c r="O129" s="1972"/>
      <c r="P129" s="1938"/>
      <c r="Q129" s="1973"/>
      <c r="R129" s="1938"/>
      <c r="S129" s="1949"/>
      <c r="T129" s="1948"/>
      <c r="U129" s="1948"/>
      <c r="V129" s="1948"/>
      <c r="W129" s="1936"/>
      <c r="X129" s="1530"/>
      <c r="Y129" s="1949"/>
      <c r="Z129" s="1948"/>
      <c r="AA129" s="1948"/>
      <c r="AB129" s="1948"/>
      <c r="AC129" s="1936"/>
      <c r="AD129" s="1530"/>
      <c r="AE129" s="1949"/>
      <c r="AF129" s="1948"/>
      <c r="AG129" s="1948"/>
      <c r="AH129" s="1948"/>
      <c r="AI129" s="1936"/>
      <c r="AJ129" s="1530"/>
      <c r="AK129" s="1949"/>
      <c r="AL129" s="1948"/>
      <c r="AM129" s="1948"/>
      <c r="AN129" s="1948"/>
      <c r="AO129" s="1936"/>
      <c r="AP129" s="1530"/>
      <c r="AQ129" s="1949"/>
      <c r="AR129" s="1948"/>
      <c r="AS129" s="1948"/>
      <c r="AT129" s="1948"/>
      <c r="AU129" s="1936"/>
      <c r="AV129" s="1530"/>
      <c r="AW129" s="1949"/>
      <c r="AX129" s="1948"/>
      <c r="AY129" s="1948"/>
      <c r="AZ129" s="1948"/>
      <c r="BA129" s="1936"/>
      <c r="BB129" s="1530"/>
      <c r="BC129" s="1949"/>
      <c r="BD129" s="1948"/>
      <c r="BE129" s="1948"/>
      <c r="BF129" s="1948"/>
      <c r="BG129" s="1936"/>
      <c r="BH129" s="1938"/>
      <c r="BI129" s="1949">
        <f>+(BI128-BC20)/(BI127-BC9)</f>
        <v>3.2997386323868643</v>
      </c>
      <c r="BJ129" s="1948">
        <f>+(BJ128-BD20)/(BJ127-BD9)</f>
        <v>0.49566667659566011</v>
      </c>
      <c r="BK129" s="1948">
        <f>+(BK128-BE20)/(BK127-BE9)</f>
        <v>1.3032043341563866</v>
      </c>
      <c r="BL129" s="1947">
        <f>+(BL128-BF20)/(BL127-BF9)</f>
        <v>0.41755580063187187</v>
      </c>
      <c r="BM129" s="1947">
        <f>+(BM128-BG20)/(BM127-BG9)</f>
        <v>0.14910119540046465</v>
      </c>
      <c r="BN129" s="1530"/>
      <c r="BO129" s="1949">
        <f>+(BO128-BI20)/(BO127-BI9)</f>
        <v>0.18832359171282245</v>
      </c>
      <c r="BP129" s="1948">
        <f>+(BP128-BJ20)/(BP127-BJ9)</f>
        <v>0.8905306734817694</v>
      </c>
      <c r="BQ129" s="1948">
        <f>+(BQ128-BK20)/(BQ127-BK9)</f>
        <v>0.67596176777964434</v>
      </c>
      <c r="BR129" s="1948">
        <f>+(BR128-BL20)/(BR127-BL9)</f>
        <v>3.8612749619563091</v>
      </c>
      <c r="BS129" s="1936">
        <f>+(BS128-BM20)/(BS127-BM9)</f>
        <v>3.9259438359109371</v>
      </c>
      <c r="BT129" s="1530"/>
      <c r="BU129" s="1949">
        <f>+(BU128-BO20)/(BU127-BO9)</f>
        <v>-0.26499036807486898</v>
      </c>
      <c r="BV129" s="1948">
        <f>+(BV128-BP20)/(BV127-BP9)</f>
        <v>-1.0740427625622402</v>
      </c>
      <c r="BW129" s="1948">
        <f>+(BW128-BQ20)/(BW127-BQ9)</f>
        <v>0.53042272825887027</v>
      </c>
      <c r="BX129" s="1948">
        <f>+(BX128-BR20)/(BX127-BR9)</f>
        <v>1.784061671557041</v>
      </c>
      <c r="BY129" s="1936">
        <f>+(BY128-BS20)/(BY127-BS9)</f>
        <v>1.1522036184867139</v>
      </c>
      <c r="BZ129" s="1530"/>
      <c r="CA129" s="1949">
        <f>+(CA128-BU20)/(CA127-BU9)</f>
        <v>0.31646772671800899</v>
      </c>
      <c r="CB129" s="1948">
        <f>+(CB128-BV20)/(CB127-BV9)</f>
        <v>0.14149373065654738</v>
      </c>
      <c r="CC129" s="1948">
        <f>+(CC128-BW20)/(CC127-BW9)</f>
        <v>-0.3947756320610295</v>
      </c>
      <c r="CD129" s="1948">
        <f>+(CD128-BX20)/(CD127-BX9)</f>
        <v>-0.31424851213718397</v>
      </c>
      <c r="CE129" s="1936">
        <f>+(CE128-BY20)/(CE127-BY9)</f>
        <v>-0.21836305701925846</v>
      </c>
      <c r="CF129" s="1530"/>
      <c r="CG129" s="1949">
        <f>+(CG128-CA20)/(CG127-CA9)</f>
        <v>8.6530924602716094E-2</v>
      </c>
      <c r="CH129" s="1948">
        <f>+(CH128-CB20)/(CH127-CB9)</f>
        <v>0.3614420362980223</v>
      </c>
      <c r="CI129" s="1948">
        <f>+(CI128-CC20)/(CI127-CC9)</f>
        <v>-8.8514903430124813E-3</v>
      </c>
      <c r="CJ129" s="1948">
        <f>+(CJ128-CD20)/(CJ127-CD9)</f>
        <v>0.60594849500867121</v>
      </c>
      <c r="CK129" s="1936">
        <f>+(CK128-CE20)/(CK127-CE9)</f>
        <v>0.39509308875323801</v>
      </c>
      <c r="CL129" s="1530"/>
      <c r="CM129" s="1949">
        <f>+(CM128-CG20)/(CM127-CG9)</f>
        <v>0.63577391550098772</v>
      </c>
      <c r="CN129" s="1948">
        <f>+(CN128-CH20)/(CN127-CH9)</f>
        <v>-4.3957680190714008</v>
      </c>
      <c r="CO129" s="1948">
        <f>+(CO128-CI20)/(CO127-CI9)</f>
        <v>2.5052918652236795</v>
      </c>
      <c r="CP129" s="1948">
        <f>+(CP128-CJ20)/(CP127-CJ9)</f>
        <v>0.52336213207479942</v>
      </c>
      <c r="CQ129" s="1936">
        <f>+(CQ128-CK20)/(CQ127-CK9)</f>
        <v>1.235674488063951</v>
      </c>
      <c r="CR129" s="1530"/>
      <c r="CS129" s="1949">
        <f>+(CS128-CM20)/(CS127-CM9)</f>
        <v>2.5959465115831382</v>
      </c>
      <c r="CT129" s="1948">
        <f>+(CT128-CN20)/(CT127-CN9)</f>
        <v>1.3863580271512974</v>
      </c>
      <c r="CU129" s="1948">
        <f>+(CU128-CO20)/(CU127-CO9)</f>
        <v>4.7147842920369387E-2</v>
      </c>
      <c r="CV129" s="1948">
        <f>+(CV128-CP20)/(CV127-CP9)</f>
        <v>-1.1860147066632749</v>
      </c>
      <c r="CW129" s="1936">
        <f>+(CW128-CQ20)/(CW127-CQ9)</f>
        <v>0.43521556147029233</v>
      </c>
      <c r="CX129" s="1530"/>
      <c r="CY129" s="1949">
        <f>+(CY128-CS20)/(CY127-CS9)</f>
        <v>0.45062394189255928</v>
      </c>
      <c r="CZ129" s="1948">
        <f>+(CZ128-CT20)/(CZ127-CT9)</f>
        <v>0.8915292736217254</v>
      </c>
      <c r="DA129" s="1948">
        <f>+(DA128-CU20)/(DA127-CU9)</f>
        <v>0.39270262014714719</v>
      </c>
      <c r="DB129" s="1948">
        <f>+(DB128-CV20)/(DB127-CV9)</f>
        <v>0.55817032399039079</v>
      </c>
      <c r="DC129" s="1936">
        <f>+(DC128-CW20)/(DC127-CW9)</f>
        <v>0.50297442217902311</v>
      </c>
      <c r="DD129" s="1530"/>
      <c r="DE129" s="1949">
        <f>+(DE128-CY20)/(DE127-CY9)</f>
        <v>0.69534655096577058</v>
      </c>
      <c r="DF129" s="1948">
        <f>+(DF128-CZ20)/(DF127-CZ9)</f>
        <v>0.45124277173926508</v>
      </c>
      <c r="DG129" s="1948">
        <f>+(DG128-DA20)/(DG127-DA9)</f>
        <v>0.73759105865978714</v>
      </c>
      <c r="DH129" s="1948">
        <f>+(DH128-DB20)/(DH127-DB9)</f>
        <v>0.48707780284619012</v>
      </c>
      <c r="DI129" s="1936">
        <f>+(DI128-DC20)/(DI127-DC9)</f>
        <v>0.54725206489513034</v>
      </c>
      <c r="DJ129"/>
      <c r="DK129"/>
      <c r="DL129"/>
      <c r="DM129"/>
      <c r="DN129"/>
      <c r="DO129"/>
    </row>
    <row r="130" spans="1:119" s="210" customFormat="1">
      <c r="C130" s="1860"/>
      <c r="E130" s="1860"/>
      <c r="G130" s="1860"/>
      <c r="I130" s="1860"/>
      <c r="K130" s="1860"/>
      <c r="M130" s="1860"/>
      <c r="O130" s="1860"/>
      <c r="Q130" s="1860"/>
      <c r="S130" s="1860"/>
      <c r="T130" s="1860"/>
      <c r="U130" s="1860"/>
      <c r="V130" s="1860"/>
      <c r="W130" s="1860"/>
      <c r="Y130" s="1860"/>
      <c r="Z130" s="1860"/>
      <c r="AA130" s="1860"/>
      <c r="AB130" s="1860"/>
      <c r="AC130" s="1860"/>
      <c r="AE130" s="1860"/>
      <c r="AF130" s="1860"/>
      <c r="AG130" s="1860"/>
      <c r="AH130" s="1860"/>
      <c r="AI130" s="1860"/>
      <c r="AK130" s="1860"/>
      <c r="AL130" s="1860"/>
      <c r="AM130" s="1860"/>
      <c r="AN130" s="1860"/>
      <c r="AO130" s="1860"/>
      <c r="AQ130" s="1860"/>
      <c r="AR130" s="1860"/>
      <c r="AS130" s="1860"/>
      <c r="AT130" s="1860"/>
      <c r="AU130" s="1860"/>
      <c r="AW130" s="1860"/>
      <c r="AX130" s="1860"/>
      <c r="AY130" s="1860"/>
      <c r="AZ130" s="1860"/>
      <c r="BA130" s="1860"/>
      <c r="BC130" s="1860"/>
      <c r="BD130" s="1860"/>
      <c r="BP130" s="584"/>
      <c r="BQ130" s="584"/>
      <c r="BR130" s="584">
        <f>BR128-BR20</f>
        <v>6.9409504675196843</v>
      </c>
      <c r="BU130" s="584"/>
      <c r="CA130" s="1461"/>
      <c r="CE130" s="1862"/>
      <c r="CX130" s="69"/>
      <c r="DD130" s="69"/>
      <c r="DJ130"/>
      <c r="DK130"/>
      <c r="DL130"/>
      <c r="DM130"/>
      <c r="DN130"/>
      <c r="DO130"/>
    </row>
    <row r="131" spans="1:119" s="210" customFormat="1">
      <c r="C131" s="1860"/>
      <c r="E131" s="1860"/>
      <c r="G131" s="1860"/>
      <c r="I131" s="1860"/>
      <c r="K131" s="1860"/>
      <c r="M131" s="1860"/>
      <c r="O131" s="1860"/>
      <c r="Q131" s="1860"/>
      <c r="S131" s="1860"/>
      <c r="T131" s="1860"/>
      <c r="U131" s="1860"/>
      <c r="V131" s="1860"/>
      <c r="W131" s="1860"/>
      <c r="Y131" s="1860"/>
      <c r="Z131" s="1860"/>
      <c r="AA131" s="1860"/>
      <c r="AB131" s="1860"/>
      <c r="AC131" s="1860"/>
      <c r="AE131" s="1860"/>
      <c r="AF131" s="1860"/>
      <c r="AG131" s="1860"/>
      <c r="AH131" s="1860"/>
      <c r="AI131" s="1860"/>
      <c r="AK131" s="1860"/>
      <c r="AL131" s="1860"/>
      <c r="AM131" s="1860"/>
      <c r="AN131" s="1860"/>
      <c r="AO131" s="1860"/>
      <c r="AQ131" s="1860"/>
      <c r="AR131" s="1860"/>
      <c r="AS131" s="1860"/>
      <c r="AT131" s="1860"/>
      <c r="AU131" s="1860"/>
      <c r="AW131" s="1860"/>
      <c r="AX131" s="1860"/>
      <c r="AY131" s="1860"/>
      <c r="AZ131" s="1860"/>
      <c r="BA131" s="1860"/>
      <c r="BC131" s="1860"/>
      <c r="BD131" s="1860"/>
      <c r="BY131" s="1861"/>
      <c r="CE131" s="211"/>
      <c r="CX131" s="69"/>
      <c r="DD131" s="69"/>
      <c r="DJ131"/>
      <c r="DK131"/>
      <c r="DL131"/>
      <c r="DM131"/>
      <c r="DN131"/>
      <c r="DO131"/>
    </row>
    <row r="132" spans="1:119">
      <c r="C132" s="638"/>
      <c r="E132" s="638"/>
      <c r="G132" s="638"/>
      <c r="I132" s="638"/>
      <c r="K132" s="638"/>
      <c r="M132" s="638"/>
      <c r="O132" s="638"/>
      <c r="Q132" s="638"/>
      <c r="S132" s="638"/>
      <c r="T132" s="638"/>
      <c r="U132" s="638"/>
      <c r="V132" s="638"/>
      <c r="W132" s="638"/>
      <c r="Y132" s="638"/>
      <c r="Z132" s="638"/>
      <c r="AA132" s="638"/>
      <c r="AB132" s="638"/>
      <c r="AC132" s="638"/>
      <c r="AE132" s="638"/>
      <c r="AF132" s="638"/>
      <c r="AG132" s="638"/>
      <c r="AH132" s="638"/>
      <c r="AI132" s="638"/>
      <c r="AK132" s="638"/>
      <c r="AL132" s="638"/>
      <c r="AM132" s="638"/>
      <c r="AN132" s="638"/>
      <c r="AO132" s="638"/>
      <c r="AQ132" s="638"/>
      <c r="AR132" s="638"/>
      <c r="AS132" s="638"/>
      <c r="AT132" s="638"/>
      <c r="AU132" s="638"/>
      <c r="AW132" s="638"/>
      <c r="AX132" s="638"/>
      <c r="AY132" s="638"/>
      <c r="AZ132" s="638"/>
      <c r="BA132" s="638"/>
      <c r="BC132" s="638"/>
      <c r="BD132" s="638"/>
      <c r="BW132" s="211" t="s">
        <v>483</v>
      </c>
      <c r="BX132" s="210"/>
      <c r="CE132" s="1862"/>
      <c r="CR132"/>
    </row>
    <row r="133" spans="1:119">
      <c r="C133" s="638"/>
      <c r="E133" s="638"/>
      <c r="G133" s="638"/>
      <c r="I133" s="638"/>
      <c r="K133" s="638"/>
      <c r="M133" s="638"/>
      <c r="O133" s="638"/>
      <c r="Q133" s="638"/>
      <c r="S133" s="638"/>
      <c r="T133" s="638"/>
      <c r="U133" s="638"/>
      <c r="V133" s="638"/>
      <c r="W133" s="638"/>
      <c r="Y133" s="638"/>
      <c r="Z133" s="638"/>
      <c r="AA133" s="638"/>
      <c r="AB133" s="638"/>
      <c r="AC133" s="638"/>
      <c r="AE133" s="638"/>
      <c r="AF133" s="638"/>
      <c r="AG133" s="638"/>
      <c r="AH133" s="638"/>
      <c r="AI133" s="638"/>
      <c r="AK133" s="638"/>
      <c r="AL133" s="638"/>
      <c r="AM133" s="638"/>
      <c r="AN133" s="638"/>
      <c r="AO133" s="638"/>
      <c r="AQ133" s="638"/>
      <c r="AR133" s="638"/>
      <c r="AS133" s="638"/>
      <c r="AT133" s="638"/>
      <c r="AU133" s="638"/>
      <c r="AW133" s="638"/>
      <c r="AX133" s="638"/>
      <c r="AY133" s="638"/>
      <c r="AZ133" s="638"/>
      <c r="BA133" s="638"/>
      <c r="BC133" s="638"/>
      <c r="BD133" s="638"/>
      <c r="BO133" t="s">
        <v>492</v>
      </c>
      <c r="BW133" s="211">
        <v>0.115</v>
      </c>
      <c r="BX133" s="210" t="s">
        <v>487</v>
      </c>
      <c r="CE133" s="211"/>
      <c r="CR133"/>
    </row>
    <row r="134" spans="1:119">
      <c r="C134" s="638"/>
      <c r="E134" s="638"/>
      <c r="G134" s="638"/>
      <c r="I134" s="638"/>
      <c r="K134" s="638"/>
      <c r="M134" s="638"/>
      <c r="O134" s="638"/>
      <c r="Q134" s="638"/>
      <c r="S134" s="638"/>
      <c r="T134" s="638"/>
      <c r="U134" s="638"/>
      <c r="V134" s="638"/>
      <c r="W134" s="638"/>
      <c r="Y134" s="638"/>
      <c r="Z134" s="638"/>
      <c r="AA134" s="638"/>
      <c r="AB134" s="638"/>
      <c r="AC134" s="638"/>
      <c r="AE134" s="638"/>
      <c r="AF134" s="638"/>
      <c r="AG134" s="638"/>
      <c r="AH134" s="638"/>
      <c r="AI134" s="638"/>
      <c r="AK134" s="638"/>
      <c r="AL134" s="638"/>
      <c r="AM134" s="638"/>
      <c r="AN134" s="638"/>
      <c r="AO134" s="638"/>
      <c r="AQ134" s="638"/>
      <c r="AR134" s="638"/>
      <c r="AS134" s="638"/>
      <c r="AT134" s="638"/>
      <c r="AU134" s="638"/>
      <c r="AW134" s="638"/>
      <c r="AX134" s="638"/>
      <c r="AY134" s="638"/>
      <c r="AZ134" s="638"/>
      <c r="BA134" s="638"/>
      <c r="BC134" s="638"/>
      <c r="BD134" s="638"/>
      <c r="BO134" t="s">
        <v>493</v>
      </c>
      <c r="BW134" s="211">
        <v>2.1999999999999999E-2</v>
      </c>
      <c r="BX134" s="210" t="s">
        <v>484</v>
      </c>
      <c r="CR134"/>
    </row>
    <row r="135" spans="1:119">
      <c r="BW135" s="211">
        <v>1.15E-2</v>
      </c>
      <c r="BX135" s="583" t="s">
        <v>485</v>
      </c>
      <c r="CR135"/>
    </row>
    <row r="136" spans="1:119">
      <c r="BW136" s="211">
        <v>1.8E-3</v>
      </c>
      <c r="BX136" s="210" t="s">
        <v>335</v>
      </c>
      <c r="CR136"/>
    </row>
    <row r="137" spans="1:119">
      <c r="BW137" s="211">
        <v>8.9999999999999993E-3</v>
      </c>
      <c r="BX137" s="210" t="s">
        <v>488</v>
      </c>
      <c r="CB137" s="1630"/>
      <c r="CR137"/>
    </row>
    <row r="138" spans="1:119">
      <c r="CR138"/>
    </row>
    <row r="139" spans="1:119">
      <c r="BO139" s="2180"/>
      <c r="BP139" s="2180"/>
      <c r="BQ139" s="2180"/>
      <c r="BR139" s="2180"/>
      <c r="BS139" s="2180"/>
      <c r="BU139" s="2180"/>
      <c r="BV139" s="2180"/>
      <c r="BW139" s="2180"/>
      <c r="BX139" s="2180"/>
      <c r="BY139" s="2180"/>
      <c r="CA139" s="2180"/>
      <c r="CB139" s="2180"/>
      <c r="CC139" s="2180"/>
      <c r="CD139" s="2180"/>
      <c r="CE139" s="2180"/>
      <c r="CG139" s="2180"/>
      <c r="CH139" s="2180"/>
      <c r="CI139" s="2180"/>
      <c r="CJ139" s="2180"/>
      <c r="CK139" s="2180"/>
      <c r="CM139" s="2180"/>
      <c r="CN139" s="2180"/>
      <c r="CO139" s="2180"/>
      <c r="CP139" s="2180"/>
      <c r="CQ139" s="2180"/>
      <c r="CR139"/>
    </row>
    <row r="140" spans="1:119">
      <c r="BO140" s="2180"/>
      <c r="BP140" s="2180"/>
      <c r="BQ140" s="2180"/>
      <c r="BR140" s="2180"/>
      <c r="BS140" s="2180"/>
      <c r="BU140" s="2180"/>
      <c r="BV140" s="2180"/>
      <c r="BW140" s="2180"/>
      <c r="BX140" s="2180"/>
      <c r="BY140" s="2180"/>
      <c r="CA140" s="2180"/>
      <c r="CB140" s="2180"/>
      <c r="CC140" s="2180"/>
      <c r="CD140" s="2180"/>
      <c r="CE140" s="2180"/>
      <c r="CG140" s="2180"/>
      <c r="CH140" s="2180"/>
      <c r="CI140" s="2180"/>
      <c r="CJ140" s="2180"/>
      <c r="CK140" s="2180"/>
      <c r="CM140" s="2180"/>
      <c r="CN140" s="2180"/>
      <c r="CO140" s="2180"/>
      <c r="CP140" s="2180"/>
      <c r="CQ140" s="2180"/>
      <c r="CR140"/>
    </row>
    <row r="141" spans="1:119">
      <c r="CR141"/>
    </row>
    <row r="142" spans="1:119">
      <c r="BO142" s="2180"/>
      <c r="BP142" s="2180"/>
      <c r="BQ142" s="2180"/>
      <c r="BR142" s="2180"/>
      <c r="BS142" s="2180"/>
      <c r="CR142"/>
    </row>
    <row r="143" spans="1:119">
      <c r="CR143"/>
    </row>
    <row r="144" spans="1:119">
      <c r="CR144"/>
    </row>
    <row r="145" spans="64:96">
      <c r="BO145" s="2181"/>
      <c r="CR145"/>
    </row>
    <row r="146" spans="64:96">
      <c r="BO146" s="2179"/>
      <c r="CR146"/>
    </row>
    <row r="147" spans="64:96">
      <c r="BO147" s="1630"/>
      <c r="CR147"/>
    </row>
    <row r="148" spans="64:96">
      <c r="CR148"/>
    </row>
    <row r="149" spans="64:96">
      <c r="BL149" s="2182"/>
      <c r="BO149" s="2180"/>
      <c r="CR149"/>
    </row>
    <row r="150" spans="64:96">
      <c r="CR150"/>
    </row>
    <row r="151" spans="64:96">
      <c r="CR151"/>
    </row>
    <row r="152" spans="64:96">
      <c r="CR152"/>
    </row>
    <row r="153" spans="64:96">
      <c r="CR153"/>
    </row>
    <row r="154" spans="64:96">
      <c r="CR154"/>
    </row>
    <row r="155" spans="64:96">
      <c r="CR155"/>
    </row>
    <row r="156" spans="64:96">
      <c r="CR156"/>
    </row>
    <row r="157" spans="64:96">
      <c r="CR157"/>
    </row>
    <row r="158" spans="64:96">
      <c r="CR158"/>
    </row>
    <row r="159" spans="64:96">
      <c r="CR159"/>
    </row>
    <row r="160" spans="64:96">
      <c r="CR160"/>
    </row>
    <row r="161" spans="96:96">
      <c r="CR161"/>
    </row>
    <row r="162" spans="96:96">
      <c r="CR162"/>
    </row>
    <row r="163" spans="96:96">
      <c r="CR163"/>
    </row>
    <row r="164" spans="96:96">
      <c r="CR164"/>
    </row>
    <row r="165" spans="96:96">
      <c r="CR165"/>
    </row>
    <row r="166" spans="96:96">
      <c r="CR166"/>
    </row>
    <row r="167" spans="96:96">
      <c r="CR167"/>
    </row>
    <row r="168" spans="96:96">
      <c r="CR168"/>
    </row>
    <row r="169" spans="96:96">
      <c r="CR169"/>
    </row>
    <row r="170" spans="96:96">
      <c r="CR170"/>
    </row>
    <row r="171" spans="96:96">
      <c r="CR171"/>
    </row>
    <row r="172" spans="96:96">
      <c r="CR172"/>
    </row>
    <row r="173" spans="96:96">
      <c r="CR173"/>
    </row>
    <row r="174" spans="96:96">
      <c r="CR174"/>
    </row>
    <row r="175" spans="96:96">
      <c r="CR175"/>
    </row>
    <row r="176" spans="96:96">
      <c r="CR176"/>
    </row>
    <row r="177" spans="96:96">
      <c r="CR177"/>
    </row>
    <row r="178" spans="96:96">
      <c r="CR178"/>
    </row>
    <row r="179" spans="96:96">
      <c r="CR179"/>
    </row>
    <row r="180" spans="96:96">
      <c r="CR180"/>
    </row>
    <row r="181" spans="96:96">
      <c r="CR181"/>
    </row>
    <row r="182" spans="96:96">
      <c r="CR182"/>
    </row>
    <row r="183" spans="96:96">
      <c r="CR183"/>
    </row>
    <row r="184" spans="96:96">
      <c r="CR184"/>
    </row>
    <row r="185" spans="96:96">
      <c r="CR185"/>
    </row>
    <row r="186" spans="96:96">
      <c r="CR186"/>
    </row>
    <row r="187" spans="96:96">
      <c r="CR187"/>
    </row>
    <row r="188" spans="96:96">
      <c r="CR188"/>
    </row>
    <row r="189" spans="96:96">
      <c r="CR189"/>
    </row>
    <row r="190" spans="96:96">
      <c r="CR190"/>
    </row>
    <row r="191" spans="96:96">
      <c r="CR191"/>
    </row>
    <row r="192" spans="96:96">
      <c r="CR192"/>
    </row>
    <row r="193" spans="96:96">
      <c r="CR193"/>
    </row>
    <row r="194" spans="96:96">
      <c r="CR194"/>
    </row>
    <row r="195" spans="96:96">
      <c r="CR195"/>
    </row>
    <row r="196" spans="96:96">
      <c r="CR196"/>
    </row>
    <row r="197" spans="96:96">
      <c r="CR197"/>
    </row>
    <row r="4810" collapsed="1"/>
  </sheetData>
  <phoneticPr fontId="6" type="noConversion"/>
  <pageMargins left="0" right="0" top="0" bottom="0" header="0" footer="0"/>
  <pageSetup paperSize="5" scale="51" orientation="landscape" r:id="rId1"/>
  <headerFooter alignWithMargins="0"/>
  <ignoredErrors>
    <ignoredError sqref="BF31 BM15:BR15 CE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HH421"/>
  <sheetViews>
    <sheetView zoomScaleNormal="100" zoomScaleSheetLayoutView="100" workbookViewId="0">
      <pane xSplit="1" ySplit="7" topLeftCell="B8" activePane="bottomRight" state="frozen"/>
      <selection activeCell="B7" sqref="B7"/>
      <selection pane="topRight" activeCell="B7" sqref="B7"/>
      <selection pane="bottomLeft" activeCell="B7" sqref="B7"/>
      <selection pane="bottomRight"/>
    </sheetView>
  </sheetViews>
  <sheetFormatPr defaultRowHeight="12.75" outlineLevelRow="1" outlineLevelCol="1"/>
  <cols>
    <col min="1" max="1" width="20.28515625" customWidth="1"/>
    <col min="2" max="2" width="0.85546875" customWidth="1"/>
    <col min="3" max="3" width="6.5703125" hidden="1" customWidth="1" outlineLevel="1"/>
    <col min="4" max="4" width="0.85546875" hidden="1" customWidth="1" outlineLevel="1"/>
    <col min="5" max="5" width="6.5703125" hidden="1" customWidth="1" outlineLevel="1"/>
    <col min="6" max="6" width="0.85546875" hidden="1" customWidth="1" outlineLevel="1"/>
    <col min="7" max="7" width="6.5703125" hidden="1" customWidth="1" outlineLevel="1"/>
    <col min="8" max="8" width="0.85546875" hidden="1" customWidth="1" outlineLevel="1"/>
    <col min="9" max="9" width="6.5703125" hidden="1" customWidth="1" outlineLevel="1"/>
    <col min="10" max="10" width="0.85546875" hidden="1" customWidth="1" outlineLevel="1"/>
    <col min="11" max="11" width="6.5703125" hidden="1" customWidth="1" outlineLevel="1"/>
    <col min="12" max="12" width="0.85546875" hidden="1" customWidth="1" outlineLevel="1"/>
    <col min="13" max="13" width="6.5703125" hidden="1" customWidth="1" outlineLevel="1"/>
    <col min="14" max="14" width="0.85546875" hidden="1" customWidth="1" outlineLevel="1"/>
    <col min="15" max="15" width="6.5703125" hidden="1" customWidth="1" outlineLevel="1"/>
    <col min="16" max="16" width="0.85546875" hidden="1" customWidth="1" outlineLevel="1"/>
    <col min="17" max="17" width="6.5703125" hidden="1" customWidth="1" outlineLevel="1"/>
    <col min="18" max="18" width="0.85546875" hidden="1" customWidth="1" outlineLevel="1"/>
    <col min="19" max="23" width="6.5703125" hidden="1" customWidth="1" outlineLevel="1"/>
    <col min="24" max="24" width="0.85546875" hidden="1" customWidth="1" outlineLevel="1"/>
    <col min="25" max="29" width="6.5703125" hidden="1" customWidth="1" outlineLevel="1"/>
    <col min="30" max="30" width="0.85546875" hidden="1" customWidth="1" outlineLevel="1"/>
    <col min="31" max="35" width="6.5703125" hidden="1" customWidth="1" outlineLevel="1"/>
    <col min="36" max="36" width="0.85546875" hidden="1" customWidth="1" outlineLevel="1"/>
    <col min="37" max="41" width="6.5703125" hidden="1" customWidth="1" outlineLevel="1"/>
    <col min="42" max="42" width="0.85546875" hidden="1" customWidth="1" outlineLevel="1"/>
    <col min="43" max="47" width="6.5703125" hidden="1" customWidth="1" outlineLevel="1"/>
    <col min="48" max="48" width="0.85546875" hidden="1" customWidth="1" outlineLevel="1"/>
    <col min="49" max="49" width="6.5703125" style="278" hidden="1" customWidth="1" outlineLevel="1"/>
    <col min="50" max="53" width="6.5703125" hidden="1" customWidth="1" outlineLevel="1"/>
    <col min="54" max="54" width="0.85546875" hidden="1" customWidth="1" outlineLevel="1"/>
    <col min="55" max="58" width="6.5703125" hidden="1" customWidth="1" outlineLevel="1"/>
    <col min="59" max="59" width="7.140625" customWidth="1" collapsed="1"/>
    <col min="60" max="60" width="0.85546875" customWidth="1"/>
    <col min="61" max="64" width="6.5703125" hidden="1" customWidth="1" outlineLevel="1"/>
    <col min="65" max="65" width="6.5703125" customWidth="1" collapsed="1"/>
    <col min="66" max="66" width="0.85546875" customWidth="1"/>
    <col min="67" max="70" width="6.5703125" hidden="1" customWidth="1" outlineLevel="1"/>
    <col min="71" max="71" width="6.85546875" customWidth="1" collapsed="1"/>
    <col min="72" max="72" width="0.85546875" customWidth="1"/>
    <col min="73" max="76" width="6.5703125" hidden="1" customWidth="1" outlineLevel="1"/>
    <col min="77" max="77" width="6.5703125" customWidth="1" collapsed="1"/>
    <col min="78" max="78" width="0.85546875" customWidth="1"/>
    <col min="79" max="82" width="6.5703125" hidden="1" customWidth="1" outlineLevel="1"/>
    <col min="83" max="83" width="6.5703125" customWidth="1" collapsed="1"/>
    <col min="84" max="84" width="0.85546875" customWidth="1"/>
    <col min="85" max="88" width="6.5703125" hidden="1" customWidth="1" outlineLevel="1"/>
    <col min="89" max="89" width="6.5703125" customWidth="1" collapsed="1"/>
    <col min="90" max="90" width="0.85546875" customWidth="1"/>
    <col min="91" max="94" width="6.5703125" customWidth="1" outlineLevel="1"/>
    <col min="95" max="95" width="6.5703125" customWidth="1"/>
    <col min="96" max="96" width="0.85546875" style="278" customWidth="1"/>
    <col min="97" max="100" width="6.5703125" customWidth="1" outlineLevel="1"/>
    <col min="101" max="101" width="6.5703125" customWidth="1"/>
    <col min="102" max="102" width="0.85546875" style="278" customWidth="1"/>
    <col min="103" max="106" width="6.5703125" hidden="1" customWidth="1" outlineLevel="1"/>
    <col min="107" max="107" width="6.5703125" customWidth="1" collapsed="1"/>
    <col min="108" max="108" width="0.85546875" style="278" customWidth="1"/>
    <col min="109" max="112" width="6.5703125" hidden="1" customWidth="1" outlineLevel="1"/>
    <col min="113" max="113" width="6.5703125" customWidth="1" collapsed="1"/>
    <col min="114" max="16384" width="9.140625" style="278"/>
  </cols>
  <sheetData>
    <row r="1" spans="1:216" ht="11.25" customHeight="1">
      <c r="A1" s="278"/>
      <c r="B1" s="278"/>
      <c r="C1" s="278"/>
      <c r="D1" s="278"/>
      <c r="E1" s="278"/>
      <c r="F1" s="278"/>
      <c r="G1" s="278"/>
      <c r="H1" s="278"/>
      <c r="I1" s="278"/>
      <c r="J1" s="278"/>
      <c r="K1" s="278"/>
      <c r="L1" s="278"/>
      <c r="M1" s="278"/>
      <c r="N1" s="278"/>
      <c r="O1" s="278"/>
      <c r="P1" s="278"/>
      <c r="Q1" s="278"/>
      <c r="AW1"/>
      <c r="BJ1" s="210" t="s">
        <v>420</v>
      </c>
      <c r="BK1" s="2211">
        <f>SUM(BI23:BK23)/SUM(BC23:BE23)-1</f>
        <v>3.7120044474772795E-2</v>
      </c>
      <c r="BL1" s="1616"/>
      <c r="BP1" s="210" t="s">
        <v>420</v>
      </c>
      <c r="BQ1" s="2211">
        <f>SUM(BO23:BQ23)/SUM(BI23:BK23)-1</f>
        <v>2.0696315537180432E-2</v>
      </c>
      <c r="BV1" s="210" t="s">
        <v>420</v>
      </c>
      <c r="BW1" s="2212">
        <f>(SUM(BU23:BW23)/SUM(BO23:BQ23)-1)-AVERAGE(BU27:BW27)</f>
        <v>-1.4008171690424689E-2</v>
      </c>
    </row>
    <row r="2" spans="1:216" ht="11.25" customHeight="1" collapsed="1">
      <c r="A2" s="770" t="s">
        <v>265</v>
      </c>
      <c r="B2" s="726"/>
      <c r="C2" s="25"/>
      <c r="D2" s="726"/>
      <c r="E2" s="25"/>
      <c r="F2" s="726"/>
      <c r="G2" s="25"/>
      <c r="H2" s="726"/>
      <c r="I2" s="25"/>
      <c r="J2" s="726"/>
      <c r="K2" s="25"/>
      <c r="L2" s="726"/>
      <c r="M2" s="25"/>
      <c r="N2" s="726"/>
      <c r="O2" s="25"/>
      <c r="P2" s="726"/>
      <c r="Q2" s="25"/>
      <c r="R2" s="726"/>
      <c r="S2" s="726"/>
      <c r="T2" s="726"/>
      <c r="U2" s="726"/>
      <c r="V2" s="726"/>
      <c r="W2" s="25"/>
      <c r="X2" s="726"/>
      <c r="Y2" s="726"/>
      <c r="Z2" s="726"/>
      <c r="AA2" s="726"/>
      <c r="AB2" s="726"/>
      <c r="AC2" s="25"/>
      <c r="AD2" s="726"/>
      <c r="AE2" s="726"/>
      <c r="AF2" s="726"/>
      <c r="AG2" s="726"/>
      <c r="AH2" s="726"/>
      <c r="AI2" s="25"/>
      <c r="AJ2" s="726"/>
      <c r="AK2" s="737"/>
      <c r="AL2" s="737"/>
      <c r="AM2" s="737"/>
      <c r="AN2" s="1552"/>
      <c r="AO2" s="25"/>
      <c r="AP2" s="726"/>
      <c r="AQ2" s="737"/>
      <c r="AR2" s="726"/>
      <c r="AS2" s="726"/>
      <c r="AT2" s="1554"/>
      <c r="AU2" s="1557"/>
      <c r="AV2" s="1558"/>
      <c r="AW2" s="1557"/>
      <c r="AX2" s="1557"/>
      <c r="AY2" s="1557"/>
      <c r="AZ2" s="1557"/>
      <c r="BA2" s="1557"/>
      <c r="BB2" s="1558"/>
      <c r="BC2" s="1558"/>
      <c r="BD2" s="1558"/>
      <c r="BE2" s="1558"/>
      <c r="BF2" s="1558"/>
      <c r="BG2" s="1557"/>
      <c r="BH2" s="1558"/>
      <c r="BI2" s="1558"/>
      <c r="BJ2" s="210" t="s">
        <v>418</v>
      </c>
      <c r="BK2" s="2211">
        <f>SUM(BI32:BK32)/SUM(BC32:BE32)-1</f>
        <v>5.0822247531237652E-2</v>
      </c>
      <c r="BL2" s="1616"/>
      <c r="BM2" s="1557"/>
      <c r="BN2" s="1558"/>
      <c r="BO2" s="1558"/>
      <c r="BP2" s="210" t="s">
        <v>418</v>
      </c>
      <c r="BQ2" s="2211">
        <f>SUM(BO32:BQ32)/SUM(BI32:BK32)-1</f>
        <v>-1.0408808595913865E-2</v>
      </c>
      <c r="BR2" s="1558"/>
      <c r="BS2" s="1557"/>
      <c r="BT2" s="1558"/>
      <c r="BU2" s="1558"/>
      <c r="BV2" s="210" t="s">
        <v>418</v>
      </c>
      <c r="BW2" s="2212">
        <f>(SUM(BU32:BW32)/SUM(BO32:BQ32)-1)-AVERAGE(BU36:BW36)-AVERAGE(BU37:BW37)</f>
        <v>7.6767933501071361E-2</v>
      </c>
      <c r="BX2" s="1559"/>
      <c r="BY2" s="1557"/>
      <c r="BZ2" s="1558"/>
      <c r="CA2" s="1558"/>
      <c r="CB2" s="1558"/>
      <c r="CC2" s="1558"/>
      <c r="CD2" s="1558"/>
      <c r="CE2" s="1557"/>
      <c r="CF2" s="1558"/>
      <c r="CG2" s="1558"/>
      <c r="CH2" s="1558"/>
      <c r="CI2" s="1558"/>
      <c r="CJ2" s="1558"/>
      <c r="CK2" s="1557"/>
      <c r="CL2" s="1558"/>
      <c r="CM2" s="1558"/>
      <c r="CN2" s="1558"/>
      <c r="CO2" s="1558"/>
      <c r="CP2" s="1558"/>
      <c r="CQ2" s="1557"/>
      <c r="CS2" s="1558"/>
      <c r="CT2" s="1558"/>
      <c r="CU2" s="1558"/>
      <c r="CV2" s="1558"/>
      <c r="CW2" s="1557"/>
      <c r="CY2" s="1558"/>
      <c r="CZ2" s="1558"/>
      <c r="DA2" s="1558"/>
      <c r="DB2" s="1558"/>
      <c r="DC2" s="1557"/>
      <c r="DE2" s="1558"/>
      <c r="DF2" s="1558"/>
      <c r="DG2" s="1558"/>
      <c r="DH2" s="1558"/>
      <c r="DI2" s="1557"/>
    </row>
    <row r="3" spans="1:216" ht="11.25" customHeight="1">
      <c r="A3" s="786" t="s">
        <v>245</v>
      </c>
      <c r="B3" s="726"/>
      <c r="C3" s="1552"/>
      <c r="D3" s="726"/>
      <c r="E3" s="1552"/>
      <c r="F3" s="726"/>
      <c r="G3" s="1552"/>
      <c r="H3" s="726"/>
      <c r="I3" s="1552"/>
      <c r="J3" s="726"/>
      <c r="K3" s="1552"/>
      <c r="L3" s="726"/>
      <c r="M3" s="1552"/>
      <c r="N3" s="726"/>
      <c r="O3" s="1552"/>
      <c r="P3" s="726"/>
      <c r="Q3" s="1552"/>
      <c r="R3" s="726"/>
      <c r="S3" s="726"/>
      <c r="T3" s="726"/>
      <c r="U3" s="726"/>
      <c r="V3" s="726"/>
      <c r="W3" s="1552"/>
      <c r="X3" s="726"/>
      <c r="Y3" s="726"/>
      <c r="Z3" s="726"/>
      <c r="AA3" s="726"/>
      <c r="AB3" s="726"/>
      <c r="AC3" s="1552"/>
      <c r="AD3" s="726"/>
      <c r="AE3" s="726"/>
      <c r="AF3" s="726"/>
      <c r="AG3" s="726"/>
      <c r="AH3" s="726"/>
      <c r="AI3" s="1552"/>
      <c r="AJ3" s="726"/>
      <c r="AK3" s="737"/>
      <c r="AL3" s="737"/>
      <c r="AM3" s="1368"/>
      <c r="AN3" s="1368"/>
      <c r="AO3" s="1552"/>
      <c r="AP3" s="726"/>
      <c r="AQ3" s="1368"/>
      <c r="AR3" s="726"/>
      <c r="AS3" s="1368"/>
      <c r="AT3" s="1368"/>
      <c r="AU3" s="1560"/>
      <c r="AV3" s="726"/>
      <c r="AW3" s="726"/>
      <c r="AX3" s="726"/>
      <c r="AY3" s="726"/>
      <c r="AZ3" s="1561"/>
      <c r="BA3" s="1552"/>
      <c r="BB3" s="726"/>
      <c r="BC3" s="1552"/>
      <c r="BD3" s="1552"/>
      <c r="BE3" s="1552"/>
      <c r="BF3" s="1552"/>
      <c r="BG3" s="1552"/>
      <c r="BH3" s="726"/>
      <c r="BI3" s="1552"/>
      <c r="BJ3" s="210" t="s">
        <v>419</v>
      </c>
      <c r="BK3" s="2211">
        <f>SUM(BI40:BK40)/SUM(BC40:BE40)-1</f>
        <v>-5.569544774648405E-2</v>
      </c>
      <c r="BL3" s="1616"/>
      <c r="BM3" s="1552"/>
      <c r="BN3" s="726"/>
      <c r="BO3" s="1552"/>
      <c r="BP3" s="210" t="s">
        <v>419</v>
      </c>
      <c r="BQ3" s="2211">
        <f>SUM(BO40:BQ40)/SUM(BI40:BK40)-1</f>
        <v>-1.2558051684265825E-2</v>
      </c>
      <c r="BR3" s="1552"/>
      <c r="BS3" s="1552"/>
      <c r="BT3" s="726"/>
      <c r="BU3" s="1552"/>
      <c r="BV3" s="210" t="s">
        <v>419</v>
      </c>
      <c r="BW3" s="2212">
        <f>(SUM(BU40:BW40)/SUM(BO40:BQ40)-1)-AVERAGE(BU44:BW44)</f>
        <v>-6.6851218428151254E-3</v>
      </c>
      <c r="BX3" s="1552"/>
      <c r="BY3" s="1552"/>
      <c r="BZ3" s="726"/>
      <c r="CA3" s="1552"/>
      <c r="CB3" s="1552"/>
      <c r="CC3" s="1552"/>
      <c r="CD3" s="1552"/>
      <c r="CE3" s="1552"/>
      <c r="CF3" s="726"/>
      <c r="CG3" s="1552"/>
      <c r="CH3" s="1552"/>
      <c r="CI3" s="1552"/>
      <c r="CJ3" s="1552"/>
      <c r="CK3" s="1552"/>
      <c r="CL3" s="726"/>
      <c r="CM3" s="1552"/>
      <c r="CN3" s="1552"/>
      <c r="CO3" s="1552"/>
      <c r="CP3" s="1552"/>
      <c r="CQ3" s="1552"/>
      <c r="CS3" s="1552"/>
      <c r="CT3" s="1552"/>
      <c r="CU3" s="1552"/>
      <c r="CV3" s="1552"/>
      <c r="CW3" s="1552"/>
      <c r="CY3" s="1552"/>
      <c r="CZ3" s="1552"/>
      <c r="DA3" s="1552"/>
      <c r="DB3" s="1552"/>
      <c r="DC3" s="1552"/>
      <c r="DE3" s="1552"/>
      <c r="DF3" s="1552"/>
      <c r="DG3" s="1552"/>
      <c r="DH3" s="1552"/>
      <c r="DI3" s="1552"/>
    </row>
    <row r="4" spans="1:216" ht="11.25" customHeight="1">
      <c r="A4" s="787" t="s">
        <v>1</v>
      </c>
      <c r="B4" s="1553"/>
      <c r="C4" s="1553"/>
      <c r="D4" s="1553"/>
      <c r="E4" s="1553"/>
      <c r="F4" s="1553"/>
      <c r="G4" s="1553"/>
      <c r="H4" s="1553"/>
      <c r="I4" s="1553"/>
      <c r="J4" s="1553"/>
      <c r="K4" s="1553"/>
      <c r="L4" s="1553"/>
      <c r="M4" s="1553"/>
      <c r="N4" s="1553"/>
      <c r="O4" s="1553"/>
      <c r="P4" s="1553"/>
      <c r="Q4" s="1553"/>
      <c r="R4" s="1553"/>
      <c r="S4" s="1553"/>
      <c r="T4" s="1553"/>
      <c r="U4" s="1553"/>
      <c r="V4" s="1553"/>
      <c r="W4" s="1553"/>
      <c r="X4" s="1553"/>
      <c r="Y4" s="1553"/>
      <c r="Z4" s="1553"/>
      <c r="AA4" s="1553"/>
      <c r="AB4" s="1553"/>
      <c r="AC4" s="1553"/>
      <c r="AD4" s="1553"/>
      <c r="AE4" s="1553"/>
      <c r="AF4" s="1553"/>
      <c r="AG4" s="1553"/>
      <c r="AH4" s="1553"/>
      <c r="AI4" s="1553"/>
      <c r="AJ4" s="1553"/>
      <c r="AK4" s="1562"/>
      <c r="AL4" s="1563"/>
      <c r="AM4" s="1563"/>
      <c r="AN4" s="1564"/>
      <c r="AO4" s="1565"/>
      <c r="AP4" s="1553"/>
      <c r="AQ4" s="1553"/>
      <c r="AR4" s="1566"/>
      <c r="AS4" s="1567"/>
      <c r="AT4" s="1553"/>
      <c r="AU4" s="1568"/>
      <c r="AV4" s="1553"/>
      <c r="AW4" s="1563"/>
      <c r="AX4" s="1553"/>
      <c r="AY4" s="1553"/>
      <c r="AZ4" s="1553"/>
      <c r="BA4" s="1553"/>
      <c r="BB4" s="1553"/>
      <c r="BC4" s="1553"/>
      <c r="BD4" s="1553"/>
      <c r="BE4" s="1553"/>
      <c r="BF4" s="1553"/>
      <c r="BG4" s="1553"/>
      <c r="BH4" s="1553"/>
      <c r="BI4" s="1553"/>
      <c r="BJ4" s="1553"/>
      <c r="BK4" s="1553"/>
      <c r="BL4" s="1553"/>
      <c r="BM4" s="1553"/>
      <c r="BN4" s="1553"/>
      <c r="BO4" s="1553"/>
      <c r="BP4" s="1553"/>
      <c r="BQ4" s="1553"/>
      <c r="BR4" s="1553"/>
      <c r="BS4" s="1553"/>
      <c r="BT4" s="1553"/>
      <c r="BU4" s="1553"/>
      <c r="BV4" s="1553"/>
      <c r="BW4" s="1553"/>
      <c r="BX4" s="1553"/>
      <c r="BY4" s="1553"/>
      <c r="BZ4" s="1553"/>
      <c r="CA4" s="1553"/>
      <c r="CB4" s="1553"/>
      <c r="CC4" s="1553"/>
      <c r="CD4" s="1553"/>
      <c r="CE4" s="1553"/>
      <c r="CF4" s="1553"/>
      <c r="CG4" s="1553"/>
      <c r="CH4" s="1553"/>
      <c r="CI4" s="1553"/>
      <c r="CJ4" s="1553"/>
      <c r="CK4" s="1553"/>
      <c r="CL4" s="1553"/>
      <c r="CM4" s="1553"/>
      <c r="CN4" s="1553"/>
      <c r="CO4" s="1553"/>
      <c r="CP4" s="1553"/>
      <c r="CQ4" s="1553"/>
      <c r="CS4" s="1553"/>
      <c r="CT4" s="1553"/>
      <c r="CU4" s="1553"/>
      <c r="CV4" s="1553"/>
      <c r="CW4" s="1553"/>
      <c r="CY4" s="1553"/>
      <c r="CZ4" s="1553"/>
      <c r="DA4" s="1553"/>
      <c r="DB4" s="1553"/>
      <c r="DC4" s="1553"/>
      <c r="DE4" s="1553"/>
      <c r="DF4" s="1553"/>
      <c r="DG4" s="1553"/>
      <c r="DH4" s="1553"/>
      <c r="DI4" s="1553"/>
    </row>
    <row r="5" spans="1:216" ht="11.25" customHeight="1" collapsed="1">
      <c r="A5" s="788" t="s">
        <v>2</v>
      </c>
      <c r="B5" s="726"/>
      <c r="C5" s="1554"/>
      <c r="D5" s="726"/>
      <c r="E5" s="1554"/>
      <c r="F5" s="726"/>
      <c r="G5" s="1554"/>
      <c r="H5" s="726"/>
      <c r="I5" s="1554"/>
      <c r="J5" s="726"/>
      <c r="K5" s="1554"/>
      <c r="L5" s="726"/>
      <c r="M5" s="1554"/>
      <c r="N5" s="726"/>
      <c r="O5" s="1554"/>
      <c r="P5" s="726"/>
      <c r="Q5" s="1554"/>
      <c r="R5" s="726"/>
      <c r="S5" s="726"/>
      <c r="T5" s="726"/>
      <c r="U5" s="726"/>
      <c r="V5" s="726"/>
      <c r="W5" s="1554"/>
      <c r="X5" s="726"/>
      <c r="Y5" s="726"/>
      <c r="Z5" s="726"/>
      <c r="AA5" s="726"/>
      <c r="AB5" s="726"/>
      <c r="AC5" s="1554"/>
      <c r="AD5" s="726"/>
      <c r="AE5" s="726"/>
      <c r="AF5" s="726"/>
      <c r="AG5" s="726"/>
      <c r="AH5" s="726"/>
      <c r="AI5" s="1554"/>
      <c r="AJ5" s="726"/>
      <c r="AK5" s="25"/>
      <c r="AL5" s="1569"/>
      <c r="AM5" s="1570"/>
      <c r="AN5" s="1570"/>
      <c r="AO5" s="1570"/>
      <c r="AP5" s="1570"/>
      <c r="AQ5" s="1570"/>
      <c r="AR5" s="1570"/>
      <c r="AS5" s="1570"/>
      <c r="AT5" s="1570"/>
      <c r="AU5" s="737"/>
      <c r="AV5" s="1570"/>
      <c r="AW5" s="1570"/>
      <c r="AX5" s="1571"/>
      <c r="AY5" s="1570"/>
      <c r="AZ5" s="1570"/>
      <c r="BA5" s="1570"/>
      <c r="BB5" s="1570"/>
      <c r="BC5" s="1552"/>
      <c r="BD5" s="1570"/>
      <c r="BE5" s="1570"/>
      <c r="BF5" s="1570"/>
      <c r="BG5" s="1570"/>
      <c r="BH5" s="1570"/>
      <c r="BI5" s="1552"/>
      <c r="BJ5" s="1570"/>
      <c r="BK5" s="1570"/>
      <c r="BL5" s="1570"/>
      <c r="BM5" s="1570"/>
      <c r="BN5" s="1570"/>
      <c r="BO5" s="1552"/>
      <c r="BP5" s="1570"/>
      <c r="BQ5" s="1570"/>
      <c r="BR5" s="1570"/>
      <c r="BS5" s="1570"/>
      <c r="BT5" s="1570"/>
      <c r="BU5" s="1903"/>
      <c r="BV5" s="1343"/>
      <c r="BW5" s="1343"/>
      <c r="BX5" s="1570"/>
      <c r="BY5" s="1867"/>
      <c r="BZ5" s="1570"/>
      <c r="CA5" s="1552"/>
      <c r="CB5" s="1570"/>
      <c r="CC5" s="1570"/>
      <c r="CD5" s="1570"/>
      <c r="CE5" s="1570"/>
      <c r="CF5" s="1570"/>
      <c r="CG5" s="1552"/>
      <c r="CH5" s="1570"/>
      <c r="CI5" s="1570"/>
      <c r="CJ5" s="1570"/>
      <c r="CK5" s="1570"/>
      <c r="CL5" s="1570"/>
      <c r="CM5" s="1552"/>
      <c r="CN5" s="1570"/>
      <c r="CO5" s="1570"/>
      <c r="CP5" s="1570"/>
      <c r="CQ5" s="1570"/>
      <c r="CS5" s="1552"/>
      <c r="CT5" s="1570"/>
      <c r="CU5" s="1570"/>
      <c r="CV5" s="1570"/>
      <c r="CW5" s="1570"/>
      <c r="CY5" s="1552"/>
      <c r="CZ5" s="1570"/>
      <c r="DA5" s="1570"/>
      <c r="DB5" s="1570"/>
      <c r="DC5" s="1570"/>
      <c r="DE5" s="1552"/>
      <c r="DF5" s="1570"/>
      <c r="DG5" s="1570"/>
      <c r="DH5" s="1570"/>
      <c r="DI5" s="1570"/>
    </row>
    <row r="6" spans="1:216" s="1106" customFormat="1" ht="11.25" customHeight="1">
      <c r="A6" s="1555" t="s">
        <v>361</v>
      </c>
      <c r="B6" s="730"/>
      <c r="C6" s="1128">
        <v>1998</v>
      </c>
      <c r="D6" s="1129"/>
      <c r="E6" s="1128">
        <f>C6+1</f>
        <v>1999</v>
      </c>
      <c r="F6" s="1129"/>
      <c r="G6" s="1128">
        <f>E6+1</f>
        <v>2000</v>
      </c>
      <c r="H6" s="1129"/>
      <c r="I6" s="1128">
        <f>G6+1</f>
        <v>2001</v>
      </c>
      <c r="J6" s="1129"/>
      <c r="K6" s="1128">
        <f>I6+1</f>
        <v>2002</v>
      </c>
      <c r="L6" s="1129"/>
      <c r="M6" s="1128">
        <f>K6+1</f>
        <v>2003</v>
      </c>
      <c r="N6" s="1129"/>
      <c r="O6" s="1128">
        <f>M6+1</f>
        <v>2004</v>
      </c>
      <c r="P6" s="1129"/>
      <c r="Q6" s="1128">
        <f>O6+1</f>
        <v>2005</v>
      </c>
      <c r="R6" s="795"/>
      <c r="S6" s="1130" t="s">
        <v>21</v>
      </c>
      <c r="T6" s="1131"/>
      <c r="U6" s="1131"/>
      <c r="V6" s="1131"/>
      <c r="W6" s="1128">
        <f>Q6+1</f>
        <v>2006</v>
      </c>
      <c r="X6" s="768"/>
      <c r="Y6" s="1130">
        <v>2007</v>
      </c>
      <c r="Z6" s="1131"/>
      <c r="AA6" s="1131"/>
      <c r="AB6" s="1131"/>
      <c r="AC6" s="1128">
        <f>W6+1</f>
        <v>2007</v>
      </c>
      <c r="AD6" s="790"/>
      <c r="AE6" s="1130">
        <f>Y6+1</f>
        <v>2008</v>
      </c>
      <c r="AF6" s="1131"/>
      <c r="AG6" s="1131"/>
      <c r="AH6" s="1131"/>
      <c r="AI6" s="1128">
        <f>AC6+1</f>
        <v>2008</v>
      </c>
      <c r="AJ6" s="1132"/>
      <c r="AK6" s="1130">
        <f>AE6+1</f>
        <v>2009</v>
      </c>
      <c r="AL6" s="1131"/>
      <c r="AM6" s="1131"/>
      <c r="AN6" s="1131"/>
      <c r="AO6" s="1128">
        <f>AI6+1</f>
        <v>2009</v>
      </c>
      <c r="AP6" s="1132"/>
      <c r="AQ6" s="1130">
        <f>AK6+1</f>
        <v>2010</v>
      </c>
      <c r="AR6" s="1131"/>
      <c r="AS6" s="1131"/>
      <c r="AT6" s="1131"/>
      <c r="AU6" s="1128">
        <f>AO6+1</f>
        <v>2010</v>
      </c>
      <c r="AV6" s="1132"/>
      <c r="AW6" s="1130">
        <f>AQ6+1</f>
        <v>2011</v>
      </c>
      <c r="AX6" s="1131"/>
      <c r="AY6" s="1131"/>
      <c r="AZ6" s="1131"/>
      <c r="BA6" s="1128">
        <f>AU6+1</f>
        <v>2011</v>
      </c>
      <c r="BB6" s="1132"/>
      <c r="BC6" s="1130">
        <f>AW6+1</f>
        <v>2012</v>
      </c>
      <c r="BD6" s="1131"/>
      <c r="BE6" s="1131"/>
      <c r="BF6" s="1131"/>
      <c r="BG6" s="1128">
        <f>BA6+1</f>
        <v>2012</v>
      </c>
      <c r="BH6" s="1132"/>
      <c r="BI6" s="1130">
        <f>BC6+1</f>
        <v>2013</v>
      </c>
      <c r="BJ6" s="1131"/>
      <c r="BK6" s="1131"/>
      <c r="BL6" s="1131"/>
      <c r="BM6" s="1128">
        <f>BG6+1</f>
        <v>2013</v>
      </c>
      <c r="BN6" s="1132"/>
      <c r="BO6" s="1130">
        <f>BI6+1</f>
        <v>2014</v>
      </c>
      <c r="BP6" s="1131"/>
      <c r="BQ6" s="1131"/>
      <c r="BR6" s="1131"/>
      <c r="BS6" s="1128">
        <f>BM6+1</f>
        <v>2014</v>
      </c>
      <c r="BT6" s="1132"/>
      <c r="BU6" s="1130">
        <f>BO6+1</f>
        <v>2015</v>
      </c>
      <c r="BV6" s="1131"/>
      <c r="BW6" s="1131"/>
      <c r="BX6" s="1131"/>
      <c r="BY6" s="1128">
        <f>BS6+1</f>
        <v>2015</v>
      </c>
      <c r="BZ6" s="1132"/>
      <c r="CA6" s="1130">
        <f>BU6+1</f>
        <v>2016</v>
      </c>
      <c r="CB6" s="1131"/>
      <c r="CC6" s="1131"/>
      <c r="CD6" s="1131"/>
      <c r="CE6" s="1128">
        <f>BY6+1</f>
        <v>2016</v>
      </c>
      <c r="CF6" s="1132"/>
      <c r="CG6" s="1130" t="s">
        <v>575</v>
      </c>
      <c r="CH6" s="1131"/>
      <c r="CI6" s="1131"/>
      <c r="CJ6" s="1131"/>
      <c r="CK6" s="1128">
        <f>CE6+1</f>
        <v>2017</v>
      </c>
      <c r="CL6" s="1132"/>
      <c r="CM6" s="1133" t="s">
        <v>315</v>
      </c>
      <c r="CN6" s="1131"/>
      <c r="CO6" s="1131"/>
      <c r="CP6" s="1237"/>
      <c r="CQ6" s="1134">
        <f>CK6+1</f>
        <v>2018</v>
      </c>
      <c r="CR6" s="610"/>
      <c r="CS6" s="1133" t="s">
        <v>316</v>
      </c>
      <c r="CT6" s="1131"/>
      <c r="CU6" s="1131"/>
      <c r="CV6" s="1237"/>
      <c r="CW6" s="1134">
        <f>CQ6+1</f>
        <v>2019</v>
      </c>
      <c r="CX6" s="610"/>
      <c r="CY6" s="1133" t="s">
        <v>317</v>
      </c>
      <c r="CZ6" s="1131"/>
      <c r="DA6" s="1131"/>
      <c r="DB6" s="1237"/>
      <c r="DC6" s="1134">
        <f>CW6+1</f>
        <v>2020</v>
      </c>
      <c r="DD6" s="610"/>
      <c r="DE6" s="1133" t="s">
        <v>367</v>
      </c>
      <c r="DF6" s="1131"/>
      <c r="DG6" s="1131"/>
      <c r="DH6" s="1237"/>
      <c r="DI6" s="1134">
        <f>DC6+1</f>
        <v>2021</v>
      </c>
      <c r="DJ6" s="610"/>
      <c r="DK6" s="610"/>
      <c r="DL6" s="610"/>
      <c r="DM6" s="610"/>
      <c r="DN6" s="610"/>
      <c r="DO6" s="610"/>
      <c r="DP6" s="610"/>
      <c r="DQ6" s="610"/>
      <c r="DR6" s="610"/>
      <c r="DS6" s="610"/>
      <c r="DT6" s="610"/>
      <c r="DU6" s="610"/>
      <c r="DV6" s="610"/>
      <c r="DW6" s="610"/>
      <c r="DX6" s="610"/>
      <c r="DY6" s="610"/>
      <c r="DZ6" s="610"/>
      <c r="EA6" s="610"/>
      <c r="EB6" s="610"/>
      <c r="EC6" s="610"/>
      <c r="ED6" s="610"/>
      <c r="EE6" s="610"/>
      <c r="EF6" s="610"/>
      <c r="EG6" s="610"/>
      <c r="EH6" s="610"/>
      <c r="EI6" s="610"/>
      <c r="EJ6" s="610"/>
      <c r="EK6" s="610"/>
      <c r="EL6" s="610"/>
      <c r="EM6" s="610"/>
      <c r="EN6" s="610"/>
      <c r="EO6" s="610"/>
      <c r="EP6" s="610"/>
      <c r="EQ6" s="610"/>
      <c r="ER6" s="610"/>
      <c r="ES6" s="610"/>
      <c r="ET6" s="610"/>
      <c r="EU6" s="610"/>
      <c r="EV6" s="610"/>
      <c r="EW6" s="610"/>
      <c r="EX6" s="610"/>
      <c r="EY6" s="610"/>
      <c r="EZ6" s="610"/>
      <c r="FA6" s="610"/>
      <c r="FB6" s="610"/>
      <c r="FC6" s="610"/>
      <c r="FD6" s="610"/>
      <c r="FE6" s="610"/>
      <c r="FF6" s="610"/>
      <c r="FG6" s="610"/>
      <c r="FH6" s="610"/>
      <c r="FI6" s="610"/>
      <c r="FJ6" s="610"/>
      <c r="FK6" s="610"/>
      <c r="FL6" s="610"/>
      <c r="FM6" s="610"/>
      <c r="FN6" s="610"/>
      <c r="FO6" s="610"/>
      <c r="FP6" s="610"/>
      <c r="FQ6" s="610"/>
      <c r="FR6" s="610"/>
      <c r="FS6" s="610"/>
      <c r="FT6" s="610"/>
      <c r="FU6" s="610"/>
      <c r="FV6" s="610"/>
      <c r="FW6" s="610"/>
      <c r="FX6" s="610"/>
      <c r="FY6" s="610"/>
      <c r="FZ6" s="610"/>
      <c r="GA6" s="610"/>
      <c r="GB6" s="610"/>
      <c r="GC6" s="610"/>
      <c r="GD6" s="610"/>
      <c r="GE6" s="610"/>
      <c r="GF6" s="610"/>
      <c r="GG6" s="610"/>
      <c r="GH6" s="610"/>
      <c r="GI6" s="610"/>
      <c r="GJ6" s="610"/>
      <c r="GK6" s="610"/>
      <c r="GL6" s="610"/>
      <c r="GM6" s="610"/>
      <c r="GN6" s="610"/>
      <c r="GO6" s="610"/>
      <c r="GP6" s="610"/>
      <c r="GQ6" s="610"/>
      <c r="GR6" s="610"/>
      <c r="GS6" s="610"/>
      <c r="GT6" s="610"/>
      <c r="GU6" s="610"/>
      <c r="GV6" s="610"/>
      <c r="GW6" s="610"/>
      <c r="GX6" s="610"/>
      <c r="GY6" s="610"/>
      <c r="GZ6" s="610"/>
      <c r="HA6" s="610"/>
      <c r="HB6" s="610"/>
      <c r="HC6" s="610"/>
      <c r="HD6" s="610"/>
      <c r="HE6" s="610"/>
      <c r="HF6" s="610"/>
      <c r="HG6" s="610"/>
      <c r="HH6" s="610"/>
    </row>
    <row r="7" spans="1:216" ht="11.25" customHeight="1" collapsed="1">
      <c r="A7" s="1556"/>
      <c r="B7" s="582"/>
      <c r="C7" s="1370"/>
      <c r="D7" s="582"/>
      <c r="E7" s="1370"/>
      <c r="F7" s="582"/>
      <c r="G7" s="1370"/>
      <c r="H7" s="582"/>
      <c r="I7" s="1370"/>
      <c r="J7" s="582"/>
      <c r="K7" s="1370"/>
      <c r="L7" s="582"/>
      <c r="M7" s="1370"/>
      <c r="N7" s="582"/>
      <c r="O7" s="1370"/>
      <c r="P7" s="582"/>
      <c r="Q7" s="1370"/>
      <c r="R7" s="800"/>
      <c r="S7" s="1115">
        <v>38807</v>
      </c>
      <c r="T7" s="1115">
        <v>38898</v>
      </c>
      <c r="U7" s="1115">
        <v>38990</v>
      </c>
      <c r="V7" s="1115">
        <v>39082</v>
      </c>
      <c r="W7" s="1572"/>
      <c r="X7" s="1117"/>
      <c r="Y7" s="1115">
        <v>39172</v>
      </c>
      <c r="Z7" s="1115">
        <v>39263</v>
      </c>
      <c r="AA7" s="1115">
        <v>39355</v>
      </c>
      <c r="AB7" s="1115">
        <v>39447</v>
      </c>
      <c r="AC7" s="1572"/>
      <c r="AD7" s="1117"/>
      <c r="AE7" s="1115">
        <v>39538</v>
      </c>
      <c r="AF7" s="1115">
        <v>39629</v>
      </c>
      <c r="AG7" s="1115">
        <v>39721</v>
      </c>
      <c r="AH7" s="1115">
        <v>39813</v>
      </c>
      <c r="AI7" s="1572"/>
      <c r="AJ7" s="1117"/>
      <c r="AK7" s="1115">
        <v>39903</v>
      </c>
      <c r="AL7" s="1115">
        <v>39994</v>
      </c>
      <c r="AM7" s="1115">
        <v>40086</v>
      </c>
      <c r="AN7" s="1115">
        <v>40178</v>
      </c>
      <c r="AO7" s="1572"/>
      <c r="AP7" s="1118"/>
      <c r="AQ7" s="1115">
        <v>40268</v>
      </c>
      <c r="AR7" s="1115">
        <v>40359</v>
      </c>
      <c r="AS7" s="1115">
        <v>40451</v>
      </c>
      <c r="AT7" s="1115">
        <v>40543</v>
      </c>
      <c r="AU7" s="1116"/>
      <c r="AV7" s="1118"/>
      <c r="AW7" s="1115">
        <v>40633</v>
      </c>
      <c r="AX7" s="1115">
        <v>40724</v>
      </c>
      <c r="AY7" s="1115">
        <v>40816</v>
      </c>
      <c r="AZ7" s="1115">
        <v>40908</v>
      </c>
      <c r="BA7" s="1116"/>
      <c r="BB7" s="1118"/>
      <c r="BC7" s="731">
        <v>40999</v>
      </c>
      <c r="BD7" s="731">
        <v>41090</v>
      </c>
      <c r="BE7" s="808">
        <f>AY7+365</f>
        <v>41181</v>
      </c>
      <c r="BF7" s="809">
        <f>AZ7+365</f>
        <v>41273</v>
      </c>
      <c r="BG7" s="581"/>
      <c r="BH7" s="802"/>
      <c r="BI7" s="808">
        <f>BC7+365</f>
        <v>41364</v>
      </c>
      <c r="BJ7" s="808">
        <f>BD7+365</f>
        <v>41455</v>
      </c>
      <c r="BK7" s="808">
        <f>BE7+365</f>
        <v>41546</v>
      </c>
      <c r="BL7" s="809">
        <f>BF7+365</f>
        <v>41638</v>
      </c>
      <c r="BM7" s="581"/>
      <c r="BN7" s="803"/>
      <c r="BO7" s="808">
        <f>BI7+365</f>
        <v>41729</v>
      </c>
      <c r="BP7" s="808">
        <f>BJ7+365</f>
        <v>41820</v>
      </c>
      <c r="BQ7" s="808">
        <f>BK7+365</f>
        <v>41911</v>
      </c>
      <c r="BR7" s="809">
        <f>BL7+365</f>
        <v>42003</v>
      </c>
      <c r="BS7" s="581"/>
      <c r="BT7" s="803"/>
      <c r="BU7" s="808">
        <f>BO7+365</f>
        <v>42094</v>
      </c>
      <c r="BV7" s="808">
        <f>BP7+365</f>
        <v>42185</v>
      </c>
      <c r="BW7" s="808">
        <f>BQ7+365</f>
        <v>42276</v>
      </c>
      <c r="BX7" s="809">
        <f>BR7+365</f>
        <v>42368</v>
      </c>
      <c r="BY7" s="581"/>
      <c r="BZ7" s="803"/>
      <c r="CA7" s="808">
        <f>BU7+365</f>
        <v>42459</v>
      </c>
      <c r="CB7" s="808">
        <f>BV7+365</f>
        <v>42550</v>
      </c>
      <c r="CC7" s="808">
        <f>BW7+365</f>
        <v>42641</v>
      </c>
      <c r="CD7" s="809">
        <f>BX7+365</f>
        <v>42733</v>
      </c>
      <c r="CE7" s="581"/>
      <c r="CF7" s="803"/>
      <c r="CG7" s="808">
        <f>CA7+365</f>
        <v>42824</v>
      </c>
      <c r="CH7" s="808">
        <f>CB7+365</f>
        <v>42915</v>
      </c>
      <c r="CI7" s="808">
        <f>CC7+365</f>
        <v>43006</v>
      </c>
      <c r="CJ7" s="809">
        <f>CD7+365</f>
        <v>43098</v>
      </c>
      <c r="CK7" s="581"/>
      <c r="CL7" s="803"/>
      <c r="CM7" s="805">
        <f>CG7+365</f>
        <v>43189</v>
      </c>
      <c r="CN7" s="806">
        <f>CH7+365</f>
        <v>43280</v>
      </c>
      <c r="CO7" s="806">
        <f>CI7+365</f>
        <v>43371</v>
      </c>
      <c r="CP7" s="807">
        <f>CJ7+365</f>
        <v>43463</v>
      </c>
      <c r="CQ7" s="581"/>
      <c r="CS7" s="805">
        <f>CM7+365</f>
        <v>43554</v>
      </c>
      <c r="CT7" s="806">
        <f>CN7+365</f>
        <v>43645</v>
      </c>
      <c r="CU7" s="806">
        <f>CO7+365</f>
        <v>43736</v>
      </c>
      <c r="CV7" s="807">
        <f>CP7+365</f>
        <v>43828</v>
      </c>
      <c r="CW7" s="581"/>
      <c r="CY7" s="805">
        <f>CS7+365</f>
        <v>43919</v>
      </c>
      <c r="CZ7" s="806">
        <f>CT7+365</f>
        <v>44010</v>
      </c>
      <c r="DA7" s="806">
        <f>CU7+365</f>
        <v>44101</v>
      </c>
      <c r="DB7" s="807">
        <f>CV7+365</f>
        <v>44193</v>
      </c>
      <c r="DC7" s="581"/>
      <c r="DE7" s="805">
        <f>CY7+365</f>
        <v>44284</v>
      </c>
      <c r="DF7" s="806">
        <f>CZ7+365</f>
        <v>44375</v>
      </c>
      <c r="DG7" s="806">
        <f>DA7+365</f>
        <v>44466</v>
      </c>
      <c r="DH7" s="807">
        <f>DB7+365</f>
        <v>44558</v>
      </c>
      <c r="DI7" s="581"/>
    </row>
    <row r="8" spans="1:216" s="355" customFormat="1" ht="11.25" hidden="1" customHeight="1" outlineLevel="1">
      <c r="A8" s="476" t="s">
        <v>326</v>
      </c>
      <c r="B8" s="905"/>
      <c r="C8" s="906"/>
      <c r="D8" s="905"/>
      <c r="E8" s="906"/>
      <c r="F8" s="905"/>
      <c r="G8" s="906"/>
      <c r="H8" s="905"/>
      <c r="I8" s="906"/>
      <c r="J8" s="905"/>
      <c r="K8" s="906"/>
      <c r="L8" s="905"/>
      <c r="M8" s="906"/>
      <c r="N8" s="905"/>
      <c r="O8" s="906"/>
      <c r="P8" s="905"/>
      <c r="Q8" s="906"/>
      <c r="R8" s="905"/>
      <c r="S8" s="907"/>
      <c r="T8" s="905"/>
      <c r="U8" s="905"/>
      <c r="V8" s="905"/>
      <c r="W8" s="906"/>
      <c r="X8" s="905"/>
      <c r="Y8" s="907"/>
      <c r="Z8" s="905"/>
      <c r="AA8" s="905"/>
      <c r="AB8" s="905"/>
      <c r="AC8" s="906"/>
      <c r="AD8" s="905"/>
      <c r="AE8" s="907"/>
      <c r="AF8" s="905"/>
      <c r="AG8" s="905"/>
      <c r="AH8" s="905"/>
      <c r="AI8" s="906"/>
      <c r="AJ8" s="905"/>
      <c r="AK8" s="907"/>
      <c r="AL8" s="905"/>
      <c r="AM8" s="905"/>
      <c r="AN8" s="908"/>
      <c r="AO8" s="906"/>
      <c r="AP8" s="905"/>
      <c r="AQ8" s="907"/>
      <c r="AR8" s="905"/>
      <c r="AS8" s="905"/>
      <c r="AT8" s="908"/>
      <c r="AU8" s="906"/>
      <c r="AV8" s="905"/>
      <c r="AW8" s="907"/>
      <c r="AX8" s="905"/>
      <c r="AY8" s="905"/>
      <c r="AZ8" s="908"/>
      <c r="BA8" s="906"/>
      <c r="BB8" s="905"/>
      <c r="BC8" s="907"/>
      <c r="BD8" s="905"/>
      <c r="BE8" s="905"/>
      <c r="BF8" s="908"/>
      <c r="BG8" s="906"/>
      <c r="BH8" s="905"/>
      <c r="BI8" s="907"/>
      <c r="BJ8" s="905"/>
      <c r="BK8" s="905"/>
      <c r="BL8" s="908"/>
      <c r="BM8" s="906"/>
      <c r="BN8" s="905"/>
      <c r="BO8" s="907"/>
      <c r="BP8" s="905"/>
      <c r="BQ8" s="905"/>
      <c r="BR8" s="908"/>
      <c r="BS8" s="906"/>
      <c r="BT8" s="905"/>
      <c r="BU8" s="907"/>
      <c r="BV8" s="905"/>
      <c r="BW8" s="905"/>
      <c r="BX8" s="908"/>
      <c r="BY8" s="906"/>
      <c r="BZ8" s="905"/>
      <c r="CA8" s="907"/>
      <c r="CB8" s="905"/>
      <c r="CC8" s="905"/>
      <c r="CD8" s="908"/>
      <c r="CE8" s="906"/>
      <c r="CF8" s="905"/>
      <c r="CG8" s="907"/>
      <c r="CH8" s="905"/>
      <c r="CI8" s="905"/>
      <c r="CJ8" s="908"/>
      <c r="CK8" s="906"/>
      <c r="CL8" s="905"/>
      <c r="CM8" s="907"/>
      <c r="CN8" s="905"/>
      <c r="CO8" s="905"/>
      <c r="CP8" s="908"/>
      <c r="CQ8" s="1986"/>
      <c r="CR8" s="1987"/>
      <c r="CS8" s="1988"/>
      <c r="CT8" s="1989"/>
      <c r="CU8" s="1989"/>
      <c r="CV8" s="1990"/>
      <c r="CW8" s="1986"/>
      <c r="CX8" s="1987"/>
      <c r="CY8" s="1988"/>
      <c r="CZ8" s="1989"/>
      <c r="DA8" s="1989"/>
      <c r="DB8" s="1990"/>
      <c r="DC8" s="1986"/>
      <c r="DD8" s="1987"/>
      <c r="DE8" s="1988"/>
      <c r="DF8" s="1989"/>
      <c r="DG8" s="1989"/>
      <c r="DH8" s="1990"/>
      <c r="DI8" s="1986"/>
    </row>
    <row r="9" spans="1:216" s="69" customFormat="1" ht="11.25" hidden="1" customHeight="1" outlineLevel="1">
      <c r="A9" s="825" t="s">
        <v>473</v>
      </c>
      <c r="B9" s="487"/>
      <c r="C9" s="824"/>
      <c r="D9" s="487"/>
      <c r="E9" s="824"/>
      <c r="F9" s="487"/>
      <c r="G9" s="824"/>
      <c r="H9" s="487"/>
      <c r="I9" s="824"/>
      <c r="J9" s="487"/>
      <c r="K9" s="824"/>
      <c r="L9" s="487"/>
      <c r="M9" s="824"/>
      <c r="N9" s="487"/>
      <c r="O9" s="824"/>
      <c r="P9" s="487"/>
      <c r="Q9" s="824"/>
      <c r="R9" s="487"/>
      <c r="S9" s="825"/>
      <c r="T9" s="487"/>
      <c r="U9" s="487"/>
      <c r="V9" s="487"/>
      <c r="W9" s="824"/>
      <c r="X9" s="487"/>
      <c r="Y9" s="825"/>
      <c r="Z9" s="487"/>
      <c r="AA9" s="487"/>
      <c r="AB9" s="487"/>
      <c r="AC9" s="862">
        <f>AC53</f>
        <v>1000.9</v>
      </c>
      <c r="AD9" s="487"/>
      <c r="AE9" s="197">
        <f>AE53</f>
        <v>230.50000000000003</v>
      </c>
      <c r="AF9" s="452">
        <f>AF53</f>
        <v>303</v>
      </c>
      <c r="AG9" s="452">
        <f>AG53</f>
        <v>233.8</v>
      </c>
      <c r="AH9" s="452">
        <f>AH53</f>
        <v>306.79999999999995</v>
      </c>
      <c r="AI9" s="862">
        <f>AI53</f>
        <v>1074.0999999999999</v>
      </c>
      <c r="AJ9" s="487"/>
      <c r="AK9" s="197">
        <f>AK53</f>
        <v>223.6</v>
      </c>
      <c r="AL9" s="452">
        <f>AL53</f>
        <v>241.3</v>
      </c>
      <c r="AM9" s="452">
        <f>AM53</f>
        <v>251.6</v>
      </c>
      <c r="AN9" s="452">
        <f>AN53</f>
        <v>346.20000000000005</v>
      </c>
      <c r="AO9" s="862">
        <f>AO53</f>
        <v>1062.7</v>
      </c>
      <c r="AP9" s="487"/>
      <c r="AQ9" s="197">
        <f>AQ53</f>
        <v>260.3</v>
      </c>
      <c r="AR9" s="452">
        <f>AR53</f>
        <v>284.89999999999998</v>
      </c>
      <c r="AS9" s="452">
        <f>AS53</f>
        <v>290.5</v>
      </c>
      <c r="AT9" s="452">
        <f>AT53</f>
        <v>389.40000000000009</v>
      </c>
      <c r="AU9" s="862">
        <f>AU53</f>
        <v>1225.1000000000001</v>
      </c>
      <c r="AV9" s="487"/>
      <c r="AW9" s="197">
        <f>AW53</f>
        <v>335.8</v>
      </c>
      <c r="AX9" s="452">
        <f>AX53</f>
        <v>377.9</v>
      </c>
      <c r="AY9" s="452">
        <f>AY53</f>
        <v>394.59999999999997</v>
      </c>
      <c r="AZ9" s="452">
        <f>AZ53</f>
        <v>445.80000000000013</v>
      </c>
      <c r="BA9" s="862">
        <f>BA53</f>
        <v>1554.1000000000001</v>
      </c>
      <c r="BB9" s="452"/>
      <c r="BC9" s="197">
        <f>BC53</f>
        <v>378.1</v>
      </c>
      <c r="BD9" s="452">
        <f>BD53</f>
        <v>397</v>
      </c>
      <c r="BE9" s="452">
        <f>BE53</f>
        <v>408.9</v>
      </c>
      <c r="BF9" s="452">
        <f>BF53</f>
        <v>482.09999999999997</v>
      </c>
      <c r="BG9" s="862">
        <f>BG53</f>
        <v>1666.1</v>
      </c>
      <c r="BH9" s="487"/>
      <c r="BI9" s="197">
        <f>BI53</f>
        <v>366.3</v>
      </c>
      <c r="BJ9" s="452">
        <f>BJ53</f>
        <v>421.6</v>
      </c>
      <c r="BK9" s="452">
        <f>BK53</f>
        <v>410.6</v>
      </c>
      <c r="BL9" s="452">
        <f>BL53</f>
        <v>511</v>
      </c>
      <c r="BM9" s="862">
        <f>BM53</f>
        <v>1709.5</v>
      </c>
      <c r="BN9" s="487"/>
      <c r="BO9" s="197">
        <f>BO53</f>
        <v>393.9</v>
      </c>
      <c r="BP9" s="452">
        <f>BP53</f>
        <v>421.5</v>
      </c>
      <c r="BQ9" s="452">
        <f>BQ53</f>
        <v>383.4</v>
      </c>
      <c r="BR9" s="452">
        <f>BR53</f>
        <v>475.80000000000013</v>
      </c>
      <c r="BS9" s="862">
        <f>BS53</f>
        <v>1674.6000000000001</v>
      </c>
      <c r="BT9" s="487"/>
      <c r="BU9" s="197">
        <f>BU53</f>
        <v>327.5</v>
      </c>
      <c r="BV9" s="452">
        <f>BV53</f>
        <v>366.2</v>
      </c>
      <c r="BW9" s="452">
        <f>BW53</f>
        <v>366.6</v>
      </c>
      <c r="BX9" s="452">
        <f>BX53</f>
        <v>439.11708464882065</v>
      </c>
      <c r="BY9" s="862">
        <f>BY53</f>
        <v>1499.4170846488209</v>
      </c>
      <c r="BZ9" s="487"/>
      <c r="CA9" s="197">
        <f>CA53</f>
        <v>350.4</v>
      </c>
      <c r="CB9" s="452">
        <f>CB53</f>
        <v>345.70000000000005</v>
      </c>
      <c r="CC9" s="452">
        <f>CC53</f>
        <v>361.5</v>
      </c>
      <c r="CD9" s="452">
        <f>CD53</f>
        <v>434.99999999999983</v>
      </c>
      <c r="CE9" s="862">
        <f>CE53</f>
        <v>1492.5999999999997</v>
      </c>
      <c r="CF9" s="487"/>
      <c r="CG9" s="197">
        <f>CG53</f>
        <v>346.4</v>
      </c>
      <c r="CH9" s="452">
        <f>CH53</f>
        <v>362.5</v>
      </c>
      <c r="CI9" s="452">
        <f>CI53</f>
        <v>390.59999999999997</v>
      </c>
      <c r="CJ9" s="452">
        <f>CJ53</f>
        <v>484.21170345203603</v>
      </c>
      <c r="CK9" s="862">
        <f>CK53</f>
        <v>1583.7117034520361</v>
      </c>
      <c r="CL9" s="487"/>
      <c r="CM9" s="197">
        <f>CM53</f>
        <v>383.11704594178946</v>
      </c>
      <c r="CN9" s="452">
        <f>CN53</f>
        <v>387.56295915593341</v>
      </c>
      <c r="CO9" s="452">
        <f>CO53</f>
        <v>403.69902323570602</v>
      </c>
      <c r="CP9" s="452">
        <f>CP53</f>
        <v>512.44452118600748</v>
      </c>
      <c r="CQ9" s="862">
        <f>CQ53</f>
        <v>1686.8235495194363</v>
      </c>
      <c r="CS9" s="197">
        <f>CS53</f>
        <v>394.49977748909907</v>
      </c>
      <c r="CT9" s="452">
        <f>CT53</f>
        <v>399.28907864428993</v>
      </c>
      <c r="CU9" s="452">
        <f>CU53</f>
        <v>416.65581992308961</v>
      </c>
      <c r="CV9" s="452">
        <f>CV53</f>
        <v>537.27087993273153</v>
      </c>
      <c r="CW9" s="862">
        <f>CW53</f>
        <v>1747.7155559892101</v>
      </c>
      <c r="CY9" s="197">
        <f>CY53</f>
        <v>405.01473510355112</v>
      </c>
      <c r="CZ9" s="452">
        <f>CZ53</f>
        <v>410.26465629486893</v>
      </c>
      <c r="DA9" s="452">
        <f>DA53</f>
        <v>429.08529265257283</v>
      </c>
      <c r="DB9" s="452">
        <f>DB53</f>
        <v>551.12820190731577</v>
      </c>
      <c r="DC9" s="862">
        <f>DC53</f>
        <v>1795.4928859583088</v>
      </c>
      <c r="DE9" s="197">
        <f>DE53</f>
        <v>415.97522902489447</v>
      </c>
      <c r="DF9" s="452">
        <f>DF53</f>
        <v>421.69972715689761</v>
      </c>
      <c r="DG9" s="452">
        <f>DG53</f>
        <v>442.04025275272647</v>
      </c>
      <c r="DH9" s="452">
        <f>DH53</f>
        <v>565.56293613883861</v>
      </c>
      <c r="DI9" s="862">
        <f>DI53</f>
        <v>1845.2781450733573</v>
      </c>
    </row>
    <row r="10" spans="1:216" s="355" customFormat="1" ht="11.25" hidden="1" customHeight="1" outlineLevel="1">
      <c r="A10" s="369" t="s">
        <v>247</v>
      </c>
      <c r="B10" s="363"/>
      <c r="C10" s="357"/>
      <c r="D10" s="363"/>
      <c r="E10" s="357"/>
      <c r="F10" s="363"/>
      <c r="G10" s="357"/>
      <c r="H10" s="363"/>
      <c r="I10" s="357"/>
      <c r="J10" s="363"/>
      <c r="K10" s="357"/>
      <c r="L10" s="363"/>
      <c r="M10" s="357"/>
      <c r="N10" s="363"/>
      <c r="O10" s="357"/>
      <c r="P10" s="363"/>
      <c r="Q10" s="357"/>
      <c r="R10" s="363"/>
      <c r="S10" s="362"/>
      <c r="T10" s="363"/>
      <c r="U10" s="363"/>
      <c r="V10" s="363"/>
      <c r="W10" s="357"/>
      <c r="X10" s="363"/>
      <c r="Y10" s="362"/>
      <c r="Z10" s="363"/>
      <c r="AA10" s="363"/>
      <c r="AB10" s="363"/>
      <c r="AC10" s="401"/>
      <c r="AD10" s="363"/>
      <c r="AE10" s="378"/>
      <c r="AF10" s="388"/>
      <c r="AG10" s="388"/>
      <c r="AH10" s="388"/>
      <c r="AI10" s="401">
        <f>AI9/AC9-1</f>
        <v>7.3134179238685038E-2</v>
      </c>
      <c r="AJ10" s="363"/>
      <c r="AK10" s="378">
        <f>AK9/AE9-1</f>
        <v>-2.9934924078091285E-2</v>
      </c>
      <c r="AL10" s="388">
        <f>AL9/AF9-1</f>
        <v>-0.20363036303630355</v>
      </c>
      <c r="AM10" s="388">
        <f>AM9/AG9-1</f>
        <v>7.6133447390932307E-2</v>
      </c>
      <c r="AN10" s="388">
        <f>AN9/AH9-1</f>
        <v>0.12842242503259493</v>
      </c>
      <c r="AO10" s="401">
        <f>AO9/AI9-1</f>
        <v>-1.0613536914626076E-2</v>
      </c>
      <c r="AP10" s="363"/>
      <c r="AQ10" s="378">
        <f>AQ9/AK9-1</f>
        <v>0.16413237924865842</v>
      </c>
      <c r="AR10" s="388">
        <f>AR9/AL9-1</f>
        <v>0.18068794032324886</v>
      </c>
      <c r="AS10" s="388">
        <f>AS9/AM9-1</f>
        <v>0.15461049284578698</v>
      </c>
      <c r="AT10" s="388">
        <f>AT9/AN9-1</f>
        <v>0.12478336221837094</v>
      </c>
      <c r="AU10" s="401">
        <f>AU9/AO9-1</f>
        <v>0.15281829302719485</v>
      </c>
      <c r="AV10" s="363"/>
      <c r="AW10" s="378">
        <f>AW9/AQ9-1</f>
        <v>0.29004994237418358</v>
      </c>
      <c r="AX10" s="388">
        <f>AX9/AR9-1</f>
        <v>0.32643032643032655</v>
      </c>
      <c r="AY10" s="388">
        <f>AY9/AS9-1</f>
        <v>0.35834767641996557</v>
      </c>
      <c r="AZ10" s="388">
        <f>AZ9/AT9-1</f>
        <v>0.14483821263482288</v>
      </c>
      <c r="BA10" s="401">
        <f>BA9/AU9-1</f>
        <v>0.2685495061627623</v>
      </c>
      <c r="BB10" s="363"/>
      <c r="BC10" s="378">
        <f>BC9/AW9-1</f>
        <v>0.12596783799880895</v>
      </c>
      <c r="BD10" s="388">
        <f>BD9/AX9-1</f>
        <v>5.0542471553321144E-2</v>
      </c>
      <c r="BE10" s="388">
        <f>BE9/AY9-1</f>
        <v>3.623922959959458E-2</v>
      </c>
      <c r="BF10" s="388">
        <f>BF9/AZ9-1</f>
        <v>8.1426648721399264E-2</v>
      </c>
      <c r="BG10" s="401">
        <f>BG9/BA9-1</f>
        <v>7.2067434528022556E-2</v>
      </c>
      <c r="BH10" s="363"/>
      <c r="BI10" s="378">
        <f>BI9/BC9-1</f>
        <v>-3.1208674953715931E-2</v>
      </c>
      <c r="BJ10" s="388">
        <f>BJ9/BD9-1</f>
        <v>6.1964735516372826E-2</v>
      </c>
      <c r="BK10" s="388">
        <f>BK9/BE9-1</f>
        <v>4.1574957202250573E-3</v>
      </c>
      <c r="BL10" s="388">
        <f>BL9/BF9-1</f>
        <v>5.9946069280232495E-2</v>
      </c>
      <c r="BM10" s="401">
        <f>BM9/BG9-1</f>
        <v>2.6048856611247784E-2</v>
      </c>
      <c r="BN10" s="363"/>
      <c r="BO10" s="378">
        <f>BO9/BI9-1</f>
        <v>7.5348075348075305E-2</v>
      </c>
      <c r="BP10" s="388">
        <f>BP9/BJ9-1</f>
        <v>-2.3719165085389626E-4</v>
      </c>
      <c r="BQ10" s="388">
        <f>BQ9/BK9-1</f>
        <v>-6.624452021432059E-2</v>
      </c>
      <c r="BR10" s="388">
        <f>BR9/BL9-1</f>
        <v>-6.8884540117416626E-2</v>
      </c>
      <c r="BS10" s="401">
        <f>BS9/BM9-1</f>
        <v>-2.0415326118748078E-2</v>
      </c>
      <c r="BT10" s="363"/>
      <c r="BU10" s="378">
        <f>BU9/BO9-1</f>
        <v>-0.16857070322416856</v>
      </c>
      <c r="BV10" s="388">
        <f>BV9/BP9-1</f>
        <v>-0.13119810201660742</v>
      </c>
      <c r="BW10" s="388">
        <f>BW9/BQ9-1</f>
        <v>-4.3818466353677477E-2</v>
      </c>
      <c r="BX10" s="388">
        <f>BX9/BR9-1</f>
        <v>-7.7097342057964369E-2</v>
      </c>
      <c r="BY10" s="401">
        <f>BY9/BS9-1</f>
        <v>-0.10461179705671753</v>
      </c>
      <c r="BZ10" s="363"/>
      <c r="CA10" s="378">
        <f>CA9/BU9-1</f>
        <v>6.9923664122137241E-2</v>
      </c>
      <c r="CB10" s="388">
        <f>CB9/BV9-1</f>
        <v>-5.5980338612779734E-2</v>
      </c>
      <c r="CC10" s="388">
        <f>CC9/BW9-1</f>
        <v>-1.3911620294599025E-2</v>
      </c>
      <c r="CD10" s="388">
        <f>CD9/BX9-1</f>
        <v>-9.3758243364943095E-3</v>
      </c>
      <c r="CE10" s="401">
        <f>CE9/BY9-1</f>
        <v>-4.5464899117232394E-3</v>
      </c>
      <c r="CF10" s="363"/>
      <c r="CG10" s="378">
        <f>CG9/CA9-1</f>
        <v>-1.1415525114155223E-2</v>
      </c>
      <c r="CH10" s="388">
        <f>CH9/CB9-1</f>
        <v>4.859704946485377E-2</v>
      </c>
      <c r="CI10" s="388">
        <f>CI9/CC9-1</f>
        <v>8.0497925311203256E-2</v>
      </c>
      <c r="CJ10" s="388">
        <f>CJ9/CD9-1</f>
        <v>0.11313035276330163</v>
      </c>
      <c r="CK10" s="401">
        <f>CK9/CE9-1</f>
        <v>6.1042277537207923E-2</v>
      </c>
      <c r="CL10" s="363"/>
      <c r="CM10" s="378">
        <f>CM9/CG9-1</f>
        <v>0.1059960910559743</v>
      </c>
      <c r="CN10" s="388">
        <f>CN9/CH9-1</f>
        <v>6.9139197671540531E-2</v>
      </c>
      <c r="CO10" s="388">
        <f>CO9/CI9-1</f>
        <v>3.3535645764736444E-2</v>
      </c>
      <c r="CP10" s="388">
        <f>CP9/CJ9-1</f>
        <v>5.8306764443516013E-2</v>
      </c>
      <c r="CQ10" s="401">
        <f>CQ9/CK9-1</f>
        <v>6.5107712371289539E-2</v>
      </c>
      <c r="CS10" s="378">
        <f>CS9/CM9-1</f>
        <v>2.9710845987884094E-2</v>
      </c>
      <c r="CT10" s="388">
        <f>CT9/CN9-1</f>
        <v>3.0256037661325008E-2</v>
      </c>
      <c r="CU10" s="388">
        <f>CU9/CO9-1</f>
        <v>3.2095189588354778E-2</v>
      </c>
      <c r="CV10" s="388">
        <f>CV9/CP9-1</f>
        <v>4.8446920047590103E-2</v>
      </c>
      <c r="CW10" s="401">
        <f>CW9/CQ9-1</f>
        <v>3.6098622459427743E-2</v>
      </c>
      <c r="CY10" s="378">
        <f>CY9/CS9-1</f>
        <v>2.6653899987922225E-2</v>
      </c>
      <c r="CZ10" s="388">
        <f>CZ9/CT9-1</f>
        <v>2.7487798283500453E-2</v>
      </c>
      <c r="DA10" s="388">
        <f>DA9/CU9-1</f>
        <v>2.9831511130163912E-2</v>
      </c>
      <c r="DB10" s="388">
        <f>DB9/CV9-1</f>
        <v>2.5792058516775018E-2</v>
      </c>
      <c r="DC10" s="401">
        <f>DC9/CW9-1</f>
        <v>2.7337017059424484E-2</v>
      </c>
      <c r="DE10" s="378">
        <f>DE9/CY9-1</f>
        <v>2.7061963359286345E-2</v>
      </c>
      <c r="DF10" s="388">
        <f>DF9/CZ9-1</f>
        <v>2.7872424998291789E-2</v>
      </c>
      <c r="DG10" s="388">
        <f>DG9/DA9-1</f>
        <v>3.0192039489554734E-2</v>
      </c>
      <c r="DH10" s="388">
        <f>DH9/DB9-1</f>
        <v>2.6191245850907041E-2</v>
      </c>
      <c r="DI10" s="401">
        <f>DI9/DC9-1</f>
        <v>2.7727906640229616E-2</v>
      </c>
    </row>
    <row r="11" spans="1:216" s="355" customFormat="1" ht="11.25" hidden="1" customHeight="1" outlineLevel="1">
      <c r="A11" s="369"/>
      <c r="B11" s="363"/>
      <c r="C11" s="357"/>
      <c r="D11" s="363"/>
      <c r="E11" s="357"/>
      <c r="F11" s="363"/>
      <c r="G11" s="357"/>
      <c r="H11" s="363"/>
      <c r="I11" s="357"/>
      <c r="J11" s="363"/>
      <c r="K11" s="357"/>
      <c r="L11" s="363"/>
      <c r="M11" s="357"/>
      <c r="N11" s="363"/>
      <c r="O11" s="357"/>
      <c r="P11" s="363"/>
      <c r="Q11" s="357"/>
      <c r="R11" s="363"/>
      <c r="S11" s="362"/>
      <c r="T11" s="363"/>
      <c r="U11" s="363"/>
      <c r="V11" s="363"/>
      <c r="W11" s="357"/>
      <c r="X11" s="363"/>
      <c r="Y11" s="362"/>
      <c r="Z11" s="363"/>
      <c r="AA11" s="363"/>
      <c r="AB11" s="363"/>
      <c r="AC11" s="401"/>
      <c r="AD11" s="363"/>
      <c r="AE11" s="378"/>
      <c r="AF11" s="388"/>
      <c r="AG11" s="388"/>
      <c r="AH11" s="388"/>
      <c r="AI11" s="401"/>
      <c r="AJ11" s="363"/>
      <c r="AK11" s="378"/>
      <c r="AL11" s="388"/>
      <c r="AM11" s="388"/>
      <c r="AN11" s="388"/>
      <c r="AO11" s="401"/>
      <c r="AP11" s="363"/>
      <c r="AQ11" s="378"/>
      <c r="AR11" s="388"/>
      <c r="AS11" s="388"/>
      <c r="AT11" s="388"/>
      <c r="AU11" s="401"/>
      <c r="AV11" s="363"/>
      <c r="AW11" s="378"/>
      <c r="AX11" s="388"/>
      <c r="AY11" s="388"/>
      <c r="AZ11" s="388"/>
      <c r="BA11" s="401"/>
      <c r="BB11" s="363"/>
      <c r="BC11" s="378"/>
      <c r="BD11" s="388"/>
      <c r="BE11" s="388"/>
      <c r="BF11" s="388"/>
      <c r="BG11" s="401"/>
      <c r="BH11" s="363"/>
      <c r="BI11" s="378"/>
      <c r="BJ11" s="388"/>
      <c r="BK11" s="388"/>
      <c r="BL11" s="388"/>
      <c r="BM11" s="401"/>
      <c r="BN11" s="363"/>
      <c r="BO11" s="378"/>
      <c r="BP11" s="388"/>
      <c r="BQ11" s="388"/>
      <c r="BR11" s="388"/>
      <c r="BS11" s="401"/>
      <c r="BT11" s="363"/>
      <c r="BU11" s="378"/>
      <c r="BV11" s="388"/>
      <c r="BW11" s="388"/>
      <c r="BX11" s="388"/>
      <c r="BY11" s="401"/>
      <c r="BZ11" s="363"/>
      <c r="CA11" s="378"/>
      <c r="CB11" s="388"/>
      <c r="CC11" s="388"/>
      <c r="CD11" s="388"/>
      <c r="CE11" s="401"/>
      <c r="CF11" s="363"/>
      <c r="CG11" s="378"/>
      <c r="CH11" s="388"/>
      <c r="CI11" s="388"/>
      <c r="CJ11" s="388"/>
      <c r="CK11" s="401"/>
      <c r="CL11" s="363"/>
      <c r="CM11" s="378"/>
      <c r="CN11" s="388"/>
      <c r="CO11" s="388"/>
      <c r="CP11" s="388"/>
      <c r="CQ11" s="401"/>
      <c r="CS11" s="378"/>
      <c r="CT11" s="388"/>
      <c r="CU11" s="388"/>
      <c r="CV11" s="388"/>
      <c r="CW11" s="401"/>
      <c r="CY11" s="378"/>
      <c r="CZ11" s="388"/>
      <c r="DA11" s="388"/>
      <c r="DB11" s="388"/>
      <c r="DC11" s="401"/>
      <c r="DD11" s="355">
        <f>+DB11/BS17</f>
        <v>0</v>
      </c>
      <c r="DE11" s="378"/>
      <c r="DF11" s="388"/>
      <c r="DG11" s="388"/>
      <c r="DH11" s="388"/>
      <c r="DI11" s="401"/>
    </row>
    <row r="12" spans="1:216" s="69" customFormat="1" ht="11.25" hidden="1" customHeight="1" outlineLevel="1">
      <c r="A12" s="825" t="s">
        <v>470</v>
      </c>
      <c r="B12" s="487"/>
      <c r="C12" s="824"/>
      <c r="D12" s="487"/>
      <c r="E12" s="824"/>
      <c r="F12" s="487"/>
      <c r="G12" s="824"/>
      <c r="H12" s="487"/>
      <c r="I12" s="824"/>
      <c r="J12" s="487"/>
      <c r="K12" s="824"/>
      <c r="L12" s="487"/>
      <c r="M12" s="824"/>
      <c r="N12" s="487"/>
      <c r="O12" s="824"/>
      <c r="P12" s="487"/>
      <c r="Q12" s="824"/>
      <c r="R12" s="487"/>
      <c r="S12" s="825"/>
      <c r="T12" s="487"/>
      <c r="U12" s="487"/>
      <c r="V12" s="487"/>
      <c r="W12" s="824"/>
      <c r="X12" s="487"/>
      <c r="Y12" s="825"/>
      <c r="Z12" s="487"/>
      <c r="AA12" s="487"/>
      <c r="AB12" s="487"/>
      <c r="AC12" s="862">
        <f>AC65</f>
        <v>37.700000000000003</v>
      </c>
      <c r="AD12" s="487"/>
      <c r="AE12" s="197">
        <f>AE65</f>
        <v>9.8999999999999986</v>
      </c>
      <c r="AF12" s="452">
        <f>AF65</f>
        <v>12.5</v>
      </c>
      <c r="AG12" s="452">
        <f>AG65</f>
        <v>10.199999999999999</v>
      </c>
      <c r="AH12" s="452">
        <f>AH65</f>
        <v>10.900000000000002</v>
      </c>
      <c r="AI12" s="862">
        <f>AI65</f>
        <v>43.5</v>
      </c>
      <c r="AJ12" s="487"/>
      <c r="AK12" s="197">
        <f>AK65</f>
        <v>8.1</v>
      </c>
      <c r="AL12" s="452">
        <f>AL65</f>
        <v>13.700000000000001</v>
      </c>
      <c r="AM12" s="452">
        <f>AM65</f>
        <v>14.2</v>
      </c>
      <c r="AN12" s="452">
        <f>AN65</f>
        <v>23.800000000000004</v>
      </c>
      <c r="AO12" s="862">
        <f>AO65</f>
        <v>59.800000000000004</v>
      </c>
      <c r="AP12" s="487"/>
      <c r="AQ12" s="197">
        <f>AQ65</f>
        <v>20.7</v>
      </c>
      <c r="AR12" s="452">
        <f>AR65</f>
        <v>18.100000000000001</v>
      </c>
      <c r="AS12" s="452">
        <f>AS65</f>
        <v>22.4</v>
      </c>
      <c r="AT12" s="452">
        <f>AT65</f>
        <v>29.3</v>
      </c>
      <c r="AU12" s="862">
        <f>AU65</f>
        <v>90.5</v>
      </c>
      <c r="AV12" s="487"/>
      <c r="AW12" s="197">
        <f>AW65</f>
        <v>24</v>
      </c>
      <c r="AX12" s="452">
        <f>AX65</f>
        <v>28.1</v>
      </c>
      <c r="AY12" s="452">
        <f>AY65</f>
        <v>27.7</v>
      </c>
      <c r="AZ12" s="452">
        <f>AZ65</f>
        <v>33.6</v>
      </c>
      <c r="BA12" s="862">
        <f>BA65</f>
        <v>113.4</v>
      </c>
      <c r="BB12" s="452"/>
      <c r="BC12" s="197">
        <f>BC65</f>
        <v>30</v>
      </c>
      <c r="BD12" s="452">
        <f>BD65</f>
        <v>26</v>
      </c>
      <c r="BE12" s="452">
        <f>BE65</f>
        <v>42.4</v>
      </c>
      <c r="BF12" s="452">
        <f>BF65</f>
        <v>37.800000000000011</v>
      </c>
      <c r="BG12" s="862">
        <f>BG65</f>
        <v>136.20000000000002</v>
      </c>
      <c r="BH12" s="487"/>
      <c r="BI12" s="197">
        <f>BI65</f>
        <v>31.200000000000003</v>
      </c>
      <c r="BJ12" s="452">
        <f>BJ65</f>
        <v>37.1</v>
      </c>
      <c r="BK12" s="452">
        <f>BK65</f>
        <v>32.5</v>
      </c>
      <c r="BL12" s="452">
        <f>BL65</f>
        <v>46.599999999999994</v>
      </c>
      <c r="BM12" s="862">
        <f>BM65</f>
        <v>147.4</v>
      </c>
      <c r="BN12" s="487"/>
      <c r="BO12" s="197">
        <f>BO65</f>
        <v>34.800000000000004</v>
      </c>
      <c r="BP12" s="452">
        <f>BP65</f>
        <v>41.4</v>
      </c>
      <c r="BQ12" s="452">
        <f>BQ65</f>
        <v>40</v>
      </c>
      <c r="BR12" s="452">
        <f>BR65</f>
        <v>36.700000000000003</v>
      </c>
      <c r="BS12" s="862">
        <f>BS65</f>
        <v>152.9</v>
      </c>
      <c r="BT12" s="487"/>
      <c r="BU12" s="197">
        <f>BU65</f>
        <v>27.5</v>
      </c>
      <c r="BV12" s="452">
        <f>BV65</f>
        <v>30.8</v>
      </c>
      <c r="BW12" s="452">
        <f>BW65</f>
        <v>32.9</v>
      </c>
      <c r="BX12" s="452">
        <f>BX65</f>
        <v>42.5</v>
      </c>
      <c r="BY12" s="862">
        <f>BY65</f>
        <v>133.69999999999999</v>
      </c>
      <c r="BZ12" s="487"/>
      <c r="CA12" s="197">
        <f>CA65</f>
        <v>27.2</v>
      </c>
      <c r="CB12" s="452">
        <f>CB65</f>
        <v>28.5</v>
      </c>
      <c r="CC12" s="452">
        <f>CC65</f>
        <v>35.5</v>
      </c>
      <c r="CD12" s="452">
        <f>CD65</f>
        <v>39.000000000000007</v>
      </c>
      <c r="CE12" s="862">
        <f>CE65</f>
        <v>130.20000000000002</v>
      </c>
      <c r="CF12" s="487"/>
      <c r="CG12" s="197">
        <f>CG65</f>
        <v>40.1</v>
      </c>
      <c r="CH12" s="452">
        <f>CH65</f>
        <v>54</v>
      </c>
      <c r="CI12" s="452">
        <f>CI65</f>
        <v>46.1</v>
      </c>
      <c r="CJ12" s="452">
        <f>CJ65</f>
        <v>51.052000000000014</v>
      </c>
      <c r="CK12" s="862">
        <f>CK65</f>
        <v>191.25200000000001</v>
      </c>
      <c r="CL12" s="487"/>
      <c r="CM12" s="197">
        <f>CM65</f>
        <v>43.976897731161294</v>
      </c>
      <c r="CN12" s="452">
        <f>CN65</f>
        <v>50.223649512579776</v>
      </c>
      <c r="CO12" s="452">
        <f>CO65</f>
        <v>50.937864064554411</v>
      </c>
      <c r="CP12" s="452">
        <f>CP65</f>
        <v>49.841478596529996</v>
      </c>
      <c r="CQ12" s="862">
        <f>CQ65</f>
        <v>194.97988990482548</v>
      </c>
      <c r="CS12" s="197">
        <f>CS65</f>
        <v>40.018976935356783</v>
      </c>
      <c r="CT12" s="452">
        <f>CT65</f>
        <v>53.73930497846036</v>
      </c>
      <c r="CU12" s="452">
        <f>CU65</f>
        <v>44.825320376807881</v>
      </c>
      <c r="CV12" s="452">
        <f>CV65</f>
        <v>52.333552526356499</v>
      </c>
      <c r="CW12" s="862">
        <f>CW65</f>
        <v>190.91715481698154</v>
      </c>
      <c r="CY12" s="197">
        <f>CY65</f>
        <v>41.21954624341749</v>
      </c>
      <c r="CZ12" s="452">
        <f>CZ65</f>
        <v>47.290588381045119</v>
      </c>
      <c r="DA12" s="452">
        <f>DA65</f>
        <v>48.411346006952513</v>
      </c>
      <c r="DB12" s="452">
        <f>DB65</f>
        <v>49.716874900038668</v>
      </c>
      <c r="DC12" s="862">
        <f>DC65</f>
        <v>186.63835553145381</v>
      </c>
      <c r="DE12" s="197">
        <f>DE65</f>
        <v>37.50978708150992</v>
      </c>
      <c r="DF12" s="452">
        <f>DF65</f>
        <v>50.600929567718282</v>
      </c>
      <c r="DG12" s="452">
        <f>DG65</f>
        <v>42.601984486118212</v>
      </c>
      <c r="DH12" s="452">
        <f>DH65</f>
        <v>52.202718645040605</v>
      </c>
      <c r="DI12" s="862">
        <f>DI65</f>
        <v>182.91541978038703</v>
      </c>
    </row>
    <row r="13" spans="1:216" s="355" customFormat="1" ht="11.25" hidden="1" customHeight="1" outlineLevel="1">
      <c r="A13" s="369" t="s">
        <v>247</v>
      </c>
      <c r="B13" s="363"/>
      <c r="C13" s="357"/>
      <c r="D13" s="363"/>
      <c r="E13" s="357"/>
      <c r="F13" s="363"/>
      <c r="G13" s="357"/>
      <c r="H13" s="363"/>
      <c r="I13" s="357"/>
      <c r="J13" s="363"/>
      <c r="K13" s="357"/>
      <c r="L13" s="363"/>
      <c r="M13" s="357"/>
      <c r="N13" s="363"/>
      <c r="O13" s="357"/>
      <c r="P13" s="363"/>
      <c r="Q13" s="357"/>
      <c r="R13" s="363"/>
      <c r="S13" s="362"/>
      <c r="T13" s="363"/>
      <c r="U13" s="363"/>
      <c r="V13" s="363"/>
      <c r="W13" s="357"/>
      <c r="X13" s="363"/>
      <c r="Y13" s="362"/>
      <c r="Z13" s="363"/>
      <c r="AA13" s="363"/>
      <c r="AB13" s="363"/>
      <c r="AC13" s="401"/>
      <c r="AD13" s="363"/>
      <c r="AE13" s="378"/>
      <c r="AF13" s="388"/>
      <c r="AG13" s="388"/>
      <c r="AH13" s="388"/>
      <c r="AI13" s="401">
        <f>AI12/AC12-1</f>
        <v>0.15384615384615374</v>
      </c>
      <c r="AJ13" s="363"/>
      <c r="AK13" s="378">
        <f>AK12/AE12-1</f>
        <v>-0.18181818181818177</v>
      </c>
      <c r="AL13" s="388">
        <f>AL12/AF12-1</f>
        <v>9.6000000000000085E-2</v>
      </c>
      <c r="AM13" s="388">
        <f>AM12/AG12-1</f>
        <v>0.39215686274509798</v>
      </c>
      <c r="AN13" s="388">
        <f>AN12/AH12-1</f>
        <v>1.1834862385321099</v>
      </c>
      <c r="AO13" s="401">
        <f>AO12/AI12-1</f>
        <v>0.37471264367816093</v>
      </c>
      <c r="AP13" s="363"/>
      <c r="AQ13" s="378">
        <f>AQ12/AK12-1</f>
        <v>1.5555555555555554</v>
      </c>
      <c r="AR13" s="388">
        <f>AR12/AL12-1</f>
        <v>0.32116788321167888</v>
      </c>
      <c r="AS13" s="388">
        <f>AS12/AM12-1</f>
        <v>0.57746478873239426</v>
      </c>
      <c r="AT13" s="388">
        <f>AT12/AN12-1</f>
        <v>0.23109243697478976</v>
      </c>
      <c r="AU13" s="401">
        <f>AU12/AO12-1</f>
        <v>0.51337792642140467</v>
      </c>
      <c r="AV13" s="363"/>
      <c r="AW13" s="378">
        <f>AW12/AQ12-1</f>
        <v>0.15942028985507251</v>
      </c>
      <c r="AX13" s="388">
        <f>AX12/AR12-1</f>
        <v>0.55248618784530379</v>
      </c>
      <c r="AY13" s="388">
        <f>AY12/AS12-1</f>
        <v>0.23660714285714279</v>
      </c>
      <c r="AZ13" s="388">
        <f>AZ12/AT12-1</f>
        <v>0.14675767918088733</v>
      </c>
      <c r="BA13" s="401">
        <f>BA12/AU12-1</f>
        <v>0.25303867403314917</v>
      </c>
      <c r="BB13" s="363"/>
      <c r="BC13" s="378">
        <f>BC12/AW12-1</f>
        <v>0.25</v>
      </c>
      <c r="BD13" s="388">
        <f>BD12/AX12-1</f>
        <v>-7.4733096085409345E-2</v>
      </c>
      <c r="BE13" s="388">
        <f>BE12/AY12-1</f>
        <v>0.53068592057761732</v>
      </c>
      <c r="BF13" s="388">
        <f>BF12/AZ12-1</f>
        <v>0.12500000000000022</v>
      </c>
      <c r="BG13" s="401">
        <f>BG12/BA12-1</f>
        <v>0.20105820105820116</v>
      </c>
      <c r="BH13" s="363"/>
      <c r="BI13" s="378">
        <f>BI12/BC12-1</f>
        <v>4.0000000000000036E-2</v>
      </c>
      <c r="BJ13" s="388">
        <f>BJ12/BD12-1</f>
        <v>0.42692307692307696</v>
      </c>
      <c r="BK13" s="388">
        <f>BK12/BE12-1</f>
        <v>-0.23349056603773577</v>
      </c>
      <c r="BL13" s="388">
        <f>BL12/BF12-1</f>
        <v>0.23280423280423235</v>
      </c>
      <c r="BM13" s="401">
        <f>BM12/BG12-1</f>
        <v>8.2232011747430223E-2</v>
      </c>
      <c r="BN13" s="363"/>
      <c r="BO13" s="378">
        <f>BO12/BI12-1</f>
        <v>0.11538461538461542</v>
      </c>
      <c r="BP13" s="388">
        <f>BP12/BJ12-1</f>
        <v>0.11590296495956864</v>
      </c>
      <c r="BQ13" s="388">
        <f>BQ12/BK12-1</f>
        <v>0.23076923076923084</v>
      </c>
      <c r="BR13" s="388">
        <f>BR12/BL12-1</f>
        <v>-0.21244635193133032</v>
      </c>
      <c r="BS13" s="401">
        <f>BS12/BM12-1</f>
        <v>3.7313432835820892E-2</v>
      </c>
      <c r="BT13" s="363"/>
      <c r="BU13" s="378">
        <f>BU12/BO12-1</f>
        <v>-0.20977011494252884</v>
      </c>
      <c r="BV13" s="388">
        <f>BV12/BP12-1</f>
        <v>-0.25603864734299508</v>
      </c>
      <c r="BW13" s="388">
        <f>BW12/BQ12-1</f>
        <v>-0.17749999999999999</v>
      </c>
      <c r="BX13" s="388">
        <f>BX12/BR12-1</f>
        <v>0.15803814713896447</v>
      </c>
      <c r="BY13" s="401">
        <f>BY12/BS12-1</f>
        <v>-0.1255722694571616</v>
      </c>
      <c r="BZ13" s="363"/>
      <c r="CA13" s="378">
        <f>CA12/BU12-1</f>
        <v>-1.0909090909090979E-2</v>
      </c>
      <c r="CB13" s="388">
        <f>CB12/BV12-1</f>
        <v>-7.4675324675324672E-2</v>
      </c>
      <c r="CC13" s="388">
        <f>CC12/BW12-1</f>
        <v>7.9027355623100259E-2</v>
      </c>
      <c r="CD13" s="388">
        <f>CD12/BX12-1</f>
        <v>-8.2352941176470407E-2</v>
      </c>
      <c r="CE13" s="401">
        <f>CE12/BY12-1</f>
        <v>-2.6178010471203939E-2</v>
      </c>
      <c r="CF13" s="363"/>
      <c r="CG13" s="378">
        <f>CG12/CA12-1</f>
        <v>0.47426470588235303</v>
      </c>
      <c r="CH13" s="388">
        <f>CH12/CB12-1</f>
        <v>0.89473684210526305</v>
      </c>
      <c r="CI13" s="388">
        <f>CI12/CC12-1</f>
        <v>0.29859154929577469</v>
      </c>
      <c r="CJ13" s="388">
        <f>CJ12/CD12-1</f>
        <v>0.30902564102564112</v>
      </c>
      <c r="CK13" s="401">
        <f>CK12/CE12-1</f>
        <v>0.4689093701996927</v>
      </c>
      <c r="CL13" s="363"/>
      <c r="CM13" s="378">
        <f>CM12/CG12-1</f>
        <v>9.6680741425468675E-2</v>
      </c>
      <c r="CN13" s="388">
        <f>CN12/CH12-1</f>
        <v>-6.9932416433707845E-2</v>
      </c>
      <c r="CO13" s="388">
        <f>CO12/CI12-1</f>
        <v>0.10494282135692856</v>
      </c>
      <c r="CP13" s="388">
        <f>CP12/CJ12-1</f>
        <v>-2.3711537324101251E-2</v>
      </c>
      <c r="CQ13" s="401">
        <f>CQ12/CK12-1</f>
        <v>1.9492030958240925E-2</v>
      </c>
      <c r="CS13" s="378">
        <f>CS12/CM12-1</f>
        <v>-8.9999999999999858E-2</v>
      </c>
      <c r="CT13" s="388">
        <f>CT12/CN12-1</f>
        <v>7.0000000000000062E-2</v>
      </c>
      <c r="CU13" s="388">
        <f>CU12/CO12-1</f>
        <v>-0.12</v>
      </c>
      <c r="CV13" s="388">
        <f>CV12/CP12-1</f>
        <v>5.0000000000000044E-2</v>
      </c>
      <c r="CW13" s="401">
        <f>CW12/CQ12-1</f>
        <v>-2.0836687772400886E-2</v>
      </c>
      <c r="CY13" s="378">
        <f>CY12/CS12-1</f>
        <v>3.0000000000000027E-2</v>
      </c>
      <c r="CZ13" s="388">
        <f>CZ12/CT12-1</f>
        <v>-0.12</v>
      </c>
      <c r="DA13" s="388">
        <f>DA12/CU12-1</f>
        <v>8.0000000000000071E-2</v>
      </c>
      <c r="DB13" s="388">
        <f>DB12/CV12-1</f>
        <v>-5.0000000000000155E-2</v>
      </c>
      <c r="DC13" s="401">
        <f>DC12/CW12-1</f>
        <v>-2.2411811498183609E-2</v>
      </c>
      <c r="DE13" s="378">
        <f>DE12/CY12-1</f>
        <v>-8.9999999999999858E-2</v>
      </c>
      <c r="DF13" s="388">
        <f>DF12/CZ12-1</f>
        <v>7.0000000000000062E-2</v>
      </c>
      <c r="DG13" s="388">
        <f>DG12/DA12-1</f>
        <v>-0.12</v>
      </c>
      <c r="DH13" s="388">
        <f>DH12/DB12-1</f>
        <v>5.0000000000000044E-2</v>
      </c>
      <c r="DI13" s="401">
        <f>DI12/DC12-1</f>
        <v>-1.9947324013146694E-2</v>
      </c>
    </row>
    <row r="14" spans="1:216" s="355" customFormat="1" ht="11.25" hidden="1" customHeight="1" outlineLevel="1">
      <c r="A14" s="369"/>
      <c r="B14" s="363"/>
      <c r="C14" s="357"/>
      <c r="D14" s="363"/>
      <c r="E14" s="357"/>
      <c r="F14" s="363"/>
      <c r="G14" s="357"/>
      <c r="H14" s="363"/>
      <c r="I14" s="357"/>
      <c r="J14" s="363"/>
      <c r="K14" s="357"/>
      <c r="L14" s="363"/>
      <c r="M14" s="357"/>
      <c r="N14" s="363"/>
      <c r="O14" s="357"/>
      <c r="P14" s="363"/>
      <c r="Q14" s="357"/>
      <c r="R14" s="363"/>
      <c r="S14" s="362"/>
      <c r="T14" s="363"/>
      <c r="U14" s="363"/>
      <c r="V14" s="363"/>
      <c r="W14" s="357"/>
      <c r="X14" s="363"/>
      <c r="Y14" s="362"/>
      <c r="Z14" s="363"/>
      <c r="AA14" s="363"/>
      <c r="AB14" s="363"/>
      <c r="AC14" s="401"/>
      <c r="AD14" s="363"/>
      <c r="AE14" s="378"/>
      <c r="AF14" s="388"/>
      <c r="AG14" s="388"/>
      <c r="AH14" s="388"/>
      <c r="AI14" s="401"/>
      <c r="AJ14" s="363"/>
      <c r="AK14" s="378"/>
      <c r="AL14" s="388"/>
      <c r="AM14" s="388"/>
      <c r="AN14" s="388"/>
      <c r="AO14" s="401"/>
      <c r="AP14" s="363"/>
      <c r="AQ14" s="378"/>
      <c r="AR14" s="388"/>
      <c r="AS14" s="388"/>
      <c r="AT14" s="388"/>
      <c r="AU14" s="401"/>
      <c r="AV14" s="363"/>
      <c r="AW14" s="378"/>
      <c r="AX14" s="388"/>
      <c r="AY14" s="388"/>
      <c r="AZ14" s="388"/>
      <c r="BA14" s="401"/>
      <c r="BB14" s="363"/>
      <c r="BC14" s="378"/>
      <c r="BD14" s="388"/>
      <c r="BE14" s="388"/>
      <c r="BF14" s="388"/>
      <c r="BG14" s="401"/>
      <c r="BH14" s="363"/>
      <c r="BI14" s="378"/>
      <c r="BJ14" s="388"/>
      <c r="BK14" s="388"/>
      <c r="BL14" s="388"/>
      <c r="BM14" s="401"/>
      <c r="BN14" s="363"/>
      <c r="BO14" s="378"/>
      <c r="BP14" s="388"/>
      <c r="BQ14" s="388"/>
      <c r="BR14" s="388"/>
      <c r="BS14" s="401"/>
      <c r="BT14" s="363"/>
      <c r="BU14" s="378"/>
      <c r="BV14" s="388"/>
      <c r="BW14" s="388"/>
      <c r="BX14" s="388"/>
      <c r="BY14" s="401"/>
      <c r="BZ14" s="363"/>
      <c r="CA14" s="378"/>
      <c r="CB14" s="388"/>
      <c r="CC14" s="388"/>
      <c r="CD14" s="388"/>
      <c r="CE14" s="401"/>
      <c r="CF14" s="363"/>
      <c r="CG14" s="378"/>
      <c r="CH14" s="388"/>
      <c r="CI14" s="388"/>
      <c r="CJ14" s="388"/>
      <c r="CK14" s="401"/>
      <c r="CL14" s="363"/>
      <c r="CM14" s="378"/>
      <c r="CN14" s="388"/>
      <c r="CO14" s="388"/>
      <c r="CP14" s="388"/>
      <c r="CQ14" s="401"/>
      <c r="CS14" s="378"/>
      <c r="CT14" s="388"/>
      <c r="CU14" s="388"/>
      <c r="CV14" s="388"/>
      <c r="CW14" s="401"/>
      <c r="CY14" s="378"/>
      <c r="CZ14" s="388"/>
      <c r="DA14" s="388"/>
      <c r="DB14" s="388"/>
      <c r="DC14" s="401"/>
      <c r="DE14" s="378"/>
      <c r="DF14" s="388"/>
      <c r="DG14" s="388"/>
      <c r="DH14" s="388"/>
      <c r="DI14" s="401"/>
    </row>
    <row r="15" spans="1:216" s="69" customFormat="1" ht="11.25" hidden="1" customHeight="1" outlineLevel="1">
      <c r="A15" s="825" t="s">
        <v>17</v>
      </c>
      <c r="B15" s="487"/>
      <c r="C15" s="824"/>
      <c r="D15" s="487"/>
      <c r="E15" s="824"/>
      <c r="F15" s="487"/>
      <c r="G15" s="824"/>
      <c r="H15" s="487"/>
      <c r="I15" s="824"/>
      <c r="J15" s="487"/>
      <c r="K15" s="824"/>
      <c r="L15" s="487"/>
      <c r="M15" s="824"/>
      <c r="N15" s="487"/>
      <c r="O15" s="824"/>
      <c r="P15" s="487"/>
      <c r="Q15" s="824"/>
      <c r="R15" s="487"/>
      <c r="S15" s="825"/>
      <c r="T15" s="487"/>
      <c r="U15" s="487"/>
      <c r="V15" s="487"/>
      <c r="W15" s="824"/>
      <c r="X15" s="487"/>
      <c r="Y15" s="825"/>
      <c r="Z15" s="487"/>
      <c r="AA15" s="487"/>
      <c r="AB15" s="487"/>
      <c r="AC15" s="862">
        <f>AC72</f>
        <v>-6.2</v>
      </c>
      <c r="AD15" s="487"/>
      <c r="AE15" s="197">
        <f>AE72</f>
        <v>-2.0999999999999996</v>
      </c>
      <c r="AF15" s="452">
        <f>AF72</f>
        <v>-4</v>
      </c>
      <c r="AG15" s="452">
        <f>AG72</f>
        <v>-1.9</v>
      </c>
      <c r="AH15" s="452">
        <f>AH72</f>
        <v>-2.5000000000000004</v>
      </c>
      <c r="AI15" s="862">
        <f>AI72</f>
        <v>-10.5</v>
      </c>
      <c r="AJ15" s="487"/>
      <c r="AK15" s="197">
        <f>AK72</f>
        <v>-1.2</v>
      </c>
      <c r="AL15" s="452">
        <f>AL72</f>
        <v>-2.5</v>
      </c>
      <c r="AM15" s="452">
        <f>AM72</f>
        <v>-0.7</v>
      </c>
      <c r="AN15" s="452">
        <f>AN72</f>
        <v>-3.5999999999999996</v>
      </c>
      <c r="AO15" s="862">
        <f>AO72</f>
        <v>-8</v>
      </c>
      <c r="AP15" s="487"/>
      <c r="AQ15" s="197">
        <f>AQ72</f>
        <v>-3.3</v>
      </c>
      <c r="AR15" s="452">
        <f>AR72</f>
        <v>-2.1</v>
      </c>
      <c r="AS15" s="452">
        <f>AS72</f>
        <v>-2.7</v>
      </c>
      <c r="AT15" s="452">
        <f>AT72</f>
        <v>-2.5999999999999988</v>
      </c>
      <c r="AU15" s="862">
        <f>AU72</f>
        <v>-10.7</v>
      </c>
      <c r="AV15" s="487"/>
      <c r="AW15" s="197">
        <f>AW72</f>
        <v>-2.8</v>
      </c>
      <c r="AX15" s="452">
        <f>AX72</f>
        <v>-4.8</v>
      </c>
      <c r="AY15" s="452">
        <f>AY72</f>
        <v>-3.9</v>
      </c>
      <c r="AZ15" s="452">
        <f>AZ72</f>
        <v>-4.2999999999999989</v>
      </c>
      <c r="BA15" s="862">
        <f>BA72</f>
        <v>-15.799999999999999</v>
      </c>
      <c r="BB15" s="452"/>
      <c r="BC15" s="197">
        <f>BC72</f>
        <v>-2.5</v>
      </c>
      <c r="BD15" s="452">
        <f>BD72</f>
        <v>-2.2999999999999998</v>
      </c>
      <c r="BE15" s="452">
        <f>BE72</f>
        <v>-3.5</v>
      </c>
      <c r="BF15" s="452">
        <f>BF72</f>
        <v>-2.6</v>
      </c>
      <c r="BG15" s="862">
        <f>BG72</f>
        <v>-10.9</v>
      </c>
      <c r="BH15" s="487"/>
      <c r="BI15" s="197">
        <f>BI72</f>
        <v>-4.0999999999999996</v>
      </c>
      <c r="BJ15" s="452">
        <f>BJ72</f>
        <v>-3.8</v>
      </c>
      <c r="BK15" s="452">
        <f>BK72</f>
        <v>-4.0999999999999996</v>
      </c>
      <c r="BL15" s="452">
        <f>BL72</f>
        <v>-5.5</v>
      </c>
      <c r="BM15" s="862">
        <f>BM72</f>
        <v>-17.5</v>
      </c>
      <c r="BN15" s="487"/>
      <c r="BO15" s="197">
        <f>BO72</f>
        <v>-5</v>
      </c>
      <c r="BP15" s="452">
        <f>BP72</f>
        <v>-5.5</v>
      </c>
      <c r="BQ15" s="452">
        <f>BQ72</f>
        <v>-3.6</v>
      </c>
      <c r="BR15" s="452">
        <f>BR72</f>
        <v>-4.5000000000000018</v>
      </c>
      <c r="BS15" s="862">
        <f>BS72</f>
        <v>-18.600000000000001</v>
      </c>
      <c r="BT15" s="487"/>
      <c r="BU15" s="197">
        <f>BU72</f>
        <v>-1.5</v>
      </c>
      <c r="BV15" s="452">
        <f>BV72</f>
        <v>-1</v>
      </c>
      <c r="BW15" s="452">
        <f>BW72</f>
        <v>-3.4</v>
      </c>
      <c r="BX15" s="452">
        <f>BX72</f>
        <v>-3.4</v>
      </c>
      <c r="BY15" s="862">
        <f>BY72</f>
        <v>-9.3000000000000007</v>
      </c>
      <c r="BZ15" s="487"/>
      <c r="CA15" s="197">
        <f>CA72</f>
        <v>-2.2000000000000002</v>
      </c>
      <c r="CB15" s="452">
        <f>CB72</f>
        <v>-2.5</v>
      </c>
      <c r="CC15" s="452">
        <f>CC72</f>
        <v>-3.1</v>
      </c>
      <c r="CD15" s="452">
        <f>CD72</f>
        <v>-3.6999999999999993</v>
      </c>
      <c r="CE15" s="862">
        <f>CE72</f>
        <v>-11.5</v>
      </c>
      <c r="CF15" s="487"/>
      <c r="CG15" s="197">
        <f>CG72</f>
        <v>-1.6</v>
      </c>
      <c r="CH15" s="452">
        <f>CH72</f>
        <v>-1.6</v>
      </c>
      <c r="CI15" s="452">
        <f>CI72</f>
        <v>-1.1000000000000001</v>
      </c>
      <c r="CJ15" s="452">
        <f>CJ72</f>
        <v>-4.8</v>
      </c>
      <c r="CK15" s="862">
        <f>CK72</f>
        <v>-9.1000000000000014</v>
      </c>
      <c r="CL15" s="487"/>
      <c r="CM15" s="197">
        <f>CM72</f>
        <v>-3.4167515493836058</v>
      </c>
      <c r="CN15" s="452">
        <f>CN72</f>
        <v>-3.5022928693481052</v>
      </c>
      <c r="CO15" s="452">
        <f>CO72</f>
        <v>-3.6370950984020833</v>
      </c>
      <c r="CP15" s="452">
        <f>CP72</f>
        <v>-4.4982879982602997</v>
      </c>
      <c r="CQ15" s="862">
        <f>CQ72</f>
        <v>-15.054427515394092</v>
      </c>
      <c r="CS15" s="197">
        <f>CS72</f>
        <v>-3.4761500353956469</v>
      </c>
      <c r="CT15" s="452">
        <f>CT72</f>
        <v>-3.6242270689820026</v>
      </c>
      <c r="CU15" s="452">
        <f>CU72</f>
        <v>-3.6918491223991801</v>
      </c>
      <c r="CV15" s="452">
        <f>CV72</f>
        <v>-4.716835459672704</v>
      </c>
      <c r="CW15" s="862">
        <f>CW72</f>
        <v>-15.509061686449535</v>
      </c>
      <c r="CY15" s="197">
        <f>CY72</f>
        <v>-3.569874250775749</v>
      </c>
      <c r="CZ15" s="452">
        <f>CZ72</f>
        <v>-3.6604419574073122</v>
      </c>
      <c r="DA15" s="452">
        <f>DA72</f>
        <v>-3.8199731092762028</v>
      </c>
      <c r="DB15" s="452">
        <f>DB72</f>
        <v>-4.8067606144588355</v>
      </c>
      <c r="DC15" s="862">
        <f>DC72</f>
        <v>-15.857049931918098</v>
      </c>
      <c r="DE15" s="197">
        <f>DE72</f>
        <v>-3.6278801288512352</v>
      </c>
      <c r="DF15" s="452">
        <f>DF72</f>
        <v>-3.7784052537969273</v>
      </c>
      <c r="DG15" s="452">
        <f>DG72</f>
        <v>-3.8771378979107576</v>
      </c>
      <c r="DH15" s="452">
        <f>DH72</f>
        <v>-4.9421252382710339</v>
      </c>
      <c r="DI15" s="862">
        <f>DI72</f>
        <v>-16.225548518829953</v>
      </c>
    </row>
    <row r="16" spans="1:216" s="69" customFormat="1" ht="11.25" hidden="1" customHeight="1" outlineLevel="1">
      <c r="A16" s="825"/>
      <c r="B16" s="487"/>
      <c r="C16" s="824"/>
      <c r="D16" s="487"/>
      <c r="E16" s="824"/>
      <c r="F16" s="487"/>
      <c r="G16" s="824"/>
      <c r="H16" s="487"/>
      <c r="I16" s="824"/>
      <c r="J16" s="487"/>
      <c r="K16" s="824"/>
      <c r="L16" s="487"/>
      <c r="M16" s="824"/>
      <c r="N16" s="487"/>
      <c r="O16" s="824"/>
      <c r="P16" s="487"/>
      <c r="Q16" s="824"/>
      <c r="R16" s="487"/>
      <c r="S16" s="825"/>
      <c r="T16" s="487"/>
      <c r="U16" s="487"/>
      <c r="V16" s="487"/>
      <c r="W16" s="824"/>
      <c r="X16" s="487"/>
      <c r="Y16" s="825"/>
      <c r="Z16" s="487"/>
      <c r="AA16" s="487"/>
      <c r="AB16" s="487"/>
      <c r="AC16" s="862"/>
      <c r="AD16" s="487"/>
      <c r="AE16" s="197"/>
      <c r="AF16" s="452"/>
      <c r="AG16" s="452"/>
      <c r="AH16" s="452"/>
      <c r="AI16" s="862"/>
      <c r="AJ16" s="487"/>
      <c r="AK16" s="197"/>
      <c r="AL16" s="452"/>
      <c r="AM16" s="452"/>
      <c r="AN16" s="452"/>
      <c r="AO16" s="862"/>
      <c r="AP16" s="487"/>
      <c r="AQ16" s="197"/>
      <c r="AR16" s="452"/>
      <c r="AS16" s="452"/>
      <c r="AT16" s="452"/>
      <c r="AU16" s="862"/>
      <c r="AV16" s="487"/>
      <c r="AW16" s="197"/>
      <c r="AX16" s="452"/>
      <c r="AY16" s="452"/>
      <c r="AZ16" s="452"/>
      <c r="BA16" s="862"/>
      <c r="BB16" s="452"/>
      <c r="BC16" s="197"/>
      <c r="BD16" s="452"/>
      <c r="BE16" s="452"/>
      <c r="BF16" s="452"/>
      <c r="BG16" s="862"/>
      <c r="BH16" s="487"/>
      <c r="BI16" s="197"/>
      <c r="BJ16" s="452"/>
      <c r="BK16" s="452"/>
      <c r="BL16" s="452"/>
      <c r="BM16" s="862"/>
      <c r="BN16" s="487"/>
      <c r="BO16" s="197"/>
      <c r="BP16" s="452"/>
      <c r="BQ16" s="452"/>
      <c r="BR16" s="452"/>
      <c r="BS16" s="862"/>
      <c r="BT16" s="487"/>
      <c r="BU16" s="197"/>
      <c r="BV16" s="452"/>
      <c r="BW16" s="452"/>
      <c r="BX16" s="452"/>
      <c r="BY16" s="862"/>
      <c r="BZ16" s="487"/>
      <c r="CA16" s="197"/>
      <c r="CB16" s="452"/>
      <c r="CC16" s="452"/>
      <c r="CD16" s="452"/>
      <c r="CE16" s="862"/>
      <c r="CF16" s="487"/>
      <c r="CG16" s="197"/>
      <c r="CH16" s="452"/>
      <c r="CI16" s="452"/>
      <c r="CJ16" s="452"/>
      <c r="CK16" s="862"/>
      <c r="CL16" s="487"/>
      <c r="CM16" s="197"/>
      <c r="CN16" s="452"/>
      <c r="CO16" s="452"/>
      <c r="CP16" s="452"/>
      <c r="CQ16" s="862"/>
      <c r="CS16" s="197"/>
      <c r="CT16" s="452"/>
      <c r="CU16" s="452"/>
      <c r="CV16" s="452"/>
      <c r="CW16" s="862"/>
      <c r="CY16" s="197"/>
      <c r="CZ16" s="452"/>
      <c r="DA16" s="452"/>
      <c r="DB16" s="452"/>
      <c r="DC16" s="862"/>
      <c r="DE16" s="197"/>
      <c r="DF16" s="452"/>
      <c r="DG16" s="452"/>
      <c r="DH16" s="452"/>
      <c r="DI16" s="862"/>
    </row>
    <row r="17" spans="1:153" s="355" customFormat="1" ht="11.25" hidden="1" customHeight="1" outlineLevel="1">
      <c r="A17" s="370" t="s">
        <v>29</v>
      </c>
      <c r="B17" s="363"/>
      <c r="C17" s="357"/>
      <c r="D17" s="363"/>
      <c r="E17" s="357"/>
      <c r="F17" s="363"/>
      <c r="G17" s="357"/>
      <c r="H17" s="363"/>
      <c r="I17" s="357"/>
      <c r="J17" s="363"/>
      <c r="K17" s="357"/>
      <c r="L17" s="363"/>
      <c r="M17" s="357"/>
      <c r="N17" s="363"/>
      <c r="O17" s="357"/>
      <c r="P17" s="363"/>
      <c r="Q17" s="357"/>
      <c r="R17" s="363"/>
      <c r="S17" s="362"/>
      <c r="T17" s="363"/>
      <c r="U17" s="363"/>
      <c r="V17" s="363"/>
      <c r="W17" s="357"/>
      <c r="X17" s="363"/>
      <c r="Y17" s="362"/>
      <c r="Z17" s="363"/>
      <c r="AA17" s="363"/>
      <c r="AB17" s="363"/>
      <c r="AC17" s="402">
        <f>AC9+AC12+AC15</f>
        <v>1032.3999999999999</v>
      </c>
      <c r="AD17" s="363"/>
      <c r="AE17" s="382">
        <f>AE9+AE12+AE15</f>
        <v>238.30000000000004</v>
      </c>
      <c r="AF17" s="389">
        <f>AF9+AF12+AF15</f>
        <v>311.5</v>
      </c>
      <c r="AG17" s="389">
        <f>AG9+AG12+AG15</f>
        <v>242.1</v>
      </c>
      <c r="AH17" s="389">
        <f>AH9+AH12+AH15</f>
        <v>315.19999999999993</v>
      </c>
      <c r="AI17" s="402">
        <f>AI9+AI12+AI15</f>
        <v>1107.0999999999999</v>
      </c>
      <c r="AJ17" s="363"/>
      <c r="AK17" s="382">
        <f>AK9+AK12+AK15</f>
        <v>230.5</v>
      </c>
      <c r="AL17" s="389">
        <f>AL9+AL12+AL15</f>
        <v>252.5</v>
      </c>
      <c r="AM17" s="389">
        <f>AM9+AM12+AM15</f>
        <v>265.10000000000002</v>
      </c>
      <c r="AN17" s="389">
        <f>AN9+AN12+AN15</f>
        <v>366.40000000000003</v>
      </c>
      <c r="AO17" s="402">
        <f>AO9+AO12+AO15</f>
        <v>1114.5</v>
      </c>
      <c r="AP17" s="363"/>
      <c r="AQ17" s="382">
        <f>AQ9+AQ12+AQ15</f>
        <v>277.7</v>
      </c>
      <c r="AR17" s="389">
        <f>AR9+AR12+AR15</f>
        <v>300.89999999999998</v>
      </c>
      <c r="AS17" s="389">
        <f>AS9+AS12+AS15</f>
        <v>310.2</v>
      </c>
      <c r="AT17" s="389">
        <f>AT9+AT12+AT15</f>
        <v>416.10000000000008</v>
      </c>
      <c r="AU17" s="402">
        <f>AU9+AU12+AU15</f>
        <v>1304.9000000000001</v>
      </c>
      <c r="AV17" s="363"/>
      <c r="AW17" s="382">
        <f>AW9+AW12+AW15</f>
        <v>357</v>
      </c>
      <c r="AX17" s="389">
        <f>AX9+AX12+AX15</f>
        <v>401.2</v>
      </c>
      <c r="AY17" s="389">
        <f>AY9+AY12+AY15</f>
        <v>418.4</v>
      </c>
      <c r="AZ17" s="389">
        <f>AZ9+AZ12+AZ15</f>
        <v>475.10000000000014</v>
      </c>
      <c r="BA17" s="402">
        <f>BA9+BA12+BA15</f>
        <v>1651.7000000000003</v>
      </c>
      <c r="BB17" s="395"/>
      <c r="BC17" s="382">
        <f>BC9+BC12+BC15</f>
        <v>405.6</v>
      </c>
      <c r="BD17" s="389">
        <f>BD9+BD12+BD15</f>
        <v>420.7</v>
      </c>
      <c r="BE17" s="389">
        <f>BE9+BE12+BE15</f>
        <v>447.79999999999995</v>
      </c>
      <c r="BF17" s="389">
        <f>BF9+BF12+BF15</f>
        <v>517.29999999999995</v>
      </c>
      <c r="BG17" s="402">
        <f>BG9+BG12+BG15</f>
        <v>1791.3999999999999</v>
      </c>
      <c r="BH17" s="363"/>
      <c r="BI17" s="382">
        <f>BI9+BI12+BI15</f>
        <v>393.4</v>
      </c>
      <c r="BJ17" s="389">
        <f>BJ9+BJ12+BJ15</f>
        <v>454.90000000000003</v>
      </c>
      <c r="BK17" s="389">
        <f>BK9+BK12+BK15</f>
        <v>439</v>
      </c>
      <c r="BL17" s="389">
        <f>BL9+BL12+BL15</f>
        <v>552.1</v>
      </c>
      <c r="BM17" s="402">
        <f>BM9+BM12+BM15</f>
        <v>1839.4</v>
      </c>
      <c r="BN17" s="363"/>
      <c r="BO17" s="382">
        <f>BO9+BO12+BO15</f>
        <v>423.7</v>
      </c>
      <c r="BP17" s="389">
        <f>BP9+BP12+BP15</f>
        <v>457.4</v>
      </c>
      <c r="BQ17" s="389">
        <f>BQ9+BQ12+BQ15</f>
        <v>419.79999999999995</v>
      </c>
      <c r="BR17" s="389">
        <f>BR9+BR12+BR15</f>
        <v>508.00000000000011</v>
      </c>
      <c r="BS17" s="402">
        <f>BS9+BS12+BS15</f>
        <v>1808.9000000000003</v>
      </c>
      <c r="BT17" s="363"/>
      <c r="BU17" s="382">
        <f>BU9+BU12+BU15</f>
        <v>353.5</v>
      </c>
      <c r="BV17" s="389">
        <f>BV9+BV12+BV15</f>
        <v>396</v>
      </c>
      <c r="BW17" s="389">
        <f>BW9+BW12+BW15</f>
        <v>396.1</v>
      </c>
      <c r="BX17" s="389">
        <f>BX9+BX12+BX15</f>
        <v>478.21708464882067</v>
      </c>
      <c r="BY17" s="402">
        <f>BY9+BY12+BY15</f>
        <v>1623.817084648821</v>
      </c>
      <c r="BZ17" s="363"/>
      <c r="CA17" s="382">
        <f>CA9+CA12+CA15</f>
        <v>375.4</v>
      </c>
      <c r="CB17" s="389">
        <f>CB9+CB12+CB15</f>
        <v>371.70000000000005</v>
      </c>
      <c r="CC17" s="389">
        <f>CC9+CC12+CC15</f>
        <v>393.9</v>
      </c>
      <c r="CD17" s="389">
        <f>CD9+CD12+CD15</f>
        <v>470.29999999999984</v>
      </c>
      <c r="CE17" s="402">
        <f>CE9+CE12+CE15</f>
        <v>1611.2999999999997</v>
      </c>
      <c r="CF17" s="363"/>
      <c r="CG17" s="382">
        <f>CG9+CG12+CG15</f>
        <v>384.9</v>
      </c>
      <c r="CH17" s="389">
        <f>CH9+CH12+CH15</f>
        <v>414.9</v>
      </c>
      <c r="CI17" s="389">
        <f>CI9+CI12+CI15</f>
        <v>435.59999999999997</v>
      </c>
      <c r="CJ17" s="389">
        <f>CJ9+CJ12+CJ15</f>
        <v>530.46370345203604</v>
      </c>
      <c r="CK17" s="402">
        <f>CK9+CK12+CK15</f>
        <v>1765.8637034520361</v>
      </c>
      <c r="CL17" s="363"/>
      <c r="CM17" s="382">
        <f>CM9+CM12+CM15</f>
        <v>423.67719212356712</v>
      </c>
      <c r="CN17" s="389">
        <f>CN9+CN12+CN15</f>
        <v>434.28431579916509</v>
      </c>
      <c r="CO17" s="389">
        <f>CO9+CO12+CO15</f>
        <v>450.99979220185833</v>
      </c>
      <c r="CP17" s="389">
        <f>CP9+CP12+CP15</f>
        <v>557.78771178427723</v>
      </c>
      <c r="CQ17" s="402">
        <f>CQ9+CQ12+CQ15</f>
        <v>1866.7490119088677</v>
      </c>
      <c r="CS17" s="382">
        <f>CS9+CS12+CS15</f>
        <v>431.04260438906022</v>
      </c>
      <c r="CT17" s="389">
        <f>CT9+CT12+CT15</f>
        <v>449.4041565537683</v>
      </c>
      <c r="CU17" s="389">
        <f>CU9+CU12+CU15</f>
        <v>457.78929117749834</v>
      </c>
      <c r="CV17" s="389">
        <f>CV9+CV12+CV15</f>
        <v>584.88759699941534</v>
      </c>
      <c r="CW17" s="402">
        <f>CW9+CW12+CW15</f>
        <v>1923.1236491197421</v>
      </c>
      <c r="CY17" s="382">
        <f>CY9+CY12+CY15</f>
        <v>442.66440709619286</v>
      </c>
      <c r="CZ17" s="389">
        <f>CZ9+CZ12+CZ15</f>
        <v>453.8948027185067</v>
      </c>
      <c r="DA17" s="389">
        <f>DA9+DA12+DA15</f>
        <v>473.67666555024914</v>
      </c>
      <c r="DB17" s="389">
        <f>DB9+DB12+DB15</f>
        <v>596.03831619289554</v>
      </c>
      <c r="DC17" s="402">
        <f>DC9+DC12+DC15</f>
        <v>1966.2741915578445</v>
      </c>
      <c r="DE17" s="382">
        <f>DE9+DE12+DE15</f>
        <v>449.85713597755313</v>
      </c>
      <c r="DF17" s="389">
        <f>DF9+DF12+DF15</f>
        <v>468.52225147081901</v>
      </c>
      <c r="DG17" s="389">
        <f>DG9+DG12+DG15</f>
        <v>480.76509934093394</v>
      </c>
      <c r="DH17" s="389">
        <f>DH9+DH12+DH15</f>
        <v>612.82352954560815</v>
      </c>
      <c r="DI17" s="402">
        <f>DI9+DI12+DI15</f>
        <v>2011.9680163349144</v>
      </c>
    </row>
    <row r="18" spans="1:153" s="355" customFormat="1" ht="11.25" hidden="1" customHeight="1" outlineLevel="1">
      <c r="A18" s="371" t="s">
        <v>247</v>
      </c>
      <c r="B18" s="366"/>
      <c r="C18" s="358"/>
      <c r="D18" s="366"/>
      <c r="E18" s="358"/>
      <c r="F18" s="366"/>
      <c r="G18" s="358"/>
      <c r="H18" s="366"/>
      <c r="I18" s="358"/>
      <c r="J18" s="366"/>
      <c r="K18" s="358"/>
      <c r="L18" s="366"/>
      <c r="M18" s="358"/>
      <c r="N18" s="366"/>
      <c r="O18" s="358"/>
      <c r="P18" s="366"/>
      <c r="Q18" s="358"/>
      <c r="R18" s="366"/>
      <c r="S18" s="365"/>
      <c r="T18" s="366"/>
      <c r="U18" s="366"/>
      <c r="V18" s="366"/>
      <c r="W18" s="358"/>
      <c r="X18" s="366"/>
      <c r="Y18" s="365"/>
      <c r="Z18" s="366"/>
      <c r="AA18" s="366"/>
      <c r="AB18" s="366"/>
      <c r="AC18" s="403"/>
      <c r="AD18" s="366"/>
      <c r="AE18" s="379"/>
      <c r="AF18" s="390"/>
      <c r="AG18" s="390"/>
      <c r="AH18" s="390"/>
      <c r="AI18" s="403">
        <f>AI17/AC17-1</f>
        <v>7.2355676094536969E-2</v>
      </c>
      <c r="AJ18" s="366"/>
      <c r="AK18" s="379">
        <f>AK17/AE17-1</f>
        <v>-3.2731850608476831E-2</v>
      </c>
      <c r="AL18" s="390">
        <f>AL17/AF17-1</f>
        <v>-0.1894060995184591</v>
      </c>
      <c r="AM18" s="390">
        <f>AM17/AG17-1</f>
        <v>9.5002065262288493E-2</v>
      </c>
      <c r="AN18" s="390">
        <f>AN17/AH17-1</f>
        <v>0.16243654822335052</v>
      </c>
      <c r="AO18" s="403">
        <f>AO17/AI17-1</f>
        <v>6.6841297082469442E-3</v>
      </c>
      <c r="AP18" s="366"/>
      <c r="AQ18" s="379">
        <f>AQ17/AK17-1</f>
        <v>0.20477223427331892</v>
      </c>
      <c r="AR18" s="390">
        <f>AR17/AL17-1</f>
        <v>0.19168316831683163</v>
      </c>
      <c r="AS18" s="390">
        <f>AS17/AM17-1</f>
        <v>0.17012448132780067</v>
      </c>
      <c r="AT18" s="390">
        <f>AT17/AN17-1</f>
        <v>0.13564410480349354</v>
      </c>
      <c r="AU18" s="403">
        <f>AU17/AO17-1</f>
        <v>0.17083894122925081</v>
      </c>
      <c r="AV18" s="366"/>
      <c r="AW18" s="379">
        <f>AW17/AQ17-1</f>
        <v>0.28555995678790058</v>
      </c>
      <c r="AX18" s="390">
        <f>AX17/AR17-1</f>
        <v>0.33333333333333348</v>
      </c>
      <c r="AY18" s="390">
        <f>AY17/AS17-1</f>
        <v>0.34880722114764673</v>
      </c>
      <c r="AZ18" s="390">
        <f>AZ17/AT17-1</f>
        <v>0.14179283826003375</v>
      </c>
      <c r="BA18" s="403">
        <f>BA17/AU17-1</f>
        <v>0.26576749176182091</v>
      </c>
      <c r="BB18" s="366"/>
      <c r="BC18" s="379">
        <f>BC17/AW17-1</f>
        <v>0.13613445378151257</v>
      </c>
      <c r="BD18" s="390">
        <f>BD17/AX17-1</f>
        <v>4.8604187437687019E-2</v>
      </c>
      <c r="BE18" s="390">
        <f>BE17/AY17-1</f>
        <v>7.0267686424474229E-2</v>
      </c>
      <c r="BF18" s="390">
        <f>BF17/AZ17-1</f>
        <v>8.8823405598820848E-2</v>
      </c>
      <c r="BG18" s="403">
        <f>BG17/BA17-1</f>
        <v>8.4579524126657146E-2</v>
      </c>
      <c r="BH18" s="366"/>
      <c r="BI18" s="379">
        <f>BI17/BC17-1</f>
        <v>-3.0078895463510946E-2</v>
      </c>
      <c r="BJ18" s="390">
        <f>BJ17/BD17-1</f>
        <v>8.1293082956976681E-2</v>
      </c>
      <c r="BK18" s="390">
        <f>BK17/BE17-1</f>
        <v>-1.9651630192049963E-2</v>
      </c>
      <c r="BL18" s="390">
        <f>BL17/BF17-1</f>
        <v>6.7272375797409856E-2</v>
      </c>
      <c r="BM18" s="403">
        <f>BM17/BG17-1</f>
        <v>2.6794685720665568E-2</v>
      </c>
      <c r="BN18" s="366"/>
      <c r="BO18" s="379">
        <f>BO17/BI17-1</f>
        <v>7.7020843924758609E-2</v>
      </c>
      <c r="BP18" s="390">
        <f>BP17/BJ17-1</f>
        <v>5.4957133435917793E-3</v>
      </c>
      <c r="BQ18" s="390">
        <f>BQ17/BK17-1</f>
        <v>-4.373576309795002E-2</v>
      </c>
      <c r="BR18" s="390">
        <f>BR17/BL17-1</f>
        <v>-7.9876833906900702E-2</v>
      </c>
      <c r="BS18" s="403">
        <f>BS17/BM17-1</f>
        <v>-1.6581493965423411E-2</v>
      </c>
      <c r="BT18" s="366"/>
      <c r="BU18" s="379">
        <f>BU17/BO17-1</f>
        <v>-0.16568326646211939</v>
      </c>
      <c r="BV18" s="390">
        <f>BV17/BP17-1</f>
        <v>-0.13423699169217307</v>
      </c>
      <c r="BW18" s="390">
        <f>BW17/BQ17-1</f>
        <v>-5.6455454978561082E-2</v>
      </c>
      <c r="BX18" s="390">
        <f>BX17/BR17-1</f>
        <v>-5.8627786124368919E-2</v>
      </c>
      <c r="BY18" s="403">
        <f>BY17/BS17-1</f>
        <v>-0.10231793650902721</v>
      </c>
      <c r="BZ18" s="366"/>
      <c r="CA18" s="379">
        <f>CA17/BU17-1</f>
        <v>6.1951909476661848E-2</v>
      </c>
      <c r="CB18" s="390">
        <f>CB17/BV17-1</f>
        <v>-6.1363636363636287E-2</v>
      </c>
      <c r="CC18" s="390">
        <f>CC17/BW17-1</f>
        <v>-5.554152991668837E-3</v>
      </c>
      <c r="CD18" s="390">
        <f>CD17/BX17-1</f>
        <v>-1.6555419919041081E-2</v>
      </c>
      <c r="CE18" s="403">
        <f>CE17/BY17-1</f>
        <v>-7.7084326597834929E-3</v>
      </c>
      <c r="CF18" s="366"/>
      <c r="CG18" s="379">
        <f>CG17/CA17-1</f>
        <v>2.5306339904102249E-2</v>
      </c>
      <c r="CH18" s="390">
        <f>CH17/CB17-1</f>
        <v>0.11622276029055678</v>
      </c>
      <c r="CI18" s="390">
        <f>CI17/CC17-1</f>
        <v>0.10586443259710587</v>
      </c>
      <c r="CJ18" s="390">
        <f>CJ17/CD17-1</f>
        <v>0.12792622464817405</v>
      </c>
      <c r="CK18" s="403">
        <f>CK17/CE17-1</f>
        <v>9.5924845436626605E-2</v>
      </c>
      <c r="CL18" s="366"/>
      <c r="CM18" s="379">
        <f>CM17/CG17-1</f>
        <v>0.1007461473722191</v>
      </c>
      <c r="CN18" s="390">
        <f>CN17/CH17-1</f>
        <v>4.6720452637177834E-2</v>
      </c>
      <c r="CO18" s="390">
        <f>CO17/CI17-1</f>
        <v>3.5353058314642638E-2</v>
      </c>
      <c r="CP18" s="390">
        <f>CP17/CJ17-1</f>
        <v>5.1509666268263032E-2</v>
      </c>
      <c r="CQ18" s="403">
        <f>CQ17/CK17-1</f>
        <v>5.713085798162898E-2</v>
      </c>
      <c r="CS18" s="379">
        <f>CS17/CM17-1</f>
        <v>1.7384490839773559E-2</v>
      </c>
      <c r="CT18" s="390">
        <f>CT17/CN17-1</f>
        <v>3.4815534903165579E-2</v>
      </c>
      <c r="CU18" s="390">
        <f>CU17/CO17-1</f>
        <v>1.5054328390025518E-2</v>
      </c>
      <c r="CV18" s="390">
        <f>CV17/CP17-1</f>
        <v>4.8584586290812526E-2</v>
      </c>
      <c r="CW18" s="403">
        <f>CW17/CQ17-1</f>
        <v>3.0199366305397435E-2</v>
      </c>
      <c r="CY18" s="379">
        <f>CY17/CS17-1</f>
        <v>2.696207425622088E-2</v>
      </c>
      <c r="CZ18" s="390">
        <f>CZ17/CT17-1</f>
        <v>9.992444660892108E-3</v>
      </c>
      <c r="DA18" s="390">
        <f>DA17/CU17-1</f>
        <v>3.4704556613559534E-2</v>
      </c>
      <c r="DB18" s="390">
        <f>DB17/CV17-1</f>
        <v>1.9064721581865562E-2</v>
      </c>
      <c r="DC18" s="403">
        <f>DC17/CW17-1</f>
        <v>2.2437736885952964E-2</v>
      </c>
      <c r="DE18" s="379">
        <f>DE17/CY17-1</f>
        <v>1.6248717461933238E-2</v>
      </c>
      <c r="DF18" s="390">
        <f>DF17/CZ17-1</f>
        <v>3.2226517388399989E-2</v>
      </c>
      <c r="DG18" s="390">
        <f>DG17/DA17-1</f>
        <v>1.496470969801833E-2</v>
      </c>
      <c r="DH18" s="390">
        <f>DH17/DB17-1</f>
        <v>2.8161299192853262E-2</v>
      </c>
      <c r="DI18" s="403">
        <f>DI17/DC17-1</f>
        <v>2.3238785807826456E-2</v>
      </c>
    </row>
    <row r="19" spans="1:153" s="355" customFormat="1" ht="3.75" hidden="1" customHeight="1" outlineLevel="1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400"/>
      <c r="AD19" s="9"/>
      <c r="AE19" s="400"/>
      <c r="AF19" s="400"/>
      <c r="AG19" s="400"/>
      <c r="AH19" s="400"/>
      <c r="AI19" s="400"/>
      <c r="AJ19" s="9"/>
      <c r="AK19" s="400"/>
      <c r="AL19" s="400"/>
      <c r="AM19" s="400"/>
      <c r="AN19" s="400"/>
      <c r="AO19" s="400"/>
      <c r="AP19" s="9"/>
      <c r="AQ19" s="400"/>
      <c r="AR19" s="400"/>
      <c r="AS19" s="400"/>
      <c r="AT19" s="400"/>
      <c r="AU19" s="400"/>
      <c r="AV19" s="9"/>
      <c r="AW19" s="400"/>
      <c r="AX19" s="400"/>
      <c r="AY19" s="400"/>
      <c r="AZ19" s="400"/>
      <c r="BA19" s="400"/>
      <c r="BB19" s="9"/>
      <c r="BC19" s="400"/>
      <c r="BD19" s="400"/>
      <c r="BE19" s="9"/>
      <c r="BF19" s="9"/>
      <c r="BG19" s="774"/>
      <c r="BH19" s="9"/>
      <c r="BI19" s="400"/>
      <c r="BJ19" s="400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1635"/>
      <c r="BX19" s="1635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S19" s="9"/>
      <c r="CT19" s="9"/>
      <c r="CU19" s="9"/>
      <c r="CV19" s="9"/>
      <c r="CW19" s="9"/>
      <c r="CY19" s="9"/>
      <c r="CZ19" s="9"/>
      <c r="DA19" s="9"/>
      <c r="DB19" s="9"/>
      <c r="DC19" s="9"/>
      <c r="DE19" s="9"/>
      <c r="DF19" s="9"/>
      <c r="DG19" s="9"/>
      <c r="DH19" s="9"/>
      <c r="DI19" s="9"/>
    </row>
    <row r="20" spans="1:153" s="355" customFormat="1" ht="3.75" hidden="1" customHeight="1" outlineLevel="1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400"/>
      <c r="AD20" s="9"/>
      <c r="AE20" s="400"/>
      <c r="AF20" s="400"/>
      <c r="AG20" s="400"/>
      <c r="AH20" s="400"/>
      <c r="AI20" s="400"/>
      <c r="AJ20" s="9"/>
      <c r="AK20" s="400"/>
      <c r="AL20" s="400"/>
      <c r="AM20" s="400"/>
      <c r="AN20" s="400"/>
      <c r="AO20" s="400"/>
      <c r="AP20" s="9"/>
      <c r="AQ20" s="400"/>
      <c r="AR20" s="400"/>
      <c r="AS20" s="400"/>
      <c r="AT20" s="400"/>
      <c r="AU20" s="400"/>
      <c r="AV20" s="9"/>
      <c r="AW20" s="400"/>
      <c r="AX20" s="400"/>
      <c r="AY20" s="400"/>
      <c r="AZ20" s="400"/>
      <c r="BA20" s="400"/>
      <c r="BB20" s="9"/>
      <c r="BC20" s="400"/>
      <c r="BD20" s="400"/>
      <c r="BE20" s="9"/>
      <c r="BF20" s="9"/>
      <c r="BG20" s="774"/>
      <c r="BH20" s="9"/>
      <c r="BI20" s="400"/>
      <c r="BJ20" s="400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1636"/>
      <c r="BX20" s="1636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S20" s="9"/>
      <c r="CT20" s="9"/>
      <c r="CU20" s="9"/>
      <c r="CV20" s="9"/>
      <c r="CW20" s="9"/>
      <c r="CY20" s="9"/>
      <c r="CZ20" s="9"/>
      <c r="DA20" s="9"/>
      <c r="DB20" s="9"/>
      <c r="DC20" s="9"/>
      <c r="DE20" s="9"/>
      <c r="DF20" s="9"/>
      <c r="DG20" s="9"/>
      <c r="DH20" s="9"/>
      <c r="DI20" s="9"/>
    </row>
    <row r="21" spans="1:153" s="355" customFormat="1" ht="11.25" customHeight="1" collapsed="1">
      <c r="A21" s="73" t="s">
        <v>364</v>
      </c>
      <c r="B21" s="867"/>
      <c r="C21" s="867"/>
      <c r="D21" s="867"/>
      <c r="E21" s="867"/>
      <c r="F21" s="867"/>
      <c r="G21" s="867"/>
      <c r="H21" s="867"/>
      <c r="I21" s="867"/>
      <c r="J21" s="867"/>
      <c r="K21" s="867"/>
      <c r="L21" s="867"/>
      <c r="M21" s="867"/>
      <c r="N21" s="867"/>
      <c r="O21" s="867"/>
      <c r="P21" s="867"/>
      <c r="Q21" s="867"/>
      <c r="R21" s="867"/>
      <c r="S21" s="867"/>
      <c r="T21" s="867"/>
      <c r="U21" s="867"/>
      <c r="V21" s="867"/>
      <c r="W21" s="867"/>
      <c r="X21" s="867"/>
      <c r="Y21" s="867"/>
      <c r="Z21" s="867"/>
      <c r="AA21" s="867"/>
      <c r="AB21" s="867"/>
      <c r="AC21" s="868"/>
      <c r="AD21" s="867"/>
      <c r="AE21" s="868"/>
      <c r="AF21" s="868"/>
      <c r="AG21" s="868"/>
      <c r="AH21" s="868"/>
      <c r="AI21" s="868"/>
      <c r="AJ21" s="867"/>
      <c r="AK21" s="868"/>
      <c r="AL21" s="868"/>
      <c r="AM21" s="868"/>
      <c r="AN21" s="868"/>
      <c r="AO21" s="868"/>
      <c r="AP21" s="867"/>
      <c r="AQ21" s="868"/>
      <c r="AR21" s="868"/>
      <c r="AS21" s="868"/>
      <c r="AT21" s="868"/>
      <c r="AU21" s="868"/>
      <c r="AV21" s="867"/>
      <c r="AW21" s="868"/>
      <c r="AX21" s="868"/>
      <c r="AY21" s="868"/>
      <c r="AZ21" s="868"/>
      <c r="BA21" s="868"/>
      <c r="BB21" s="867"/>
      <c r="BC21" s="868"/>
      <c r="BD21" s="868"/>
      <c r="BE21" s="867"/>
      <c r="BF21" s="867"/>
      <c r="BG21" s="869"/>
      <c r="BH21" s="867"/>
      <c r="BI21" s="868"/>
      <c r="BJ21" s="868"/>
      <c r="BK21" s="867"/>
      <c r="BL21" s="867"/>
      <c r="BM21" s="867"/>
      <c r="BN21" s="867"/>
      <c r="BO21" s="867"/>
      <c r="BP21" s="867"/>
      <c r="BQ21" s="867"/>
      <c r="BR21" s="867"/>
      <c r="BS21" s="867"/>
      <c r="BT21" s="867"/>
      <c r="BU21" s="867"/>
      <c r="BV21" s="867"/>
      <c r="BW21" s="867"/>
      <c r="BX21" s="867"/>
      <c r="BY21" s="867"/>
      <c r="BZ21" s="867"/>
      <c r="CA21" s="867"/>
      <c r="CB21" s="867"/>
      <c r="CC21" s="867"/>
      <c r="CD21" s="867"/>
      <c r="CE21" s="867"/>
      <c r="CF21" s="867"/>
      <c r="CG21" s="867"/>
      <c r="CH21" s="867"/>
      <c r="CI21" s="867"/>
      <c r="CJ21" s="867"/>
      <c r="CK21" s="867"/>
      <c r="CL21" s="867"/>
      <c r="CM21" s="867"/>
      <c r="CN21" s="867"/>
      <c r="CO21" s="867"/>
      <c r="CP21" s="867"/>
      <c r="CQ21" s="1991"/>
      <c r="CR21" s="1987"/>
      <c r="CS21" s="1991"/>
      <c r="CT21" s="1991"/>
      <c r="CU21" s="1991"/>
      <c r="CV21" s="1991"/>
      <c r="CW21" s="1991"/>
      <c r="CX21" s="1987"/>
      <c r="CY21" s="1991"/>
      <c r="CZ21" s="1991"/>
      <c r="DA21" s="1991"/>
      <c r="DB21" s="1991"/>
      <c r="DC21" s="1991"/>
      <c r="DD21" s="1987"/>
      <c r="DE21" s="1991"/>
      <c r="DF21" s="1991"/>
      <c r="DG21" s="1991"/>
      <c r="DH21" s="1991"/>
      <c r="DI21" s="1991"/>
    </row>
    <row r="22" spans="1:153" s="355" customFormat="1" ht="11.25" customHeight="1">
      <c r="A22" s="1513" t="s">
        <v>500</v>
      </c>
      <c r="B22" s="1623"/>
      <c r="C22" s="1529"/>
      <c r="D22" s="1514"/>
      <c r="E22" s="1515"/>
      <c r="F22" s="1514"/>
      <c r="G22" s="1515"/>
      <c r="H22" s="1514"/>
      <c r="I22" s="1515"/>
      <c r="J22" s="1514"/>
      <c r="K22" s="1515"/>
      <c r="L22" s="1514"/>
      <c r="M22" s="1515"/>
      <c r="N22" s="1514"/>
      <c r="O22" s="1515"/>
      <c r="P22" s="1514"/>
      <c r="Q22" s="1515"/>
      <c r="R22" s="1514"/>
      <c r="S22" s="1516"/>
      <c r="T22" s="1517"/>
      <c r="U22" s="1517"/>
      <c r="V22" s="1518"/>
      <c r="W22" s="1518"/>
      <c r="X22" s="1517"/>
      <c r="Y22" s="1516"/>
      <c r="Z22" s="1517"/>
      <c r="AA22" s="1517"/>
      <c r="AB22" s="1518"/>
      <c r="AC22" s="1518"/>
      <c r="AD22" s="1517"/>
      <c r="AE22" s="1516"/>
      <c r="AF22" s="1517"/>
      <c r="AG22" s="1517"/>
      <c r="AH22" s="1518"/>
      <c r="AI22" s="1518"/>
      <c r="AJ22" s="1517"/>
      <c r="AK22" s="1516"/>
      <c r="AL22" s="1517"/>
      <c r="AM22" s="1517"/>
      <c r="AN22" s="1518"/>
      <c r="AO22" s="1518"/>
      <c r="AP22" s="1517"/>
      <c r="AQ22" s="1516"/>
      <c r="AR22" s="1517"/>
      <c r="AS22" s="1517"/>
      <c r="AT22" s="1518"/>
      <c r="AU22" s="1518"/>
      <c r="AV22" s="1517"/>
      <c r="AW22" s="1516"/>
      <c r="AX22" s="1517"/>
      <c r="AY22" s="1517"/>
      <c r="AZ22" s="1518"/>
      <c r="BA22" s="1519"/>
      <c r="BB22" s="1517"/>
      <c r="BC22" s="1516"/>
      <c r="BD22" s="1517"/>
      <c r="BE22" s="1517"/>
      <c r="BF22" s="1518"/>
      <c r="BG22" s="1519"/>
      <c r="BH22" s="1517"/>
      <c r="BI22" s="1516"/>
      <c r="BJ22" s="1517"/>
      <c r="BK22" s="1517"/>
      <c r="BL22" s="1518"/>
      <c r="BM22" s="1519"/>
      <c r="BN22" s="1517"/>
      <c r="BO22" s="1516"/>
      <c r="BP22" s="1517"/>
      <c r="BQ22" s="1517"/>
      <c r="BR22" s="1518"/>
      <c r="BS22" s="1519"/>
      <c r="BT22" s="1517"/>
      <c r="BU22" s="1516"/>
      <c r="BV22" s="1517"/>
      <c r="BW22" s="1517"/>
      <c r="BX22" s="1518"/>
      <c r="BY22" s="1519"/>
      <c r="BZ22" s="1517"/>
      <c r="CA22" s="1516"/>
      <c r="CB22" s="1517"/>
      <c r="CC22" s="1517"/>
      <c r="CD22" s="1518"/>
      <c r="CE22" s="1519"/>
      <c r="CF22" s="1517"/>
      <c r="CG22" s="1516"/>
      <c r="CH22" s="1517"/>
      <c r="CI22" s="1517"/>
      <c r="CJ22" s="1518"/>
      <c r="CK22" s="1519"/>
      <c r="CL22" s="1517"/>
      <c r="CM22" s="1516"/>
      <c r="CN22" s="1517"/>
      <c r="CO22" s="1517"/>
      <c r="CP22" s="1518"/>
      <c r="CQ22" s="1992"/>
      <c r="CR22" s="1993"/>
      <c r="CS22" s="1994"/>
      <c r="CT22" s="1995"/>
      <c r="CU22" s="1995"/>
      <c r="CV22" s="1996"/>
      <c r="CW22" s="1992"/>
      <c r="CX22" s="1993"/>
      <c r="CY22" s="1994"/>
      <c r="CZ22" s="1995"/>
      <c r="DA22" s="1995"/>
      <c r="DB22" s="1996"/>
      <c r="DC22" s="1992"/>
      <c r="DD22" s="1993"/>
      <c r="DE22" s="1994"/>
      <c r="DF22" s="1995"/>
      <c r="DG22" s="1995"/>
      <c r="DH22" s="1996"/>
      <c r="DI22" s="1992"/>
    </row>
    <row r="23" spans="1:153" s="355" customFormat="1" ht="11.25" customHeight="1">
      <c r="A23" s="1547" t="s">
        <v>420</v>
      </c>
      <c r="B23" s="353"/>
      <c r="C23" s="428"/>
      <c r="D23" s="353"/>
      <c r="E23" s="428"/>
      <c r="F23" s="353"/>
      <c r="G23" s="428"/>
      <c r="H23" s="353"/>
      <c r="I23" s="428"/>
      <c r="J23" s="353"/>
      <c r="K23" s="428"/>
      <c r="L23" s="353"/>
      <c r="M23" s="428"/>
      <c r="N23" s="353"/>
      <c r="O23" s="428"/>
      <c r="P23" s="353"/>
      <c r="Q23" s="428"/>
      <c r="R23" s="353"/>
      <c r="S23" s="418"/>
      <c r="T23" s="353"/>
      <c r="U23" s="353"/>
      <c r="V23" s="353"/>
      <c r="W23" s="428"/>
      <c r="X23" s="353"/>
      <c r="Y23" s="418"/>
      <c r="Z23" s="353"/>
      <c r="AA23" s="353"/>
      <c r="AB23" s="353"/>
      <c r="AC23" s="435"/>
      <c r="AD23" s="353"/>
      <c r="AE23" s="440"/>
      <c r="AF23" s="451"/>
      <c r="AG23" s="451"/>
      <c r="AH23" s="451"/>
      <c r="AI23" s="435"/>
      <c r="AJ23" s="353"/>
      <c r="AK23" s="440"/>
      <c r="AL23" s="451"/>
      <c r="AM23" s="451"/>
      <c r="AN23" s="451"/>
      <c r="AO23" s="435"/>
      <c r="AP23" s="353"/>
      <c r="AQ23" s="1267"/>
      <c r="AR23" s="1266"/>
      <c r="AS23" s="1266"/>
      <c r="AT23" s="1266"/>
      <c r="AU23" s="155"/>
      <c r="AV23" s="1573"/>
      <c r="AW23" s="1267"/>
      <c r="AX23" s="1266"/>
      <c r="AY23" s="1266"/>
      <c r="AZ23" s="1266"/>
      <c r="BA23" s="155"/>
      <c r="BB23" s="753"/>
      <c r="BC23" s="1450">
        <f>BI23/(1+0.075)</f>
        <v>127.55502696081557</v>
      </c>
      <c r="BD23" s="1343">
        <f>BG23-SUM(BC23,BE23:BF23)</f>
        <v>134.86641813090705</v>
      </c>
      <c r="BE23" s="1343">
        <f>BK23/(1-0.05)</f>
        <v>157.16203177423586</v>
      </c>
      <c r="BF23" s="1343">
        <f>BL23/(1+0.28)</f>
        <v>146.57439091362073</v>
      </c>
      <c r="BG23" s="155">
        <f>BM23/(1+0.1)</f>
        <v>566.15786777957919</v>
      </c>
      <c r="BH23" s="1573"/>
      <c r="BI23" s="1450">
        <f>BO23/(1+0.055)</f>
        <v>137.12165398287672</v>
      </c>
      <c r="BJ23" s="1343">
        <f>BP23/(1+0.05)</f>
        <v>148.7328500197018</v>
      </c>
      <c r="BK23" s="1343">
        <f>BQ23/(1-0.04)</f>
        <v>149.30393018552405</v>
      </c>
      <c r="BL23" s="1343">
        <f>BM23-SUM(BI23:BK23)</f>
        <v>187.61522036943455</v>
      </c>
      <c r="BM23" s="155">
        <f>BS23/(1+0)</f>
        <v>622.77365455753716</v>
      </c>
      <c r="BN23" s="1573"/>
      <c r="BO23" s="1450">
        <f>BO$17*BO24</f>
        <v>144.66334495193493</v>
      </c>
      <c r="BP23" s="1343">
        <f>BP$17*BP24</f>
        <v>156.1694925206869</v>
      </c>
      <c r="BQ23" s="1343">
        <f>BQ$17*BQ24</f>
        <v>143.33177297810309</v>
      </c>
      <c r="BR23" s="1343">
        <f>BS23-SUM(BO23:BQ23)</f>
        <v>178.60904410681223</v>
      </c>
      <c r="BS23" s="1868">
        <v>622.77365455753716</v>
      </c>
      <c r="BT23" s="1573"/>
      <c r="BU23" s="1450">
        <f>BU53-BU40-BU32</f>
        <v>113.39967323200167</v>
      </c>
      <c r="BV23" s="1343">
        <f>BV53-BV40-BV32</f>
        <v>137.71050310470571</v>
      </c>
      <c r="BW23" s="1343">
        <f>BQ23*(1+BW25)</f>
        <v>139.74847865365052</v>
      </c>
      <c r="BX23" s="1343">
        <f>BY23-SUM(BU23:BW23)</f>
        <v>156.16143339757207</v>
      </c>
      <c r="BY23" s="1868">
        <v>547.02008838792995</v>
      </c>
      <c r="BZ23" s="1460"/>
      <c r="CA23" s="284">
        <f>BU23*(1+CA25)</f>
        <v>126.14025636657112</v>
      </c>
      <c r="CB23" s="105">
        <f>BV23*(1+CB25)</f>
        <v>136.33610565318449</v>
      </c>
      <c r="CC23" s="105">
        <f>BW23*(1+CC25)</f>
        <v>147.01539954364034</v>
      </c>
      <c r="CD23" s="105">
        <f>BX23*(1+CD25)</f>
        <v>158.81617776533079</v>
      </c>
      <c r="CE23" s="107">
        <f>SUM(CA23:CD23)</f>
        <v>568.30793932872666</v>
      </c>
      <c r="CF23" s="1460"/>
      <c r="CG23" s="284">
        <f>CA23*(1+CG25)</f>
        <v>126.0118355974714</v>
      </c>
      <c r="CH23" s="105">
        <f>CB23*(1+CH25)</f>
        <v>140.26718050582048</v>
      </c>
      <c r="CI23" s="105">
        <f>CC23*(1+CI25)</f>
        <v>150.79376913268771</v>
      </c>
      <c r="CJ23" s="105">
        <f>CD23*(1+CJ25)</f>
        <v>162.24250132063739</v>
      </c>
      <c r="CK23" s="107">
        <f>SUM(CG23:CJ23)</f>
        <v>579.31528655661702</v>
      </c>
      <c r="CL23" s="1460"/>
      <c r="CM23" s="284">
        <f>CG23*(1+CM25)</f>
        <v>129.79219066539554</v>
      </c>
      <c r="CN23" s="105">
        <f>CH23*(1+CN25)</f>
        <v>144.47519592099511</v>
      </c>
      <c r="CO23" s="105">
        <f>CI23*(1+CO25)</f>
        <v>155.31758220666836</v>
      </c>
      <c r="CP23" s="105">
        <f>CJ23*(1+CP25)</f>
        <v>177.10977636025652</v>
      </c>
      <c r="CQ23" s="107">
        <f>SUM(CM23:CP23)</f>
        <v>606.69474515331558</v>
      </c>
      <c r="CS23" s="284">
        <f>CM23*(1+CS25)</f>
        <v>133.6859563853574</v>
      </c>
      <c r="CT23" s="105">
        <f>CN23*(1+CT25)</f>
        <v>148.80945179862496</v>
      </c>
      <c r="CU23" s="105">
        <f>CO23*(1+CU25)</f>
        <v>159.97710967286841</v>
      </c>
      <c r="CV23" s="105">
        <f>CP23*(1+CV25)</f>
        <v>192.42306965106422</v>
      </c>
      <c r="CW23" s="107">
        <f>SUM(CS23:CV23)</f>
        <v>634.89558750791502</v>
      </c>
      <c r="CY23" s="284">
        <f>CS23*(1+CY25)</f>
        <v>137.69653507691814</v>
      </c>
      <c r="CZ23" s="105">
        <f>CT23*(1+CZ25)</f>
        <v>153.27373535258371</v>
      </c>
      <c r="DA23" s="105">
        <f>CU23*(1+DA25)</f>
        <v>164.77642296305447</v>
      </c>
      <c r="DB23" s="105">
        <f>CV23*(1+DB25)</f>
        <v>198.19576174059617</v>
      </c>
      <c r="DC23" s="107">
        <f>SUM(CY23:DB23)</f>
        <v>653.94245513315252</v>
      </c>
      <c r="DE23" s="284">
        <f>CY23*(1+DE25)</f>
        <v>141.82743112922569</v>
      </c>
      <c r="DF23" s="105">
        <f>CZ23*(1+DF25)</f>
        <v>157.87194741316122</v>
      </c>
      <c r="DG23" s="105">
        <f>DA23*(1+DG25)</f>
        <v>169.7197156519461</v>
      </c>
      <c r="DH23" s="105">
        <f>DB23*(1+DH25)</f>
        <v>204.14163459281406</v>
      </c>
      <c r="DI23" s="107">
        <f>SUM(DE23:DH23)</f>
        <v>673.56072878714713</v>
      </c>
      <c r="DL23" s="742"/>
      <c r="DM23" s="742"/>
      <c r="DN23" s="742"/>
    </row>
    <row r="24" spans="1:153" s="1582" customFormat="1" ht="11.25" hidden="1" customHeight="1" outlineLevel="1">
      <c r="A24" s="1583" t="s">
        <v>421</v>
      </c>
      <c r="B24" s="1577"/>
      <c r="C24" s="1578"/>
      <c r="D24" s="1577"/>
      <c r="E24" s="1578"/>
      <c r="F24" s="1577"/>
      <c r="G24" s="1578"/>
      <c r="H24" s="1577"/>
      <c r="I24" s="1578"/>
      <c r="J24" s="1577"/>
      <c r="K24" s="1578"/>
      <c r="L24" s="1577"/>
      <c r="M24" s="1578"/>
      <c r="N24" s="1577"/>
      <c r="O24" s="1578"/>
      <c r="P24" s="1577"/>
      <c r="Q24" s="1578"/>
      <c r="R24" s="1577"/>
      <c r="S24" s="1579"/>
      <c r="T24" s="1577"/>
      <c r="U24" s="1577"/>
      <c r="V24" s="1577"/>
      <c r="W24" s="1578"/>
      <c r="X24" s="1577"/>
      <c r="Y24" s="1579"/>
      <c r="Z24" s="1577"/>
      <c r="AA24" s="1577"/>
      <c r="AB24" s="1577"/>
      <c r="AC24" s="1584"/>
      <c r="AD24" s="1577"/>
      <c r="AE24" s="1585"/>
      <c r="AF24" s="1586"/>
      <c r="AG24" s="1586"/>
      <c r="AH24" s="1586"/>
      <c r="AI24" s="1584"/>
      <c r="AJ24" s="1577"/>
      <c r="AK24" s="1585"/>
      <c r="AL24" s="1586"/>
      <c r="AM24" s="1586"/>
      <c r="AN24" s="1586"/>
      <c r="AO24" s="1584"/>
      <c r="AP24" s="1577"/>
      <c r="AQ24" s="1585"/>
      <c r="AR24" s="1586"/>
      <c r="AS24" s="1586"/>
      <c r="AT24" s="1586"/>
      <c r="AU24" s="1584"/>
      <c r="AV24" s="1580"/>
      <c r="AW24" s="1585"/>
      <c r="AX24" s="1586"/>
      <c r="AY24" s="1586"/>
      <c r="AZ24" s="1586"/>
      <c r="BA24" s="1584"/>
      <c r="BB24" s="1581"/>
      <c r="BC24" s="1588">
        <f>BC23/BC$17</f>
        <v>0.31448478047538353</v>
      </c>
      <c r="BD24" s="1589">
        <f>BD23/BD$17</f>
        <v>0.32057622564988603</v>
      </c>
      <c r="BE24" s="1589">
        <f>BE23/BE$17</f>
        <v>0.35096478734755665</v>
      </c>
      <c r="BF24" s="1589">
        <f>BF23/BF$17</f>
        <v>0.28334504332808957</v>
      </c>
      <c r="BG24" s="1587">
        <f>BG23/BG$17</f>
        <v>0.31604212782158048</v>
      </c>
      <c r="BH24" s="1580"/>
      <c r="BI24" s="1588">
        <f>BI23/BI$17</f>
        <v>0.34855529736369273</v>
      </c>
      <c r="BJ24" s="1589">
        <f>BJ23/BJ$17</f>
        <v>0.32695724339349702</v>
      </c>
      <c r="BK24" s="1589">
        <f>BK23/BK$17</f>
        <v>0.34010006875973586</v>
      </c>
      <c r="BL24" s="1637">
        <f>BL23/BL$17</f>
        <v>0.33982108380625708</v>
      </c>
      <c r="BM24" s="1592">
        <f>BM23/BM$17</f>
        <v>0.33857434737280478</v>
      </c>
      <c r="BN24" s="1580"/>
      <c r="BO24" s="1588">
        <f>AVERAGE($BS24,$BM24)</f>
        <v>0.3414287112389307</v>
      </c>
      <c r="BP24" s="1589">
        <f>AVERAGE($BS24,$BM24)</f>
        <v>0.3414287112389307</v>
      </c>
      <c r="BQ24" s="1589">
        <f>AVERAGE($BS24,$BM24)</f>
        <v>0.3414287112389307</v>
      </c>
      <c r="BR24" s="1589">
        <f>BR23/BR$17</f>
        <v>0.35159260650947283</v>
      </c>
      <c r="BS24" s="1592">
        <f>BS23/BS$17</f>
        <v>0.34428307510505668</v>
      </c>
      <c r="BT24" s="1580"/>
      <c r="BU24" s="1588">
        <f>BU23/BU$17</f>
        <v>0.32079115482885906</v>
      </c>
      <c r="BV24" s="1589">
        <f>BV23/BV$17</f>
        <v>0.34775379571895382</v>
      </c>
      <c r="BW24" s="1589">
        <f>BW23/BW$17</f>
        <v>0.35281110490696926</v>
      </c>
      <c r="BX24" s="1589">
        <f>BX23/BX$17</f>
        <v>0.32654925641615129</v>
      </c>
      <c r="BY24" s="1592">
        <f>BY23/BY$17</f>
        <v>0.33687297267612665</v>
      </c>
      <c r="BZ24" s="1580"/>
      <c r="CA24" s="1593">
        <f>CA23/CA$17</f>
        <v>0.33601560033716338</v>
      </c>
      <c r="CB24" s="1591">
        <f>CB23/CB$17</f>
        <v>0.36679070662680785</v>
      </c>
      <c r="CC24" s="1591">
        <f>CC23/CC$17</f>
        <v>0.37323026032911993</v>
      </c>
      <c r="CD24" s="1591">
        <f>CD23/CD$17</f>
        <v>0.33769121361967008</v>
      </c>
      <c r="CE24" s="1592">
        <f>CE23/CE$17</f>
        <v>0.35270150768244696</v>
      </c>
      <c r="CF24" s="1580"/>
      <c r="CG24" s="1593">
        <f>CG23/CG$17</f>
        <v>0.32738850505968148</v>
      </c>
      <c r="CH24" s="1591">
        <f>CH23/CH$17</f>
        <v>0.33807466981398043</v>
      </c>
      <c r="CI24" s="1591">
        <f>CI23/CI$17</f>
        <v>0.34617486026787814</v>
      </c>
      <c r="CJ24" s="1591">
        <f>CJ23/CJ$17</f>
        <v>0.30585033483880425</v>
      </c>
      <c r="CK24" s="1592">
        <f>CK23/CK$17</f>
        <v>0.3280634204237452</v>
      </c>
      <c r="CL24" s="1580"/>
      <c r="CM24" s="1593">
        <f>CM23/CM$17</f>
        <v>0.30634689116694563</v>
      </c>
      <c r="CN24" s="1591">
        <f>CN23/CN$17</f>
        <v>0.33267421977957801</v>
      </c>
      <c r="CO24" s="1591">
        <f>CO23/CO$17</f>
        <v>0.34438504161694022</v>
      </c>
      <c r="CP24" s="1591">
        <f>CP23/CP$17</f>
        <v>0.3175218324435824</v>
      </c>
      <c r="CQ24" s="1592">
        <f>CQ23/CQ$17</f>
        <v>0.32500070512046619</v>
      </c>
      <c r="CS24" s="1593">
        <f>CS23/CS$17</f>
        <v>0.31014557499446643</v>
      </c>
      <c r="CT24" s="1591">
        <f>CT23/CT$17</f>
        <v>0.33112611360732014</v>
      </c>
      <c r="CU24" s="1591">
        <f>CU23/CU$17</f>
        <v>0.34945577093204783</v>
      </c>
      <c r="CV24" s="1591">
        <f>CV23/CV$17</f>
        <v>0.32899153724276459</v>
      </c>
      <c r="CW24" s="1592">
        <f>CW23/CW$17</f>
        <v>0.33013768396978599</v>
      </c>
      <c r="CY24" s="1593">
        <f>CY23/CY$17</f>
        <v>0.31106303752810216</v>
      </c>
      <c r="CZ24" s="1591">
        <f>CZ23/CZ$17</f>
        <v>0.33768559242049739</v>
      </c>
      <c r="DA24" s="1591">
        <f>DA23/DA$17</f>
        <v>0.34786687828846502</v>
      </c>
      <c r="DB24" s="1591">
        <f>DB23/DB$17</f>
        <v>0.33252184692846859</v>
      </c>
      <c r="DC24" s="1592">
        <f>DC23/DC$17</f>
        <v>0.33257948354346523</v>
      </c>
      <c r="DE24" s="1593">
        <f>DE23/DE$17</f>
        <v>0.31527216039605643</v>
      </c>
      <c r="DF24" s="1591">
        <f>DF23/DF$17</f>
        <v>0.33695720303050314</v>
      </c>
      <c r="DG24" s="1591">
        <f>DG23/DG$17</f>
        <v>0.3530200421881905</v>
      </c>
      <c r="DH24" s="1591">
        <f>DH23/DH$17</f>
        <v>0.33311650866959935</v>
      </c>
      <c r="DI24" s="1592">
        <f>DI23/DI$17</f>
        <v>0.33477705575764255</v>
      </c>
    </row>
    <row r="25" spans="1:153" s="355" customFormat="1" ht="11.25" customHeight="1" collapsed="1">
      <c r="A25" s="417" t="s">
        <v>247</v>
      </c>
      <c r="B25" s="353"/>
      <c r="C25" s="428"/>
      <c r="D25" s="353"/>
      <c r="E25" s="428"/>
      <c r="F25" s="353"/>
      <c r="G25" s="428"/>
      <c r="H25" s="353"/>
      <c r="I25" s="428"/>
      <c r="J25" s="353"/>
      <c r="K25" s="428"/>
      <c r="L25" s="353"/>
      <c r="M25" s="428"/>
      <c r="N25" s="353"/>
      <c r="O25" s="428"/>
      <c r="P25" s="353"/>
      <c r="Q25" s="428"/>
      <c r="R25" s="353"/>
      <c r="S25" s="418"/>
      <c r="T25" s="353"/>
      <c r="U25" s="353"/>
      <c r="V25" s="353"/>
      <c r="W25" s="428"/>
      <c r="X25" s="353"/>
      <c r="Y25" s="418"/>
      <c r="Z25" s="353"/>
      <c r="AA25" s="353"/>
      <c r="AB25" s="353"/>
      <c r="AC25" s="436"/>
      <c r="AD25" s="353"/>
      <c r="AE25" s="1548"/>
      <c r="AF25" s="1458"/>
      <c r="AG25" s="1458"/>
      <c r="AH25" s="1458"/>
      <c r="AI25" s="436"/>
      <c r="AJ25" s="353"/>
      <c r="AK25" s="1548"/>
      <c r="AL25" s="424"/>
      <c r="AM25" s="424"/>
      <c r="AN25" s="424"/>
      <c r="AO25" s="436"/>
      <c r="AP25" s="353"/>
      <c r="AQ25" s="1548"/>
      <c r="AR25" s="1458"/>
      <c r="AS25" s="1458"/>
      <c r="AT25" s="1458"/>
      <c r="AU25" s="1574"/>
      <c r="AV25" s="1573"/>
      <c r="AW25" s="1548"/>
      <c r="AX25" s="1458"/>
      <c r="AY25" s="1458"/>
      <c r="AZ25" s="1458"/>
      <c r="BA25" s="1574"/>
      <c r="BB25" s="1573"/>
      <c r="BC25" s="1548"/>
      <c r="BD25" s="1458"/>
      <c r="BE25" s="1458"/>
      <c r="BF25" s="748"/>
      <c r="BG25" s="1574"/>
      <c r="BH25" s="1573"/>
      <c r="BI25" s="1548">
        <f>BI23/BC23-1</f>
        <v>7.4999999999999956E-2</v>
      </c>
      <c r="BJ25" s="1458">
        <f>BJ23/BD23-1</f>
        <v>0.10281604628466812</v>
      </c>
      <c r="BK25" s="1458">
        <f>BK23/BE23-1</f>
        <v>-5.0000000000000044E-2</v>
      </c>
      <c r="BL25" s="748">
        <f>BL23/BF23-1</f>
        <v>0.28000000000000003</v>
      </c>
      <c r="BM25" s="1574">
        <f>BM23/BG23-1</f>
        <v>0.10000000000000009</v>
      </c>
      <c r="BN25" s="1573"/>
      <c r="BO25" s="1548">
        <f>BO23/BI23-1</f>
        <v>5.4999999999999938E-2</v>
      </c>
      <c r="BP25" s="1458">
        <f>BP23/BJ23-1</f>
        <v>5.0000000000000044E-2</v>
      </c>
      <c r="BQ25" s="1458">
        <f>BQ23/BK23-1</f>
        <v>-4.0000000000000036E-2</v>
      </c>
      <c r="BR25" s="748">
        <f>BR23/BL23-1</f>
        <v>-4.8003441537889047E-2</v>
      </c>
      <c r="BS25" s="1574">
        <f>BS23/BM23-1</f>
        <v>0</v>
      </c>
      <c r="BT25" s="1573"/>
      <c r="BU25" s="1548">
        <f>BU23/BO23-1</f>
        <v>-0.21611329207354324</v>
      </c>
      <c r="BV25" s="1458">
        <f>BV26+BV27</f>
        <v>-0.14842230130486359</v>
      </c>
      <c r="BW25" s="1458">
        <f>BW26+BW27</f>
        <v>-2.4999999999999994E-2</v>
      </c>
      <c r="BX25" s="748">
        <f>BX23/BR23-1</f>
        <v>-0.12568014582629972</v>
      </c>
      <c r="BY25" s="1574">
        <f>BY23/BS23-1</f>
        <v>-0.12163900257378091</v>
      </c>
      <c r="BZ25" s="1573"/>
      <c r="CA25" s="747">
        <f>CA26+CA27</f>
        <v>0.11235114503816777</v>
      </c>
      <c r="CB25" s="748">
        <f>CB26+CB27</f>
        <v>-9.9803386127797402E-3</v>
      </c>
      <c r="CC25" s="748">
        <f>CC26+CC27</f>
        <v>5.2000000000000005E-2</v>
      </c>
      <c r="CD25" s="748">
        <f>CD26+CD27</f>
        <v>1.7000000000000001E-2</v>
      </c>
      <c r="CE25" s="1574">
        <f>CE23/BY23-1</f>
        <v>3.891603140852129E-2</v>
      </c>
      <c r="CF25" s="1573"/>
      <c r="CG25" s="747">
        <f>CG26+CG27</f>
        <v>-1.0180791826402726E-3</v>
      </c>
      <c r="CH25" s="748">
        <f>CH26+CH27</f>
        <v>2.8833703543182879E-2</v>
      </c>
      <c r="CI25" s="748">
        <f>CI26+CI27</f>
        <v>2.5700502129545888E-2</v>
      </c>
      <c r="CJ25" s="748">
        <f>CJ26+CJ27</f>
        <v>2.1574146938414571E-2</v>
      </c>
      <c r="CK25" s="1574">
        <f>CK23/CE23-1</f>
        <v>1.9368631803546421E-2</v>
      </c>
      <c r="CL25" s="1573"/>
      <c r="CM25" s="1590">
        <f>CM26+CM27</f>
        <v>0.03</v>
      </c>
      <c r="CN25" s="95">
        <f>CN26+CN27</f>
        <v>0.03</v>
      </c>
      <c r="CO25" s="95">
        <f>CO26+CO27</f>
        <v>0.03</v>
      </c>
      <c r="CP25" s="95">
        <f>CP26+CP27</f>
        <v>9.1636130598339027E-2</v>
      </c>
      <c r="CQ25" s="100">
        <f>CQ23/CK23-1</f>
        <v>4.7261757512802482E-2</v>
      </c>
      <c r="CS25" s="1590">
        <f>CS26+CS27</f>
        <v>0.03</v>
      </c>
      <c r="CT25" s="95">
        <f>CT26+CT27</f>
        <v>0.03</v>
      </c>
      <c r="CU25" s="95">
        <f>CU26+CU27</f>
        <v>0.03</v>
      </c>
      <c r="CV25" s="95">
        <f>CV26+CV27</f>
        <v>8.6462157005151086E-2</v>
      </c>
      <c r="CW25" s="100">
        <f>CW23/CQ23-1</f>
        <v>4.6482753608608984E-2</v>
      </c>
      <c r="CY25" s="1590">
        <f>CY26+CY27</f>
        <v>0.03</v>
      </c>
      <c r="CZ25" s="95">
        <f>CZ26+CZ27</f>
        <v>0.03</v>
      </c>
      <c r="DA25" s="95">
        <f>DA26+DA27</f>
        <v>0.03</v>
      </c>
      <c r="DB25" s="95">
        <f>DB26+DB27</f>
        <v>0.03</v>
      </c>
      <c r="DC25" s="100">
        <f>DC23/CW23-1</f>
        <v>3.0000000000000027E-2</v>
      </c>
      <c r="DE25" s="1590">
        <f>DE26+DE27</f>
        <v>0.03</v>
      </c>
      <c r="DF25" s="95">
        <f>DF26+DF27</f>
        <v>0.03</v>
      </c>
      <c r="DG25" s="95">
        <f>DG26+DG27</f>
        <v>0.03</v>
      </c>
      <c r="DH25" s="95">
        <f>DH26+DH27</f>
        <v>0.03</v>
      </c>
      <c r="DI25" s="100">
        <f>DI23/DC23-1</f>
        <v>3.0000000000000027E-2</v>
      </c>
    </row>
    <row r="26" spans="1:153" s="355" customFormat="1" ht="11.25" customHeight="1">
      <c r="A26" s="417" t="s">
        <v>248</v>
      </c>
      <c r="B26" s="353"/>
      <c r="C26" s="428"/>
      <c r="D26" s="353"/>
      <c r="E26" s="428"/>
      <c r="F26" s="353"/>
      <c r="G26" s="428"/>
      <c r="H26" s="353"/>
      <c r="I26" s="428"/>
      <c r="J26" s="353"/>
      <c r="K26" s="428"/>
      <c r="L26" s="353"/>
      <c r="M26" s="428"/>
      <c r="N26" s="353"/>
      <c r="O26" s="428"/>
      <c r="P26" s="353"/>
      <c r="Q26" s="428"/>
      <c r="R26" s="353"/>
      <c r="S26" s="418"/>
      <c r="T26" s="353"/>
      <c r="U26" s="353"/>
      <c r="V26" s="353"/>
      <c r="W26" s="428"/>
      <c r="X26" s="353"/>
      <c r="Y26" s="418"/>
      <c r="Z26" s="353"/>
      <c r="AA26" s="353"/>
      <c r="AB26" s="353"/>
      <c r="AC26" s="749"/>
      <c r="AD26" s="353"/>
      <c r="AE26" s="1548"/>
      <c r="AF26" s="1458"/>
      <c r="AG26" s="1458"/>
      <c r="AH26" s="1458"/>
      <c r="AI26" s="749"/>
      <c r="AJ26" s="353"/>
      <c r="AK26" s="1548"/>
      <c r="AL26" s="423"/>
      <c r="AM26" s="423"/>
      <c r="AN26" s="423"/>
      <c r="AO26" s="749"/>
      <c r="AP26" s="353"/>
      <c r="AQ26" s="747"/>
      <c r="AR26" s="748"/>
      <c r="AS26" s="748"/>
      <c r="AT26" s="748"/>
      <c r="AU26" s="552"/>
      <c r="AV26" s="1573"/>
      <c r="AW26" s="747"/>
      <c r="AX26" s="748"/>
      <c r="AY26" s="748"/>
      <c r="AZ26" s="748"/>
      <c r="BA26" s="552"/>
      <c r="BB26" s="1573"/>
      <c r="BC26" s="747"/>
      <c r="BD26" s="748"/>
      <c r="BE26" s="748"/>
      <c r="BF26" s="748"/>
      <c r="BG26" s="1574"/>
      <c r="BH26" s="1573"/>
      <c r="BI26" s="747">
        <f>BI25-BI27</f>
        <v>9.2720179846601386E-2</v>
      </c>
      <c r="BJ26" s="748">
        <f>BJ25-BJ27</f>
        <v>0.11263972386653209</v>
      </c>
      <c r="BK26" s="748">
        <f>BK25-BK27</f>
        <v>-5.1711910002445627E-2</v>
      </c>
      <c r="BL26" s="748">
        <f>BL25-BL27</f>
        <v>0.27896287077369841</v>
      </c>
      <c r="BM26" s="552">
        <f>BM25-BM27</f>
        <v>0.10564191825220584</v>
      </c>
      <c r="BN26" s="1573"/>
      <c r="BO26" s="747">
        <f>BO25-BO27</f>
        <v>5.8003003003002943E-2</v>
      </c>
      <c r="BP26" s="748">
        <f>BP25-BP27</f>
        <v>2.98387096774194E-2</v>
      </c>
      <c r="BQ26" s="748">
        <f>BQ25-BQ27</f>
        <v>-3.6103263516804714E-2</v>
      </c>
      <c r="BR26" s="748">
        <f>BR25-BR27</f>
        <v>1.3249004646063989E-2</v>
      </c>
      <c r="BS26" s="552">
        <f>BS25-BS27</f>
        <v>1.4916642293068149E-2</v>
      </c>
      <c r="BT26" s="1573"/>
      <c r="BU26" s="747">
        <f>BU25-BU27</f>
        <v>-0.11151821718143863</v>
      </c>
      <c r="BV26" s="748">
        <f>BV30+BV28</f>
        <v>-0.04</v>
      </c>
      <c r="BW26" s="748">
        <f>BW30+BW28</f>
        <v>0.08</v>
      </c>
      <c r="BX26" s="748">
        <f>BX25-BX27</f>
        <v>-8.0403409109834706E-2</v>
      </c>
      <c r="BY26" s="552">
        <f>BY25-BY27</f>
        <v>-3.2639002573780912E-2</v>
      </c>
      <c r="BZ26" s="1573"/>
      <c r="CA26" s="1590">
        <f>CA30+CA28</f>
        <v>0.12</v>
      </c>
      <c r="CB26" s="748">
        <f>CB30+CB28</f>
        <v>-0.01</v>
      </c>
      <c r="CC26" s="748">
        <f>CC30+CC28</f>
        <v>0.05</v>
      </c>
      <c r="CD26" s="748">
        <f>CD30+CD28</f>
        <v>0.03</v>
      </c>
      <c r="CE26" s="1574">
        <f>CE25-CE27</f>
        <v>4.4215964622548218E-2</v>
      </c>
      <c r="CF26" s="1573"/>
      <c r="CG26" s="1590">
        <f>CG30+CG29+CG28</f>
        <v>1.8981920817359728E-2</v>
      </c>
      <c r="CH26" s="748">
        <f>CH30+CH29+CH28</f>
        <v>4.6833703543182878E-2</v>
      </c>
      <c r="CI26" s="748">
        <f t="shared" ref="CI26:CJ26" si="0">CI30+CI29+CI28</f>
        <v>1.7005021295458881E-3</v>
      </c>
      <c r="CJ26" s="748">
        <f t="shared" si="0"/>
        <v>-3.0425853061585427E-2</v>
      </c>
      <c r="CK26" s="1574">
        <f>CK25-CK27</f>
        <v>7.1359004685994862E-3</v>
      </c>
      <c r="CL26" s="1573"/>
      <c r="CM26" s="1590">
        <f>CM30+CM29+CM28</f>
        <v>0.03</v>
      </c>
      <c r="CN26" s="95">
        <f>CN30+CN29+CN28</f>
        <v>0.03</v>
      </c>
      <c r="CO26" s="95">
        <f t="shared" ref="CO26:CP26" si="1">CO30+CO29+CO28</f>
        <v>0.03</v>
      </c>
      <c r="CP26" s="95">
        <f t="shared" si="1"/>
        <v>9.1636130598339027E-2</v>
      </c>
      <c r="CQ26" s="100">
        <f>CQ25-CQ27</f>
        <v>4.7261757512802482E-2</v>
      </c>
      <c r="CS26" s="1590">
        <f>CS30+CS29+CS28</f>
        <v>0.03</v>
      </c>
      <c r="CT26" s="95">
        <f>CT30+CT29+CT28</f>
        <v>0.03</v>
      </c>
      <c r="CU26" s="95">
        <f t="shared" ref="CU26:CV26" si="2">CU30+CU29+CU28</f>
        <v>0.03</v>
      </c>
      <c r="CV26" s="95">
        <f t="shared" si="2"/>
        <v>8.6462157005151086E-2</v>
      </c>
      <c r="CW26" s="100">
        <f>CW25-CW27</f>
        <v>4.6482753608608984E-2</v>
      </c>
      <c r="CY26" s="1590">
        <f>CY30+CY28</f>
        <v>0.03</v>
      </c>
      <c r="CZ26" s="95">
        <f>CZ30+CZ28</f>
        <v>0.03</v>
      </c>
      <c r="DA26" s="95">
        <f>DA30+DA28</f>
        <v>0.03</v>
      </c>
      <c r="DB26" s="95">
        <f>DB30+DB28</f>
        <v>0.03</v>
      </c>
      <c r="DC26" s="100">
        <f>DC25-DC27</f>
        <v>3.0000000000000027E-2</v>
      </c>
      <c r="DE26" s="1590">
        <f>DE30+DE28</f>
        <v>0.03</v>
      </c>
      <c r="DF26" s="95">
        <f>DF30+DF28</f>
        <v>0.03</v>
      </c>
      <c r="DG26" s="95">
        <f>DG30+DG28</f>
        <v>0.03</v>
      </c>
      <c r="DH26" s="95">
        <f>DH30+DH28</f>
        <v>0.03</v>
      </c>
      <c r="DI26" s="100">
        <f>DI25-DI27</f>
        <v>3.0000000000000027E-2</v>
      </c>
    </row>
    <row r="27" spans="1:153" s="69" customFormat="1" ht="11.25" customHeight="1">
      <c r="A27" s="417" t="s">
        <v>249</v>
      </c>
      <c r="B27" s="585"/>
      <c r="C27" s="732"/>
      <c r="D27" s="585"/>
      <c r="E27" s="732"/>
      <c r="F27" s="585"/>
      <c r="G27" s="732"/>
      <c r="H27" s="585"/>
      <c r="I27" s="732"/>
      <c r="J27" s="585"/>
      <c r="K27" s="732"/>
      <c r="L27" s="585"/>
      <c r="M27" s="732"/>
      <c r="N27" s="585"/>
      <c r="O27" s="732"/>
      <c r="P27" s="585"/>
      <c r="Q27" s="732"/>
      <c r="R27" s="585"/>
      <c r="S27" s="1434"/>
      <c r="T27" s="585"/>
      <c r="U27" s="585"/>
      <c r="V27" s="585"/>
      <c r="W27" s="732"/>
      <c r="X27" s="585"/>
      <c r="Y27" s="1434"/>
      <c r="Z27" s="585"/>
      <c r="AA27" s="585"/>
      <c r="AB27" s="585"/>
      <c r="AC27" s="1275"/>
      <c r="AD27" s="585"/>
      <c r="AE27" s="315"/>
      <c r="AF27" s="96"/>
      <c r="AG27" s="96"/>
      <c r="AH27" s="96"/>
      <c r="AI27" s="1275"/>
      <c r="AJ27" s="585"/>
      <c r="AK27" s="315"/>
      <c r="AL27" s="96"/>
      <c r="AM27" s="96"/>
      <c r="AN27" s="1321"/>
      <c r="AO27" s="1275"/>
      <c r="AP27" s="585"/>
      <c r="AQ27" s="315"/>
      <c r="AR27" s="96"/>
      <c r="AS27" s="96"/>
      <c r="AT27" s="96"/>
      <c r="AU27" s="100"/>
      <c r="AV27" s="1460"/>
      <c r="AW27" s="315"/>
      <c r="AX27" s="96"/>
      <c r="AY27" s="96"/>
      <c r="AZ27" s="96"/>
      <c r="BA27" s="100"/>
      <c r="BB27" s="1460"/>
      <c r="BC27" s="315"/>
      <c r="BD27" s="96"/>
      <c r="BE27" s="96"/>
      <c r="BF27" s="96"/>
      <c r="BG27" s="100"/>
      <c r="BH27" s="1460"/>
      <c r="BI27" s="315">
        <f>BI$56</f>
        <v>-1.7720179846601427E-2</v>
      </c>
      <c r="BJ27" s="96">
        <f>BJ$56</f>
        <v>-9.82367758186398E-3</v>
      </c>
      <c r="BK27" s="96">
        <f>BK$56</f>
        <v>1.7119100024455857E-3</v>
      </c>
      <c r="BL27" s="96">
        <f>BL$56</f>
        <v>1.0371292263015967E-3</v>
      </c>
      <c r="BM27" s="100">
        <f>BM$56</f>
        <v>-5.6419182522057503E-3</v>
      </c>
      <c r="BN27" s="1460"/>
      <c r="BO27" s="315">
        <f>BO$56</f>
        <v>-3.003003003003003E-3</v>
      </c>
      <c r="BP27" s="96">
        <f>BP$56</f>
        <v>2.0161290322580645E-2</v>
      </c>
      <c r="BQ27" s="96">
        <f>BQ$56</f>
        <v>-3.8967364831953241E-3</v>
      </c>
      <c r="BR27" s="96">
        <f>BR$56</f>
        <v>-6.1252446183953035E-2</v>
      </c>
      <c r="BS27" s="100">
        <f>BS$56</f>
        <v>-1.4916642293068149E-2</v>
      </c>
      <c r="BT27" s="1460"/>
      <c r="BU27" s="315">
        <f>BU$56</f>
        <v>-0.10459507489210461</v>
      </c>
      <c r="BV27" s="96">
        <f>BV$56</f>
        <v>-0.10842230130486359</v>
      </c>
      <c r="BW27" s="96">
        <f>BW56</f>
        <v>-0.105</v>
      </c>
      <c r="BX27" s="1869">
        <f>-(55.2+(BO23*BU27)+(BP23*BV27)+(BQ23*BW27))/BR23</f>
        <v>-4.5276736716465017E-2</v>
      </c>
      <c r="BY27" s="1870">
        <v>-8.8999999999999996E-2</v>
      </c>
      <c r="BZ27" s="1460"/>
      <c r="CA27" s="315">
        <f>CA$56</f>
        <v>-7.6488549618322216E-3</v>
      </c>
      <c r="CB27" s="96">
        <f>CB$56</f>
        <v>1.9661387220260007E-5</v>
      </c>
      <c r="CC27" s="96">
        <f>CC$56</f>
        <v>2E-3</v>
      </c>
      <c r="CD27" s="96">
        <f>CD$56</f>
        <v>-1.2999999999999999E-2</v>
      </c>
      <c r="CE27" s="100">
        <f>CE$56</f>
        <v>-5.2999332140269313E-3</v>
      </c>
      <c r="CF27" s="1460"/>
      <c r="CG27" s="315">
        <f>CG$56</f>
        <v>-0.02</v>
      </c>
      <c r="CH27" s="96">
        <f>CH$56</f>
        <v>-1.7999999999999999E-2</v>
      </c>
      <c r="CI27" s="96">
        <f>CI$56</f>
        <v>2.4E-2</v>
      </c>
      <c r="CJ27" s="96">
        <f>CJ$56</f>
        <v>5.1999999999999998E-2</v>
      </c>
      <c r="CK27" s="100">
        <f>CK$56</f>
        <v>1.2232731334946935E-2</v>
      </c>
      <c r="CL27" s="1460"/>
      <c r="CM27" s="315">
        <f>CM$48</f>
        <v>0</v>
      </c>
      <c r="CN27" s="96">
        <f>CN$48</f>
        <v>0</v>
      </c>
      <c r="CO27" s="96">
        <f>CO$48</f>
        <v>0</v>
      </c>
      <c r="CP27" s="96">
        <f>CP$48</f>
        <v>0</v>
      </c>
      <c r="CQ27" s="100">
        <f>CQ$48</f>
        <v>0</v>
      </c>
      <c r="CR27" s="585"/>
      <c r="CS27" s="315">
        <f>CS$48</f>
        <v>0</v>
      </c>
      <c r="CT27" s="96">
        <f>CT$48</f>
        <v>0</v>
      </c>
      <c r="CU27" s="96">
        <f>CU$48</f>
        <v>0</v>
      </c>
      <c r="CV27" s="96">
        <f>CV$48</f>
        <v>0</v>
      </c>
      <c r="CW27" s="100">
        <f>CW$48</f>
        <v>0</v>
      </c>
      <c r="CX27" s="585"/>
      <c r="CY27" s="315">
        <f>CY$48</f>
        <v>0</v>
      </c>
      <c r="CZ27" s="96">
        <f>CZ$48</f>
        <v>0</v>
      </c>
      <c r="DA27" s="96">
        <f>DA$48</f>
        <v>0</v>
      </c>
      <c r="DB27" s="96">
        <f>DB$48</f>
        <v>0</v>
      </c>
      <c r="DC27" s="100">
        <f>DC$48</f>
        <v>0</v>
      </c>
      <c r="DD27" s="585"/>
      <c r="DE27" s="315">
        <f>DE$48</f>
        <v>0</v>
      </c>
      <c r="DF27" s="96">
        <f>DF$48</f>
        <v>0</v>
      </c>
      <c r="DG27" s="96">
        <f>DG$48</f>
        <v>0</v>
      </c>
      <c r="DH27" s="96">
        <f>DH$48</f>
        <v>0</v>
      </c>
      <c r="DI27" s="100">
        <f>DI$48</f>
        <v>0</v>
      </c>
      <c r="DJ27" s="585"/>
      <c r="DK27" s="585"/>
      <c r="DL27" s="585"/>
      <c r="DM27" s="585"/>
      <c r="DN27" s="585"/>
      <c r="DO27" s="585"/>
      <c r="DP27" s="585"/>
      <c r="DQ27" s="585"/>
      <c r="DR27" s="585"/>
      <c r="DS27" s="585"/>
      <c r="DT27" s="585"/>
      <c r="DU27" s="585"/>
      <c r="DV27" s="585"/>
      <c r="DW27" s="585"/>
      <c r="DX27" s="585"/>
      <c r="DY27" s="585"/>
      <c r="DZ27" s="585"/>
      <c r="EA27" s="585"/>
      <c r="EB27" s="585"/>
      <c r="EC27" s="585"/>
      <c r="ED27" s="585"/>
      <c r="EE27" s="585"/>
      <c r="EF27" s="585"/>
      <c r="EG27" s="585"/>
      <c r="EH27" s="585"/>
      <c r="EI27" s="585"/>
      <c r="EJ27" s="585"/>
      <c r="EK27" s="585"/>
      <c r="EL27" s="585"/>
      <c r="EM27" s="585"/>
      <c r="EN27" s="585"/>
      <c r="EO27" s="585"/>
      <c r="EP27" s="585"/>
      <c r="EQ27" s="585"/>
      <c r="ER27" s="585"/>
      <c r="ES27" s="585"/>
      <c r="ET27" s="585"/>
      <c r="EU27" s="585"/>
      <c r="EV27" s="585"/>
      <c r="EW27" s="585"/>
    </row>
    <row r="28" spans="1:153" s="69" customFormat="1" ht="11.25" customHeight="1">
      <c r="A28" s="417" t="s">
        <v>472</v>
      </c>
      <c r="B28" s="585"/>
      <c r="C28" s="732"/>
      <c r="D28" s="585"/>
      <c r="E28" s="732"/>
      <c r="F28" s="585"/>
      <c r="G28" s="732"/>
      <c r="H28" s="585"/>
      <c r="I28" s="732"/>
      <c r="J28" s="585"/>
      <c r="K28" s="732"/>
      <c r="L28" s="585"/>
      <c r="M28" s="732"/>
      <c r="N28" s="585"/>
      <c r="O28" s="732"/>
      <c r="P28" s="585"/>
      <c r="Q28" s="732"/>
      <c r="R28" s="585"/>
      <c r="S28" s="1434"/>
      <c r="T28" s="585"/>
      <c r="U28" s="585"/>
      <c r="V28" s="585"/>
      <c r="W28" s="732"/>
      <c r="X28" s="585"/>
      <c r="Y28" s="1434"/>
      <c r="Z28" s="585"/>
      <c r="AA28" s="585"/>
      <c r="AB28" s="585"/>
      <c r="AC28" s="1275"/>
      <c r="AD28" s="585"/>
      <c r="AE28" s="315"/>
      <c r="AF28" s="96"/>
      <c r="AG28" s="96"/>
      <c r="AH28" s="96"/>
      <c r="AI28" s="1275"/>
      <c r="AJ28" s="585"/>
      <c r="AK28" s="315"/>
      <c r="AL28" s="96"/>
      <c r="AM28" s="96"/>
      <c r="AN28" s="1321"/>
      <c r="AO28" s="1275"/>
      <c r="AP28" s="585"/>
      <c r="AQ28" s="315"/>
      <c r="AR28" s="96"/>
      <c r="AS28" s="96"/>
      <c r="AT28" s="96"/>
      <c r="AU28" s="100"/>
      <c r="AV28" s="1460"/>
      <c r="AW28" s="315"/>
      <c r="AX28" s="96"/>
      <c r="AY28" s="96"/>
      <c r="AZ28" s="96"/>
      <c r="BA28" s="100"/>
      <c r="BB28" s="1460"/>
      <c r="BC28" s="315"/>
      <c r="BD28" s="96"/>
      <c r="BE28" s="96"/>
      <c r="BF28" s="96"/>
      <c r="BG28" s="100"/>
      <c r="BH28" s="1460"/>
      <c r="BI28" s="1316">
        <v>3.5000000000000003E-2</v>
      </c>
      <c r="BJ28" s="1261">
        <v>0</v>
      </c>
      <c r="BK28" s="1261">
        <v>0</v>
      </c>
      <c r="BL28" s="1261">
        <v>0</v>
      </c>
      <c r="BM28" s="100">
        <f>SUMPRODUCT(BI28:BL28,BI23:BL23)/BM23</f>
        <v>7.7062635104730316E-3</v>
      </c>
      <c r="BN28" s="1573"/>
      <c r="BO28" s="1316">
        <v>0</v>
      </c>
      <c r="BP28" s="1261">
        <v>0</v>
      </c>
      <c r="BQ28" s="1261">
        <v>0</v>
      </c>
      <c r="BR28" s="1261">
        <v>0</v>
      </c>
      <c r="BS28" s="100">
        <f>SUMPRODUCT(BO28:BR28,BO23:BR23)/BS23</f>
        <v>0</v>
      </c>
      <c r="BT28" s="1573"/>
      <c r="BU28" s="1316">
        <v>0</v>
      </c>
      <c r="BV28" s="1261">
        <v>0</v>
      </c>
      <c r="BW28" s="1261">
        <v>0</v>
      </c>
      <c r="BX28" s="1261">
        <v>0</v>
      </c>
      <c r="BY28" s="1870">
        <v>0</v>
      </c>
      <c r="BZ28" s="1460"/>
      <c r="CA28" s="1316">
        <v>0</v>
      </c>
      <c r="CB28" s="1261">
        <v>0</v>
      </c>
      <c r="CC28" s="1261">
        <v>0</v>
      </c>
      <c r="CD28" s="1261">
        <v>0</v>
      </c>
      <c r="CE28" s="100">
        <f>SUMPRODUCT(CA28:CD28,CA23:CD23)/CE23</f>
        <v>0</v>
      </c>
      <c r="CF28" s="1460"/>
      <c r="CG28" s="1316">
        <f>0.25/CA23</f>
        <v>1.9819208173597258E-3</v>
      </c>
      <c r="CH28" s="1261">
        <f>0.25/CB23</f>
        <v>1.8337035431828809E-3</v>
      </c>
      <c r="CI28" s="1261">
        <f t="shared" ref="CI28:CJ28" si="3">0.25/CC23</f>
        <v>1.7005021295458881E-3</v>
      </c>
      <c r="CJ28" s="1261">
        <f t="shared" si="3"/>
        <v>1.5741469384145726E-3</v>
      </c>
      <c r="CK28" s="100">
        <f>SUMPRODUCT(CG28:CJ28,CG23:CJ23)/CK23</f>
        <v>1.7585805035675685E-3</v>
      </c>
      <c r="CL28" s="1460"/>
      <c r="CM28" s="2359">
        <v>0</v>
      </c>
      <c r="CN28" s="1576">
        <v>0</v>
      </c>
      <c r="CO28" s="1576">
        <v>0</v>
      </c>
      <c r="CP28" s="1576">
        <v>0</v>
      </c>
      <c r="CQ28" s="100">
        <f>SUMPRODUCT(CM28:CP28,CM23:CP23)/CQ23</f>
        <v>0</v>
      </c>
      <c r="CR28" s="585"/>
      <c r="CS28" s="2359">
        <v>0</v>
      </c>
      <c r="CT28" s="1576">
        <v>0</v>
      </c>
      <c r="CU28" s="1576">
        <v>0</v>
      </c>
      <c r="CV28" s="1576">
        <v>0</v>
      </c>
      <c r="CW28" s="100">
        <f>SUMPRODUCT(CS28:CV28,CS23:CV23)/CW23</f>
        <v>0</v>
      </c>
      <c r="CX28" s="585"/>
      <c r="CY28" s="2359">
        <v>0</v>
      </c>
      <c r="CZ28" s="1576">
        <v>0</v>
      </c>
      <c r="DA28" s="1576">
        <v>0</v>
      </c>
      <c r="DB28" s="1576">
        <v>0</v>
      </c>
      <c r="DC28" s="100">
        <f>SUMPRODUCT(CY28:DB28,CY23:DB23)/DC23</f>
        <v>0</v>
      </c>
      <c r="DD28" s="585"/>
      <c r="DE28" s="2359">
        <v>0</v>
      </c>
      <c r="DF28" s="1576">
        <v>0</v>
      </c>
      <c r="DG28" s="1576">
        <v>0</v>
      </c>
      <c r="DH28" s="1576">
        <v>0</v>
      </c>
      <c r="DI28" s="100">
        <f>SUMPRODUCT(DE28:DH28,DE23:DH23)/DI23</f>
        <v>0</v>
      </c>
      <c r="DJ28" s="585"/>
      <c r="DK28" s="585"/>
      <c r="DL28" s="585"/>
      <c r="DM28" s="585"/>
      <c r="DN28" s="585"/>
      <c r="DO28" s="585"/>
      <c r="DP28" s="585"/>
      <c r="DQ28" s="585"/>
      <c r="DR28" s="585"/>
      <c r="DS28" s="585"/>
      <c r="DT28" s="585"/>
      <c r="DU28" s="585"/>
      <c r="DV28" s="585"/>
      <c r="DW28" s="585"/>
      <c r="DX28" s="585"/>
      <c r="DY28" s="585"/>
      <c r="DZ28" s="585"/>
      <c r="EA28" s="585"/>
      <c r="EB28" s="585"/>
      <c r="EC28" s="585"/>
      <c r="ED28" s="585"/>
      <c r="EE28" s="585"/>
      <c r="EF28" s="585"/>
      <c r="EG28" s="585"/>
      <c r="EH28" s="585"/>
      <c r="EI28" s="585"/>
      <c r="EJ28" s="585"/>
      <c r="EK28" s="585"/>
      <c r="EL28" s="585"/>
      <c r="EM28" s="585"/>
      <c r="EN28" s="585"/>
      <c r="EO28" s="585"/>
      <c r="EP28" s="585"/>
      <c r="EQ28" s="585"/>
      <c r="ER28" s="585"/>
      <c r="ES28" s="585"/>
      <c r="ET28" s="585"/>
      <c r="EU28" s="585"/>
      <c r="EV28" s="585"/>
      <c r="EW28" s="585"/>
    </row>
    <row r="29" spans="1:153" s="69" customFormat="1" ht="11.25" customHeight="1">
      <c r="A29" s="417" t="s">
        <v>577</v>
      </c>
      <c r="B29" s="585"/>
      <c r="C29" s="732"/>
      <c r="D29" s="585"/>
      <c r="E29" s="732"/>
      <c r="F29" s="585"/>
      <c r="G29" s="732"/>
      <c r="H29" s="585"/>
      <c r="I29" s="732"/>
      <c r="J29" s="585"/>
      <c r="K29" s="732"/>
      <c r="L29" s="585"/>
      <c r="M29" s="732"/>
      <c r="N29" s="585"/>
      <c r="O29" s="732"/>
      <c r="P29" s="585"/>
      <c r="Q29" s="732"/>
      <c r="R29" s="585"/>
      <c r="S29" s="1434"/>
      <c r="T29" s="585"/>
      <c r="U29" s="585"/>
      <c r="V29" s="585"/>
      <c r="W29" s="732"/>
      <c r="X29" s="585"/>
      <c r="Y29" s="1434"/>
      <c r="Z29" s="585"/>
      <c r="AA29" s="585"/>
      <c r="AB29" s="585"/>
      <c r="AC29" s="1275"/>
      <c r="AD29" s="585"/>
      <c r="AE29" s="315"/>
      <c r="AF29" s="96"/>
      <c r="AG29" s="96"/>
      <c r="AH29" s="96"/>
      <c r="AI29" s="1275"/>
      <c r="AJ29" s="585"/>
      <c r="AK29" s="315"/>
      <c r="AL29" s="96"/>
      <c r="AM29" s="96"/>
      <c r="AN29" s="1321"/>
      <c r="AO29" s="1275"/>
      <c r="AP29" s="585"/>
      <c r="AQ29" s="315"/>
      <c r="AR29" s="96"/>
      <c r="AS29" s="96"/>
      <c r="AT29" s="96"/>
      <c r="AU29" s="100"/>
      <c r="AV29" s="1460"/>
      <c r="AW29" s="315"/>
      <c r="AX29" s="96"/>
      <c r="AY29" s="96"/>
      <c r="AZ29" s="96"/>
      <c r="BA29" s="100"/>
      <c r="BB29" s="1460"/>
      <c r="BC29" s="315"/>
      <c r="BD29" s="96"/>
      <c r="BE29" s="96"/>
      <c r="BF29" s="96"/>
      <c r="BG29" s="100"/>
      <c r="BH29" s="1460"/>
      <c r="BI29" s="1316"/>
      <c r="BJ29" s="1261"/>
      <c r="BK29" s="1261"/>
      <c r="BL29" s="1261"/>
      <c r="BM29" s="100"/>
      <c r="BN29" s="1573"/>
      <c r="BO29" s="1316"/>
      <c r="BP29" s="1261"/>
      <c r="BQ29" s="1261"/>
      <c r="BR29" s="1261"/>
      <c r="BS29" s="100"/>
      <c r="BT29" s="1573"/>
      <c r="BU29" s="1316"/>
      <c r="BV29" s="1261"/>
      <c r="BW29" s="1261"/>
      <c r="BX29" s="1261"/>
      <c r="BY29" s="1870"/>
      <c r="BZ29" s="1460"/>
      <c r="CA29" s="1316"/>
      <c r="CB29" s="1261"/>
      <c r="CC29" s="1261"/>
      <c r="CD29" s="1261"/>
      <c r="CE29" s="100"/>
      <c r="CF29" s="1460"/>
      <c r="CG29" s="1316">
        <v>0</v>
      </c>
      <c r="CH29" s="1261">
        <v>0</v>
      </c>
      <c r="CI29" s="1261">
        <v>0</v>
      </c>
      <c r="CJ29" s="1261">
        <v>0</v>
      </c>
      <c r="CK29" s="100">
        <f>SUMPRODUCT(CG29:CJ29,CG23:CJ23)/CK23</f>
        <v>0</v>
      </c>
      <c r="CL29" s="1460"/>
      <c r="CM29" s="2359">
        <v>0</v>
      </c>
      <c r="CN29" s="1576">
        <v>0</v>
      </c>
      <c r="CO29" s="1576">
        <v>0</v>
      </c>
      <c r="CP29" s="1576">
        <f>10/CJ23</f>
        <v>6.1636130598339035E-2</v>
      </c>
      <c r="CQ29" s="100">
        <f>SUMPRODUCT(CM29:CP29,CM23:CP23)/CQ23</f>
        <v>1.7993169370907863E-2</v>
      </c>
      <c r="CR29" s="585"/>
      <c r="CS29" s="2359">
        <v>0</v>
      </c>
      <c r="CT29" s="1576">
        <v>0</v>
      </c>
      <c r="CU29" s="1576">
        <v>0</v>
      </c>
      <c r="CV29" s="1576">
        <f>10/CP23</f>
        <v>5.6462157005151087E-2</v>
      </c>
      <c r="CW29" s="100">
        <f>SUMPRODUCT(CS29:CV29,CS23:CV23)/CW23</f>
        <v>1.7112454053582575E-2</v>
      </c>
      <c r="CX29" s="585"/>
      <c r="CY29" s="2359">
        <v>0</v>
      </c>
      <c r="CZ29" s="1576">
        <v>0</v>
      </c>
      <c r="DA29" s="1576">
        <v>0</v>
      </c>
      <c r="DB29" s="1576">
        <v>0</v>
      </c>
      <c r="DC29" s="100">
        <f>SUMPRODUCT(CY29:DB29,CY23:DB23)/DC23</f>
        <v>0</v>
      </c>
      <c r="DD29" s="585"/>
      <c r="DE29" s="2359">
        <v>0</v>
      </c>
      <c r="DF29" s="1576">
        <v>0</v>
      </c>
      <c r="DG29" s="1576">
        <v>0</v>
      </c>
      <c r="DH29" s="1576">
        <v>0</v>
      </c>
      <c r="DI29" s="100">
        <f>SUMPRODUCT(DE29:DH29,DE23:DH23)/DI23</f>
        <v>0</v>
      </c>
      <c r="DJ29" s="585"/>
      <c r="DK29" s="1342"/>
      <c r="DL29" s="585"/>
      <c r="DM29" s="585"/>
      <c r="DN29" s="585"/>
      <c r="DO29" s="585"/>
      <c r="DP29" s="585"/>
      <c r="DQ29" s="585"/>
      <c r="DR29" s="585"/>
      <c r="DS29" s="585"/>
      <c r="DT29" s="585"/>
      <c r="DU29" s="585"/>
      <c r="DV29" s="585"/>
      <c r="DW29" s="585"/>
      <c r="DX29" s="585"/>
      <c r="DY29" s="585"/>
      <c r="DZ29" s="585"/>
      <c r="EA29" s="585"/>
      <c r="EB29" s="585"/>
      <c r="EC29" s="585"/>
      <c r="ED29" s="585"/>
      <c r="EE29" s="585"/>
      <c r="EF29" s="585"/>
      <c r="EG29" s="585"/>
      <c r="EH29" s="585"/>
      <c r="EI29" s="585"/>
      <c r="EJ29" s="585"/>
      <c r="EK29" s="585"/>
      <c r="EL29" s="585"/>
      <c r="EM29" s="585"/>
      <c r="EN29" s="585"/>
      <c r="EO29" s="585"/>
      <c r="EP29" s="585"/>
      <c r="EQ29" s="585"/>
      <c r="ER29" s="585"/>
      <c r="ES29" s="585"/>
      <c r="ET29" s="585"/>
      <c r="EU29" s="585"/>
      <c r="EV29" s="585"/>
      <c r="EW29" s="585"/>
    </row>
    <row r="30" spans="1:153" s="355" customFormat="1" ht="11.25" customHeight="1">
      <c r="A30" s="1547" t="s">
        <v>375</v>
      </c>
      <c r="B30" s="353"/>
      <c r="C30" s="428"/>
      <c r="D30" s="353"/>
      <c r="E30" s="428"/>
      <c r="F30" s="353"/>
      <c r="G30" s="428"/>
      <c r="H30" s="353"/>
      <c r="I30" s="428"/>
      <c r="J30" s="353"/>
      <c r="K30" s="428"/>
      <c r="L30" s="353"/>
      <c r="M30" s="428"/>
      <c r="N30" s="353"/>
      <c r="O30" s="428"/>
      <c r="P30" s="353"/>
      <c r="Q30" s="428"/>
      <c r="R30" s="353"/>
      <c r="S30" s="418"/>
      <c r="T30" s="353"/>
      <c r="U30" s="353"/>
      <c r="V30" s="353"/>
      <c r="W30" s="428"/>
      <c r="X30" s="353"/>
      <c r="Y30" s="418"/>
      <c r="Z30" s="353"/>
      <c r="AA30" s="353"/>
      <c r="AB30" s="353"/>
      <c r="AC30" s="1550"/>
      <c r="AD30" s="1551"/>
      <c r="AE30" s="1316"/>
      <c r="AF30" s="1261"/>
      <c r="AG30" s="1261"/>
      <c r="AH30" s="1261"/>
      <c r="AI30" s="1142"/>
      <c r="AJ30" s="1551"/>
      <c r="AK30" s="1316"/>
      <c r="AL30" s="1261"/>
      <c r="AM30" s="1261"/>
      <c r="AN30" s="1261"/>
      <c r="AO30" s="1142"/>
      <c r="AP30" s="1551"/>
      <c r="AQ30" s="1316"/>
      <c r="AR30" s="1261"/>
      <c r="AS30" s="1261"/>
      <c r="AT30" s="1261"/>
      <c r="AU30" s="1575"/>
      <c r="AV30" s="1576"/>
      <c r="AW30" s="1316"/>
      <c r="AX30" s="1261"/>
      <c r="AY30" s="1261"/>
      <c r="AZ30" s="1261"/>
      <c r="BA30" s="1575"/>
      <c r="BB30" s="1576"/>
      <c r="BC30" s="1316"/>
      <c r="BD30" s="1261"/>
      <c r="BE30" s="1261"/>
      <c r="BF30" s="1261"/>
      <c r="BG30" s="1575"/>
      <c r="BH30" s="1576"/>
      <c r="BI30" s="315">
        <f>BI26-BI28</f>
        <v>5.7720179846601383E-2</v>
      </c>
      <c r="BJ30" s="96">
        <f>BJ26-BJ28</f>
        <v>0.11263972386653209</v>
      </c>
      <c r="BK30" s="96">
        <f>BK26-BK28</f>
        <v>-5.1711910002445627E-2</v>
      </c>
      <c r="BL30" s="96">
        <f>BL26-BL28</f>
        <v>0.27896287077369841</v>
      </c>
      <c r="BM30" s="100">
        <f>BM26-BM28</f>
        <v>9.7935654741732811E-2</v>
      </c>
      <c r="BN30" s="1573"/>
      <c r="BO30" s="315">
        <f>BO26-BO28</f>
        <v>5.8003003003002943E-2</v>
      </c>
      <c r="BP30" s="96">
        <f>BP26-BP28</f>
        <v>2.98387096774194E-2</v>
      </c>
      <c r="BQ30" s="96">
        <f>BQ26-BQ28</f>
        <v>-3.6103263516804714E-2</v>
      </c>
      <c r="BR30" s="96">
        <f>BR26-BR28</f>
        <v>1.3249004646063989E-2</v>
      </c>
      <c r="BS30" s="100">
        <f>BS26-BS28</f>
        <v>1.4916642293068149E-2</v>
      </c>
      <c r="BT30" s="1573"/>
      <c r="BU30" s="1316">
        <f>BU26-BU28</f>
        <v>-0.11151821718143863</v>
      </c>
      <c r="BV30" s="1261">
        <v>-0.04</v>
      </c>
      <c r="BW30" s="1261">
        <v>0.08</v>
      </c>
      <c r="BX30" s="96">
        <f>BX26-BX28</f>
        <v>-8.0403409109834706E-2</v>
      </c>
      <c r="BY30" s="1870">
        <v>-3.3000000000000002E-2</v>
      </c>
      <c r="BZ30" s="1460"/>
      <c r="CA30" s="1316">
        <v>0.12</v>
      </c>
      <c r="CB30" s="1261">
        <v>-0.01</v>
      </c>
      <c r="CC30" s="1261">
        <v>0.05</v>
      </c>
      <c r="CD30" s="1261">
        <v>0.03</v>
      </c>
      <c r="CE30" s="100">
        <f>CE26-CE28</f>
        <v>4.4215964622548218E-2</v>
      </c>
      <c r="CF30" s="1460"/>
      <c r="CG30" s="1316">
        <v>1.7000000000000001E-2</v>
      </c>
      <c r="CH30" s="1261">
        <v>4.4999999999999998E-2</v>
      </c>
      <c r="CI30" s="1261">
        <v>0</v>
      </c>
      <c r="CJ30" s="1261">
        <v>-3.2000000000000001E-2</v>
      </c>
      <c r="CK30" s="100">
        <f>CK26-CK28</f>
        <v>5.3773199650319174E-3</v>
      </c>
      <c r="CL30" s="1460"/>
      <c r="CM30" s="2359">
        <v>0.03</v>
      </c>
      <c r="CN30" s="1576">
        <v>0.03</v>
      </c>
      <c r="CO30" s="1576">
        <v>0.03</v>
      </c>
      <c r="CP30" s="1576">
        <v>0.03</v>
      </c>
      <c r="CQ30" s="100">
        <f>CQ26-CQ28-CQ29</f>
        <v>2.9268588141894619E-2</v>
      </c>
      <c r="CR30" s="353"/>
      <c r="CS30" s="2359">
        <v>0.03</v>
      </c>
      <c r="CT30" s="1576">
        <v>0.03</v>
      </c>
      <c r="CU30" s="1576">
        <v>0.03</v>
      </c>
      <c r="CV30" s="1576">
        <v>0.03</v>
      </c>
      <c r="CW30" s="100">
        <f>CW26-CW28-CW29</f>
        <v>2.9370299555026409E-2</v>
      </c>
      <c r="CX30" s="353"/>
      <c r="CY30" s="2359">
        <v>0.03</v>
      </c>
      <c r="CZ30" s="1576">
        <v>0.03</v>
      </c>
      <c r="DA30" s="1576">
        <v>0.03</v>
      </c>
      <c r="DB30" s="1576">
        <v>0.03</v>
      </c>
      <c r="DC30" s="100">
        <f>DC26-DC28</f>
        <v>3.0000000000000027E-2</v>
      </c>
      <c r="DD30" s="353"/>
      <c r="DE30" s="2359">
        <v>0.03</v>
      </c>
      <c r="DF30" s="1576">
        <v>0.03</v>
      </c>
      <c r="DG30" s="1576">
        <v>0.03</v>
      </c>
      <c r="DH30" s="1576">
        <v>0.03</v>
      </c>
      <c r="DI30" s="100">
        <f>DI26-DI28</f>
        <v>3.0000000000000027E-2</v>
      </c>
      <c r="DJ30" s="353"/>
      <c r="DK30" s="353"/>
      <c r="DL30" s="353"/>
      <c r="DM30" s="353"/>
      <c r="DN30" s="353"/>
      <c r="DO30" s="353"/>
      <c r="DP30" s="353"/>
      <c r="DQ30" s="353"/>
      <c r="DR30" s="353"/>
      <c r="DS30" s="353"/>
      <c r="DT30" s="353"/>
      <c r="DU30" s="353"/>
      <c r="DV30" s="353"/>
      <c r="DW30" s="353"/>
      <c r="DX30" s="353"/>
      <c r="DY30" s="353"/>
      <c r="DZ30" s="353"/>
      <c r="EA30" s="353"/>
      <c r="EB30" s="353"/>
      <c r="EC30" s="353"/>
      <c r="ED30" s="353"/>
      <c r="EE30" s="353"/>
      <c r="EF30" s="353"/>
      <c r="EG30" s="353"/>
      <c r="EH30" s="353"/>
      <c r="EI30" s="353"/>
      <c r="EJ30" s="353"/>
      <c r="EK30" s="353"/>
      <c r="EL30" s="353"/>
      <c r="EM30" s="353"/>
      <c r="EN30" s="353"/>
      <c r="EO30" s="353"/>
      <c r="EP30" s="353"/>
      <c r="EQ30" s="353"/>
      <c r="ER30" s="353"/>
      <c r="ES30" s="353"/>
      <c r="ET30" s="353"/>
      <c r="EU30" s="353"/>
      <c r="EV30" s="353"/>
      <c r="EW30" s="353"/>
    </row>
    <row r="31" spans="1:153" s="355" customFormat="1" ht="11.25" customHeight="1">
      <c r="A31" s="1547"/>
      <c r="B31" s="353"/>
      <c r="C31" s="428"/>
      <c r="D31" s="353"/>
      <c r="E31" s="428"/>
      <c r="F31" s="353"/>
      <c r="G31" s="428"/>
      <c r="H31" s="353"/>
      <c r="I31" s="428"/>
      <c r="J31" s="353"/>
      <c r="K31" s="428"/>
      <c r="L31" s="353"/>
      <c r="M31" s="428"/>
      <c r="N31" s="353"/>
      <c r="O31" s="428"/>
      <c r="P31" s="353"/>
      <c r="Q31" s="428"/>
      <c r="R31" s="353"/>
      <c r="S31" s="418"/>
      <c r="T31" s="353"/>
      <c r="U31" s="353"/>
      <c r="V31" s="353"/>
      <c r="W31" s="428"/>
      <c r="X31" s="353"/>
      <c r="Y31" s="418"/>
      <c r="Z31" s="353"/>
      <c r="AA31" s="353"/>
      <c r="AB31" s="353"/>
      <c r="AC31" s="1550"/>
      <c r="AD31" s="1551"/>
      <c r="AE31" s="1316"/>
      <c r="AF31" s="1261"/>
      <c r="AG31" s="1261"/>
      <c r="AH31" s="1261"/>
      <c r="AI31" s="1142"/>
      <c r="AJ31" s="1551"/>
      <c r="AK31" s="1316"/>
      <c r="AL31" s="1261"/>
      <c r="AM31" s="1261"/>
      <c r="AN31" s="1261"/>
      <c r="AO31" s="1142"/>
      <c r="AP31" s="1551"/>
      <c r="AQ31" s="1316"/>
      <c r="AR31" s="1261"/>
      <c r="AS31" s="1261"/>
      <c r="AT31" s="1261"/>
      <c r="AU31" s="1575"/>
      <c r="AV31" s="1576"/>
      <c r="AW31" s="1316"/>
      <c r="AX31" s="1261"/>
      <c r="AY31" s="1261"/>
      <c r="AZ31" s="1261"/>
      <c r="BA31" s="1575"/>
      <c r="BB31" s="1576"/>
      <c r="BC31" s="1316"/>
      <c r="BD31" s="1261"/>
      <c r="BE31" s="1261"/>
      <c r="BF31" s="1261"/>
      <c r="BG31" s="1575"/>
      <c r="BH31" s="1576"/>
      <c r="BI31" s="315"/>
      <c r="BJ31" s="96"/>
      <c r="BK31" s="96"/>
      <c r="BL31" s="96"/>
      <c r="BM31" s="100"/>
      <c r="BN31" s="1573"/>
      <c r="BO31" s="315"/>
      <c r="BP31" s="96"/>
      <c r="BQ31" s="96"/>
      <c r="BR31" s="96"/>
      <c r="BS31" s="100"/>
      <c r="BT31" s="1573"/>
      <c r="BU31" s="1316"/>
      <c r="BV31" s="1261"/>
      <c r="BW31" s="1261"/>
      <c r="BX31" s="96"/>
      <c r="BY31" s="1870"/>
      <c r="BZ31" s="1460"/>
      <c r="CA31" s="1316"/>
      <c r="CB31" s="1261"/>
      <c r="CC31" s="1261"/>
      <c r="CD31" s="1261"/>
      <c r="CE31" s="100"/>
      <c r="CF31" s="1460"/>
      <c r="CG31" s="1316"/>
      <c r="CH31" s="1261"/>
      <c r="CI31" s="1261"/>
      <c r="CJ31" s="1261"/>
      <c r="CK31" s="100"/>
      <c r="CL31" s="1460"/>
      <c r="CM31" s="1316"/>
      <c r="CN31" s="1261"/>
      <c r="CO31" s="2357"/>
      <c r="CP31" s="1261"/>
      <c r="CQ31" s="100"/>
      <c r="CR31" s="353"/>
      <c r="CS31" s="2356"/>
      <c r="CT31" s="2357"/>
      <c r="CU31" s="2357"/>
      <c r="CV31" s="2357"/>
      <c r="CW31" s="100"/>
      <c r="CX31" s="353"/>
      <c r="CY31" s="2356"/>
      <c r="CZ31" s="2357"/>
      <c r="DA31" s="2357"/>
      <c r="DB31" s="2357"/>
      <c r="DC31" s="100"/>
      <c r="DD31" s="353"/>
      <c r="DE31" s="2356"/>
      <c r="DF31" s="2357"/>
      <c r="DG31" s="2357"/>
      <c r="DH31" s="2357"/>
      <c r="DI31" s="100"/>
      <c r="DJ31" s="353"/>
      <c r="DK31" s="353"/>
      <c r="DL31" s="353"/>
      <c r="DM31" s="353"/>
      <c r="DN31" s="353"/>
      <c r="DO31" s="353"/>
      <c r="DP31" s="353"/>
      <c r="DQ31" s="353"/>
      <c r="DR31" s="353"/>
      <c r="DS31" s="353"/>
      <c r="DT31" s="353"/>
      <c r="DU31" s="353"/>
      <c r="DV31" s="353"/>
      <c r="DW31" s="353"/>
      <c r="DX31" s="353"/>
      <c r="DY31" s="353"/>
      <c r="DZ31" s="353"/>
      <c r="EA31" s="353"/>
      <c r="EB31" s="353"/>
      <c r="EC31" s="353"/>
      <c r="ED31" s="353"/>
      <c r="EE31" s="353"/>
      <c r="EF31" s="353"/>
      <c r="EG31" s="353"/>
      <c r="EH31" s="353"/>
      <c r="EI31" s="353"/>
      <c r="EJ31" s="353"/>
      <c r="EK31" s="353"/>
      <c r="EL31" s="353"/>
      <c r="EM31" s="353"/>
      <c r="EN31" s="353"/>
      <c r="EO31" s="353"/>
      <c r="EP31" s="353"/>
      <c r="EQ31" s="353"/>
      <c r="ER31" s="353"/>
      <c r="ES31" s="353"/>
      <c r="ET31" s="353"/>
      <c r="EU31" s="353"/>
      <c r="EV31" s="353"/>
      <c r="EW31" s="353"/>
    </row>
    <row r="32" spans="1:153" s="355" customFormat="1" ht="11.25" customHeight="1">
      <c r="A32" s="1547" t="s">
        <v>418</v>
      </c>
      <c r="B32" s="353"/>
      <c r="C32" s="428"/>
      <c r="D32" s="353"/>
      <c r="E32" s="428"/>
      <c r="F32" s="353"/>
      <c r="G32" s="428"/>
      <c r="H32" s="353"/>
      <c r="I32" s="428"/>
      <c r="J32" s="353"/>
      <c r="K32" s="428"/>
      <c r="L32" s="353"/>
      <c r="M32" s="428"/>
      <c r="N32" s="353"/>
      <c r="O32" s="428"/>
      <c r="P32" s="353"/>
      <c r="Q32" s="428"/>
      <c r="R32" s="353"/>
      <c r="S32" s="418"/>
      <c r="T32" s="353"/>
      <c r="U32" s="353"/>
      <c r="V32" s="353"/>
      <c r="W32" s="428"/>
      <c r="X32" s="353"/>
      <c r="Y32" s="418"/>
      <c r="Z32" s="353"/>
      <c r="AA32" s="353"/>
      <c r="AB32" s="353"/>
      <c r="AC32" s="435"/>
      <c r="AD32" s="353"/>
      <c r="AE32" s="440"/>
      <c r="AF32" s="451"/>
      <c r="AG32" s="451"/>
      <c r="AH32" s="451"/>
      <c r="AI32" s="435"/>
      <c r="AJ32" s="353"/>
      <c r="AK32" s="440"/>
      <c r="AL32" s="451"/>
      <c r="AM32" s="451"/>
      <c r="AN32" s="451"/>
      <c r="AO32" s="435"/>
      <c r="AP32" s="353"/>
      <c r="AQ32" s="1267"/>
      <c r="AR32" s="1266"/>
      <c r="AS32" s="1266"/>
      <c r="AT32" s="1266"/>
      <c r="AU32" s="155"/>
      <c r="AV32" s="1573"/>
      <c r="AW32" s="1267"/>
      <c r="AX32" s="1266"/>
      <c r="AY32" s="1266"/>
      <c r="AZ32" s="1266"/>
      <c r="BA32" s="155"/>
      <c r="BB32" s="753"/>
      <c r="BC32" s="1450">
        <f>BI32/(1-0.13)</f>
        <v>136.64041212330224</v>
      </c>
      <c r="BD32" s="1343">
        <f>BG32-SUM(BC32,BE32:BF32)</f>
        <v>125.74072380207036</v>
      </c>
      <c r="BE32" s="1343">
        <f>BK32/(1+0.105)</f>
        <v>127.22139058832845</v>
      </c>
      <c r="BF32" s="1343">
        <f>BL32/(1+0.065)</f>
        <v>162.76629169785997</v>
      </c>
      <c r="BG32" s="155">
        <f>BM32/(1+0.055)</f>
        <v>552.36881821156101</v>
      </c>
      <c r="BH32" s="1573"/>
      <c r="BI32" s="1450">
        <f>BO32/(1+0.11)</f>
        <v>118.87715854727294</v>
      </c>
      <c r="BJ32" s="1343">
        <f>BP32/(1-0.05)</f>
        <v>149.94620740760007</v>
      </c>
      <c r="BK32" s="1343">
        <f>BQ32/(1-0.07)</f>
        <v>140.57963660010293</v>
      </c>
      <c r="BL32" s="1343">
        <f>BM32-SUM(BI32:BK32)</f>
        <v>173.34610065822085</v>
      </c>
      <c r="BM32" s="155">
        <f>BS32/(1-0.05)</f>
        <v>582.7491032131968</v>
      </c>
      <c r="BN32" s="1573"/>
      <c r="BO32" s="1450">
        <f>BO$17*BO33</f>
        <v>131.95364598747298</v>
      </c>
      <c r="BP32" s="1343">
        <f>BP$17*BP33</f>
        <v>142.44889703722006</v>
      </c>
      <c r="BQ32" s="1343">
        <f>BQ$17*BQ33</f>
        <v>130.73906203809571</v>
      </c>
      <c r="BR32" s="1343">
        <f>BS32-SUM(BO32:BQ32)</f>
        <v>148.47004298974815</v>
      </c>
      <c r="BS32" s="1868">
        <v>553.61164805253691</v>
      </c>
      <c r="BT32" s="1573"/>
      <c r="BU32" s="1450">
        <f>BO32*(1+BU34)</f>
        <v>107.91171273306435</v>
      </c>
      <c r="BV32" s="1343">
        <f>BP32*(1+BV34)</f>
        <v>115.85895318432843</v>
      </c>
      <c r="BW32" s="1343">
        <f>BQ32*(1+BW34)</f>
        <v>135.52767860798133</v>
      </c>
      <c r="BX32" s="1343">
        <f>BY32-SUM(BU32:BW32)</f>
        <v>133.31181514158192</v>
      </c>
      <c r="BY32" s="1868">
        <v>492.61015966695601</v>
      </c>
      <c r="BZ32" s="1460"/>
      <c r="CA32" s="284">
        <f>BU32*(1+CA34)</f>
        <v>114.64013158500073</v>
      </c>
      <c r="CB32" s="105">
        <f>BV32*(1+CB34)</f>
        <v>104.27533581363707</v>
      </c>
      <c r="CC32" s="105">
        <f>BW32*(1+CC34)</f>
        <v>125.43086655168672</v>
      </c>
      <c r="CD32" s="105">
        <f>BX32*(1+CD34)</f>
        <v>130.5122670236087</v>
      </c>
      <c r="CE32" s="107">
        <f>SUM(CA32:CD32)</f>
        <v>474.85860097393322</v>
      </c>
      <c r="CF32" s="1460"/>
      <c r="CG32" s="284">
        <f>CA32*(1+CG34)</f>
        <v>104.40291776857565</v>
      </c>
      <c r="CH32" s="105">
        <f>CB32*(1+CH34)</f>
        <v>116.9969267829008</v>
      </c>
      <c r="CI32" s="105">
        <f>CC32*(1+CI34)</f>
        <v>137.7670593420284</v>
      </c>
      <c r="CJ32" s="105">
        <f>CD32*(1+CJ34)</f>
        <v>141.76064229950077</v>
      </c>
      <c r="CK32" s="107">
        <f>SUM(CG32:CJ32)</f>
        <v>500.92754619300564</v>
      </c>
      <c r="CL32" s="1460"/>
      <c r="CM32" s="284">
        <f>CG32*(1+CM34)</f>
        <v>123.89293186459557</v>
      </c>
      <c r="CN32" s="105">
        <f>CH32*(1+CN34)</f>
        <v>124.02464945943204</v>
      </c>
      <c r="CO32" s="105">
        <f>CI32*(1+CO34)</f>
        <v>145.33637027232683</v>
      </c>
      <c r="CP32" s="105">
        <f>CJ32*(1+CP34)</f>
        <v>153.99295019147269</v>
      </c>
      <c r="CQ32" s="107">
        <f>SUM(CM32:CP32)</f>
        <v>547.24690178782714</v>
      </c>
      <c r="CS32" s="284">
        <f>CM32*(1+CS34)</f>
        <v>130.08757845782534</v>
      </c>
      <c r="CT32" s="105">
        <f>CN32*(1+CT34)</f>
        <v>130.22588193240364</v>
      </c>
      <c r="CU32" s="105">
        <f>CO32*(1+CU34)</f>
        <v>152.60318878594319</v>
      </c>
      <c r="CV32" s="105">
        <f>CP32*(1+CV34)</f>
        <v>161.69259770104634</v>
      </c>
      <c r="CW32" s="107">
        <f>SUM(CS32:CV32)</f>
        <v>574.60924687721854</v>
      </c>
      <c r="CY32" s="284">
        <f>CS32*(1+CY34)</f>
        <v>136.59195738071662</v>
      </c>
      <c r="CZ32" s="105">
        <f>CT32*(1+CZ34)</f>
        <v>136.73717602902383</v>
      </c>
      <c r="DA32" s="105">
        <f>CU32*(1+DA34)</f>
        <v>160.23334822524035</v>
      </c>
      <c r="DB32" s="105">
        <f>CV32*(1+DB34)</f>
        <v>169.77722758609866</v>
      </c>
      <c r="DC32" s="107">
        <f>SUM(CY32:DB32)</f>
        <v>603.33970922107949</v>
      </c>
      <c r="DE32" s="284">
        <f>CY32*(1+DE34)</f>
        <v>143.42155524975246</v>
      </c>
      <c r="DF32" s="105">
        <f>CZ32*(1+DF34)</f>
        <v>143.57403483047503</v>
      </c>
      <c r="DG32" s="105">
        <f>DA32*(1+DG34)</f>
        <v>168.24501563650239</v>
      </c>
      <c r="DH32" s="105">
        <f>DB32*(1+DH34)</f>
        <v>178.26608896540361</v>
      </c>
      <c r="DI32" s="107">
        <f>SUM(DE32:DH32)</f>
        <v>633.50669468213346</v>
      </c>
    </row>
    <row r="33" spans="1:153" s="1582" customFormat="1" ht="11.25" hidden="1" customHeight="1" outlineLevel="1">
      <c r="A33" s="1583" t="s">
        <v>421</v>
      </c>
      <c r="B33" s="1577"/>
      <c r="C33" s="1578"/>
      <c r="D33" s="1577"/>
      <c r="E33" s="1578"/>
      <c r="F33" s="1577"/>
      <c r="G33" s="1578"/>
      <c r="H33" s="1577"/>
      <c r="I33" s="1578"/>
      <c r="J33" s="1577"/>
      <c r="K33" s="1578"/>
      <c r="L33" s="1577"/>
      <c r="M33" s="1578"/>
      <c r="N33" s="1577"/>
      <c r="O33" s="1578"/>
      <c r="P33" s="1577"/>
      <c r="Q33" s="1578"/>
      <c r="R33" s="1577"/>
      <c r="S33" s="1579"/>
      <c r="T33" s="1577"/>
      <c r="U33" s="1577"/>
      <c r="V33" s="1577"/>
      <c r="W33" s="1578"/>
      <c r="X33" s="1577"/>
      <c r="Y33" s="1579"/>
      <c r="Z33" s="1577"/>
      <c r="AA33" s="1577"/>
      <c r="AB33" s="1577"/>
      <c r="AC33" s="1584"/>
      <c r="AD33" s="1577"/>
      <c r="AE33" s="1585"/>
      <c r="AF33" s="1586"/>
      <c r="AG33" s="1586"/>
      <c r="AH33" s="1586"/>
      <c r="AI33" s="1584"/>
      <c r="AJ33" s="1577"/>
      <c r="AK33" s="1585"/>
      <c r="AL33" s="1586"/>
      <c r="AM33" s="1586"/>
      <c r="AN33" s="1586"/>
      <c r="AO33" s="1584"/>
      <c r="AP33" s="1577"/>
      <c r="AQ33" s="1585"/>
      <c r="AR33" s="1586"/>
      <c r="AS33" s="1586"/>
      <c r="AT33" s="1586"/>
      <c r="AU33" s="1584"/>
      <c r="AV33" s="1580"/>
      <c r="AW33" s="1585"/>
      <c r="AX33" s="1586"/>
      <c r="AY33" s="1586"/>
      <c r="AZ33" s="1586"/>
      <c r="BA33" s="1584"/>
      <c r="BB33" s="1581"/>
      <c r="BC33" s="1588">
        <f>BG33</f>
        <v>0.31681477830444538</v>
      </c>
      <c r="BD33" s="1589">
        <f>BG33</f>
        <v>0.31681477830444538</v>
      </c>
      <c r="BE33" s="1589">
        <f>BG33</f>
        <v>0.31681477830444538</v>
      </c>
      <c r="BF33" s="1589">
        <f>BG33</f>
        <v>0.31681477830444538</v>
      </c>
      <c r="BG33" s="1587">
        <f>BM33</f>
        <v>0.31681477830444538</v>
      </c>
      <c r="BH33" s="1580"/>
      <c r="BI33" s="1588">
        <f>BM33</f>
        <v>0.31681477830444538</v>
      </c>
      <c r="BJ33" s="1589">
        <f>BM33</f>
        <v>0.31681477830444538</v>
      </c>
      <c r="BK33" s="1589">
        <f>BM33</f>
        <v>0.31681477830444538</v>
      </c>
      <c r="BL33" s="1589">
        <f>BM33</f>
        <v>0.31681477830444538</v>
      </c>
      <c r="BM33" s="1592">
        <f>BM32/BM$17</f>
        <v>0.31681477830444538</v>
      </c>
      <c r="BN33" s="1580"/>
      <c r="BO33" s="1588">
        <f>AVERAGE($BS33,$BM33)</f>
        <v>0.31143178189160486</v>
      </c>
      <c r="BP33" s="1589">
        <f>AVERAGE($BS33,$BM33)</f>
        <v>0.31143178189160486</v>
      </c>
      <c r="BQ33" s="1589">
        <f>AVERAGE($BS33,$BM33)</f>
        <v>0.31143178189160486</v>
      </c>
      <c r="BR33" s="1589">
        <f>BR32/BR$17</f>
        <v>0.2922638641530475</v>
      </c>
      <c r="BS33" s="1587">
        <f>BS32/BS$17</f>
        <v>0.30604878547876435</v>
      </c>
      <c r="BT33" s="1580"/>
      <c r="BU33" s="1588">
        <f>BU32/BU$17</f>
        <v>0.30526651409636307</v>
      </c>
      <c r="BV33" s="1589">
        <f>BV32/BV$17</f>
        <v>0.29257311410183945</v>
      </c>
      <c r="BW33" s="1589">
        <f>BW32/BW$17</f>
        <v>0.34215520981565595</v>
      </c>
      <c r="BX33" s="1589">
        <f>BX32/BX$17</f>
        <v>0.27876840753081755</v>
      </c>
      <c r="BY33" s="1592">
        <f>BY32/BY$17</f>
        <v>0.30336554795732523</v>
      </c>
      <c r="BZ33" s="1580"/>
      <c r="CA33" s="1593">
        <f>CA32/CA$17</f>
        <v>0.30538127753063593</v>
      </c>
      <c r="CB33" s="1591">
        <f>CB32/CB$17</f>
        <v>0.28053628144642739</v>
      </c>
      <c r="CC33" s="1591">
        <f>CC32/CC$17</f>
        <v>0.31843327380473907</v>
      </c>
      <c r="CD33" s="1591">
        <f>CD32/CD$17</f>
        <v>0.27750854140678022</v>
      </c>
      <c r="CE33" s="1592">
        <f>CE32/CE$17</f>
        <v>0.29470526964186267</v>
      </c>
      <c r="CF33" s="1580"/>
      <c r="CG33" s="1593">
        <f>CG32/CG$17</f>
        <v>0.27124686351929245</v>
      </c>
      <c r="CH33" s="1591">
        <f>CH32/CH$17</f>
        <v>0.28198825447794845</v>
      </c>
      <c r="CI33" s="1591">
        <f>CI32/CI$17</f>
        <v>0.31626964954551978</v>
      </c>
      <c r="CJ33" s="1591">
        <f>CJ32/CJ$17</f>
        <v>0.26723909925784134</v>
      </c>
      <c r="CK33" s="1592">
        <f>CK32/CK$17</f>
        <v>0.28367282549256595</v>
      </c>
      <c r="CL33" s="1580"/>
      <c r="CM33" s="1593">
        <f>CM32/CM$17</f>
        <v>0.29242294409008851</v>
      </c>
      <c r="CN33" s="1591">
        <f>CN32/CN$17</f>
        <v>0.28558399405054102</v>
      </c>
      <c r="CO33" s="1591">
        <f>CO32/CO$17</f>
        <v>0.32225374109990107</v>
      </c>
      <c r="CP33" s="1591">
        <f>CP32/CP$17</f>
        <v>0.27607806148843417</v>
      </c>
      <c r="CQ33" s="1592">
        <f>CQ32/CQ$17</f>
        <v>0.29315505099865191</v>
      </c>
      <c r="CS33" s="1593">
        <f>CS32/CS$17</f>
        <v>0.30179749549863044</v>
      </c>
      <c r="CT33" s="1591">
        <f>CT32/CT$17</f>
        <v>0.28977453820417204</v>
      </c>
      <c r="CU33" s="1591">
        <f>CU32/CU$17</f>
        <v>0.33334809644285551</v>
      </c>
      <c r="CV33" s="1591">
        <f>CV32/CV$17</f>
        <v>0.27645072066933907</v>
      </c>
      <c r="CW33" s="1592">
        <f>CW32/CW$17</f>
        <v>0.29878954852446976</v>
      </c>
      <c r="CY33" s="1593">
        <f>CY32/CY$17</f>
        <v>0.30856774385078267</v>
      </c>
      <c r="CZ33" s="1591">
        <f>CZ32/CZ$17</f>
        <v>0.30125301107231345</v>
      </c>
      <c r="DA33" s="1591">
        <f>DA32/DA$17</f>
        <v>0.33827578996129015</v>
      </c>
      <c r="DB33" s="1591">
        <f>DB32/DB$17</f>
        <v>0.28484280787605232</v>
      </c>
      <c r="DC33" s="1592">
        <f>DC32/DC$17</f>
        <v>0.30684413791906817</v>
      </c>
      <c r="DE33" s="1593">
        <f>DE32/DE$17</f>
        <v>0.31881578345554773</v>
      </c>
      <c r="DF33" s="1591">
        <f>DF32/DF$17</f>
        <v>0.30644016240372152</v>
      </c>
      <c r="DG33" s="1591">
        <f>DG32/DG$17</f>
        <v>0.34995263979674124</v>
      </c>
      <c r="DH33" s="1591">
        <f>DH32/DH$17</f>
        <v>0.2908930228210771</v>
      </c>
      <c r="DI33" s="1592">
        <f>DI32/DI$17</f>
        <v>0.31486916767004869</v>
      </c>
    </row>
    <row r="34" spans="1:153" s="355" customFormat="1" ht="11.25" customHeight="1" collapsed="1">
      <c r="A34" s="417" t="s">
        <v>247</v>
      </c>
      <c r="B34" s="353"/>
      <c r="C34" s="428"/>
      <c r="D34" s="353"/>
      <c r="E34" s="428"/>
      <c r="F34" s="353"/>
      <c r="G34" s="428"/>
      <c r="H34" s="353"/>
      <c r="I34" s="428"/>
      <c r="J34" s="353"/>
      <c r="K34" s="428"/>
      <c r="L34" s="353"/>
      <c r="M34" s="428"/>
      <c r="N34" s="353"/>
      <c r="O34" s="428"/>
      <c r="P34" s="353"/>
      <c r="Q34" s="428"/>
      <c r="R34" s="353"/>
      <c r="S34" s="418"/>
      <c r="T34" s="353"/>
      <c r="U34" s="353"/>
      <c r="V34" s="353"/>
      <c r="W34" s="428"/>
      <c r="X34" s="353"/>
      <c r="Y34" s="418"/>
      <c r="Z34" s="353"/>
      <c r="AA34" s="353"/>
      <c r="AB34" s="353"/>
      <c r="AC34" s="436"/>
      <c r="AD34" s="353"/>
      <c r="AE34" s="1548"/>
      <c r="AF34" s="1458"/>
      <c r="AG34" s="1458"/>
      <c r="AH34" s="1458"/>
      <c r="AI34" s="436"/>
      <c r="AJ34" s="353"/>
      <c r="AK34" s="1548"/>
      <c r="AL34" s="424"/>
      <c r="AM34" s="424"/>
      <c r="AN34" s="424"/>
      <c r="AO34" s="436"/>
      <c r="AP34" s="353"/>
      <c r="AQ34" s="1548"/>
      <c r="AR34" s="1458"/>
      <c r="AS34" s="1458"/>
      <c r="AT34" s="1458"/>
      <c r="AU34" s="1574"/>
      <c r="AV34" s="1573"/>
      <c r="AW34" s="1548"/>
      <c r="AX34" s="1458"/>
      <c r="AY34" s="1458"/>
      <c r="AZ34" s="1458"/>
      <c r="BA34" s="1574"/>
      <c r="BB34" s="1573"/>
      <c r="BC34" s="1548"/>
      <c r="BD34" s="1458"/>
      <c r="BE34" s="1458"/>
      <c r="BF34" s="748"/>
      <c r="BG34" s="1574"/>
      <c r="BH34" s="1573"/>
      <c r="BI34" s="1548">
        <f>BI32/BC32-1</f>
        <v>-0.13000000000000012</v>
      </c>
      <c r="BJ34" s="1458">
        <f>BJ32/BD32-1</f>
        <v>0.19250313560809285</v>
      </c>
      <c r="BK34" s="1458">
        <f>BK32/BE32-1</f>
        <v>0.10499999999999998</v>
      </c>
      <c r="BL34" s="748">
        <f>BL32/BF32-1</f>
        <v>6.4999999999999947E-2</v>
      </c>
      <c r="BM34" s="1574">
        <f>BM32/BG32-1</f>
        <v>5.4999999999999938E-2</v>
      </c>
      <c r="BN34" s="1573"/>
      <c r="BO34" s="1548">
        <f>BO32/BI32-1</f>
        <v>0.1100000000000001</v>
      </c>
      <c r="BP34" s="1458">
        <f>BP32/BJ32-1</f>
        <v>-5.0000000000000044E-2</v>
      </c>
      <c r="BQ34" s="1458">
        <f>BQ32/BK32-1</f>
        <v>-7.0000000000000062E-2</v>
      </c>
      <c r="BR34" s="748">
        <f>BR32/BL32-1</f>
        <v>-0.14350514706713691</v>
      </c>
      <c r="BS34" s="1574">
        <f>BS32/BM32-1</f>
        <v>-5.0000000000000044E-2</v>
      </c>
      <c r="BT34" s="1573"/>
      <c r="BU34" s="1548">
        <f>BU35+BU36</f>
        <v>-0.18219984051589638</v>
      </c>
      <c r="BV34" s="1458">
        <f>BV35+BV36</f>
        <v>-0.18666303780466642</v>
      </c>
      <c r="BW34" s="1458">
        <f>BW35+BW36</f>
        <v>3.662728258284649E-2</v>
      </c>
      <c r="BX34" s="748">
        <f>BX32/BR32-1</f>
        <v>-0.10209620434482469</v>
      </c>
      <c r="BY34" s="1574">
        <f>BY32/BS32-1</f>
        <v>-0.11018823140764544</v>
      </c>
      <c r="BZ34" s="1573"/>
      <c r="CA34" s="747">
        <f>CA35+CA36</f>
        <v>6.2351145038167785E-2</v>
      </c>
      <c r="CB34" s="748">
        <f>CB35+CB36</f>
        <v>-9.9980338612779746E-2</v>
      </c>
      <c r="CC34" s="748">
        <f>CC35+CC36</f>
        <v>-7.4499999999999997E-2</v>
      </c>
      <c r="CD34" s="748">
        <f>CD35+CD36</f>
        <v>-2.0999999999999998E-2</v>
      </c>
      <c r="CE34" s="1574">
        <f>CE32/BY32-1</f>
        <v>-3.6035713727512797E-2</v>
      </c>
      <c r="CF34" s="1573"/>
      <c r="CG34" s="747">
        <f>CG35+CG36</f>
        <v>-8.9298692132384935E-2</v>
      </c>
      <c r="CH34" s="748">
        <f>CH35+CH36</f>
        <v>0.12200000000000001</v>
      </c>
      <c r="CI34" s="748">
        <f>CI35+CI36</f>
        <v>9.8350534676871326E-2</v>
      </c>
      <c r="CJ34" s="748">
        <f>CJ35+CJ36</f>
        <v>8.6186345026535521E-2</v>
      </c>
      <c r="CK34" s="1574">
        <f>CK32/CE32-1</f>
        <v>5.4898332189003529E-2</v>
      </c>
      <c r="CL34" s="1573"/>
      <c r="CM34" s="747">
        <f>CM35+CM36</f>
        <v>0.18668074142546864</v>
      </c>
      <c r="CN34" s="748">
        <f>CN35+CN36</f>
        <v>6.0067583566292146E-2</v>
      </c>
      <c r="CO34" s="748">
        <f>CO35+CO36</f>
        <v>5.4942821356928497E-2</v>
      </c>
      <c r="CP34" s="748">
        <f>CP35+CP36</f>
        <v>8.6288462675898792E-2</v>
      </c>
      <c r="CQ34" s="1574">
        <f>CQ32/CK32-1</f>
        <v>9.2467176035423648E-2</v>
      </c>
      <c r="CS34" s="747">
        <f>CS35+CS36</f>
        <v>0.05</v>
      </c>
      <c r="CT34" s="748">
        <f>CT35+CT36</f>
        <v>0.05</v>
      </c>
      <c r="CU34" s="748">
        <f>CU35+CU36</f>
        <v>0.05</v>
      </c>
      <c r="CV34" s="748">
        <f>CV35+CV36</f>
        <v>0.05</v>
      </c>
      <c r="CW34" s="1574">
        <f>CW32/CQ32-1</f>
        <v>5.0000000000000044E-2</v>
      </c>
      <c r="CY34" s="747">
        <f>CY35+CY36</f>
        <v>0.05</v>
      </c>
      <c r="CZ34" s="748">
        <f>CZ35+CZ36</f>
        <v>0.05</v>
      </c>
      <c r="DA34" s="748">
        <f>DA35+DA36</f>
        <v>0.05</v>
      </c>
      <c r="DB34" s="748">
        <f>DB35+DB36</f>
        <v>0.05</v>
      </c>
      <c r="DC34" s="1574">
        <f>DC32/CW32-1</f>
        <v>5.0000000000000044E-2</v>
      </c>
      <c r="DE34" s="747">
        <f>DE35+DE36</f>
        <v>0.05</v>
      </c>
      <c r="DF34" s="748">
        <f>DF35+DF36</f>
        <v>0.05</v>
      </c>
      <c r="DG34" s="748">
        <f>DG35+DG36</f>
        <v>0.05</v>
      </c>
      <c r="DH34" s="748">
        <f>DH35+DH36</f>
        <v>0.05</v>
      </c>
      <c r="DI34" s="1574">
        <f>DI32/DC32-1</f>
        <v>5.0000000000000044E-2</v>
      </c>
    </row>
    <row r="35" spans="1:153" s="355" customFormat="1" ht="11.25" customHeight="1">
      <c r="A35" s="417" t="s">
        <v>248</v>
      </c>
      <c r="B35" s="353"/>
      <c r="C35" s="428"/>
      <c r="D35" s="353"/>
      <c r="E35" s="428"/>
      <c r="F35" s="353"/>
      <c r="G35" s="428"/>
      <c r="H35" s="353"/>
      <c r="I35" s="428"/>
      <c r="J35" s="353"/>
      <c r="K35" s="428"/>
      <c r="L35" s="353"/>
      <c r="M35" s="428"/>
      <c r="N35" s="353"/>
      <c r="O35" s="428"/>
      <c r="P35" s="353"/>
      <c r="Q35" s="428"/>
      <c r="R35" s="353"/>
      <c r="S35" s="418"/>
      <c r="T35" s="353"/>
      <c r="U35" s="353"/>
      <c r="V35" s="353"/>
      <c r="W35" s="428"/>
      <c r="X35" s="353"/>
      <c r="Y35" s="418"/>
      <c r="Z35" s="353"/>
      <c r="AA35" s="353"/>
      <c r="AB35" s="353"/>
      <c r="AC35" s="749"/>
      <c r="AD35" s="353"/>
      <c r="AE35" s="1548"/>
      <c r="AF35" s="1458"/>
      <c r="AG35" s="1458"/>
      <c r="AH35" s="1458"/>
      <c r="AI35" s="749"/>
      <c r="AJ35" s="353"/>
      <c r="AK35" s="1548"/>
      <c r="AL35" s="423"/>
      <c r="AM35" s="423"/>
      <c r="AN35" s="423"/>
      <c r="AO35" s="749"/>
      <c r="AP35" s="353"/>
      <c r="AQ35" s="747"/>
      <c r="AR35" s="748"/>
      <c r="AS35" s="748"/>
      <c r="AT35" s="748"/>
      <c r="AU35" s="552"/>
      <c r="AV35" s="1573"/>
      <c r="AW35" s="747"/>
      <c r="AX35" s="748"/>
      <c r="AY35" s="748"/>
      <c r="AZ35" s="748"/>
      <c r="BA35" s="552"/>
      <c r="BB35" s="1573"/>
      <c r="BC35" s="747"/>
      <c r="BD35" s="748"/>
      <c r="BE35" s="748"/>
      <c r="BF35" s="748"/>
      <c r="BG35" s="1574"/>
      <c r="BH35" s="1573"/>
      <c r="BI35" s="747">
        <f>BI34-BI36</f>
        <v>-0.11227982015339869</v>
      </c>
      <c r="BJ35" s="748">
        <f>BJ34-BJ36</f>
        <v>0.20232681318995682</v>
      </c>
      <c r="BK35" s="748">
        <f>BK34-BK36</f>
        <v>0.1032880899975544</v>
      </c>
      <c r="BL35" s="748">
        <f>BL34-BL36</f>
        <v>6.3962870773698347E-2</v>
      </c>
      <c r="BM35" s="552">
        <f>BM34-BM36</f>
        <v>6.064191825220569E-2</v>
      </c>
      <c r="BN35" s="1573"/>
      <c r="BO35" s="747">
        <f>BO34-BO36</f>
        <v>0.1130030030030031</v>
      </c>
      <c r="BP35" s="748">
        <f>BP34-BP36</f>
        <v>-7.0161290322580686E-2</v>
      </c>
      <c r="BQ35" s="748">
        <f>BQ34-BQ36</f>
        <v>-6.6103263516804733E-2</v>
      </c>
      <c r="BR35" s="748">
        <f>BR34-BR36</f>
        <v>-8.2252700883183871E-2</v>
      </c>
      <c r="BS35" s="552">
        <f>BS34-BS36</f>
        <v>-3.5083357706931897E-2</v>
      </c>
      <c r="BT35" s="1573"/>
      <c r="BU35" s="747">
        <f>BU38+BU37</f>
        <v>-7.7604765623791788E-2</v>
      </c>
      <c r="BV35" s="748">
        <f>BV38+BV37</f>
        <v>-7.8240736499802829E-2</v>
      </c>
      <c r="BW35" s="748">
        <f>BW38+BW37</f>
        <v>0.14162728258284649</v>
      </c>
      <c r="BX35" s="748">
        <f>BX34-BX36</f>
        <v>7.1922382244241079E-3</v>
      </c>
      <c r="BY35" s="552">
        <f>BY34-BY36</f>
        <v>-3.1882314076454449E-3</v>
      </c>
      <c r="BZ35" s="1573"/>
      <c r="CA35" s="1590">
        <f>CA38+CA37</f>
        <v>7.0000000000000007E-2</v>
      </c>
      <c r="CB35" s="748">
        <f>CB38+CB37</f>
        <v>-0.1</v>
      </c>
      <c r="CC35" s="748">
        <f>CC38+CC37</f>
        <v>-7.6499999999999999E-2</v>
      </c>
      <c r="CD35" s="748">
        <f>CD38+CD37</f>
        <v>-8.0000000000000002E-3</v>
      </c>
      <c r="CE35" s="1574">
        <f>CE34-CE36</f>
        <v>-3.0735780513485866E-2</v>
      </c>
      <c r="CF35" s="1573"/>
      <c r="CG35" s="1590">
        <f>CG38+CG37</f>
        <v>-6.9298692132384931E-2</v>
      </c>
      <c r="CH35" s="748">
        <f>CH38+CH37</f>
        <v>0.14000000000000001</v>
      </c>
      <c r="CI35" s="748">
        <f>CI38+CI37</f>
        <v>7.4350534676871319E-2</v>
      </c>
      <c r="CJ35" s="748">
        <f>CJ38+CJ37</f>
        <v>3.4186345026535517E-2</v>
      </c>
      <c r="CK35" s="1574">
        <f>CK34-CK36</f>
        <v>4.2665600854056594E-2</v>
      </c>
      <c r="CL35" s="1573"/>
      <c r="CM35" s="1590">
        <f>CM38+CM37</f>
        <v>0.12</v>
      </c>
      <c r="CN35" s="748">
        <f>CN38+CN37</f>
        <v>0.01</v>
      </c>
      <c r="CO35" s="748">
        <f>CO38+CO37</f>
        <v>0.03</v>
      </c>
      <c r="CP35" s="748">
        <f>CP38+CP37</f>
        <v>0.06</v>
      </c>
      <c r="CQ35" s="1574">
        <f>CQ34-CQ36</f>
        <v>5.2119426710698566E-2</v>
      </c>
      <c r="CS35" s="1590">
        <f>CS38+CS37</f>
        <v>0.05</v>
      </c>
      <c r="CT35" s="748">
        <f>CT38+CT37</f>
        <v>0.05</v>
      </c>
      <c r="CU35" s="748">
        <f>CU38+CU37</f>
        <v>0.05</v>
      </c>
      <c r="CV35" s="748">
        <f>CV38+CV37</f>
        <v>0.05</v>
      </c>
      <c r="CW35" s="1574">
        <f>CW34-CW36</f>
        <v>5.0000000000000044E-2</v>
      </c>
      <c r="CY35" s="1590">
        <f>CY38+CY37</f>
        <v>0.05</v>
      </c>
      <c r="CZ35" s="748">
        <f>CZ38+CZ37</f>
        <v>0.05</v>
      </c>
      <c r="DA35" s="748">
        <f>DA38+DA37</f>
        <v>0.05</v>
      </c>
      <c r="DB35" s="748">
        <f>DB38+DB37</f>
        <v>0.05</v>
      </c>
      <c r="DC35" s="1574">
        <f>DC34-DC36</f>
        <v>5.0000000000000044E-2</v>
      </c>
      <c r="DE35" s="1590">
        <f>DE38+DE37</f>
        <v>0.05</v>
      </c>
      <c r="DF35" s="748">
        <f>DF38+DF37</f>
        <v>0.05</v>
      </c>
      <c r="DG35" s="748">
        <f>DG38+DG37</f>
        <v>0.05</v>
      </c>
      <c r="DH35" s="748">
        <f>DH38+DH37</f>
        <v>0.05</v>
      </c>
      <c r="DI35" s="1574">
        <f>DI34-DI36</f>
        <v>5.0000000000000044E-2</v>
      </c>
    </row>
    <row r="36" spans="1:153" s="69" customFormat="1" ht="11.25" customHeight="1">
      <c r="A36" s="417" t="s">
        <v>249</v>
      </c>
      <c r="B36" s="585"/>
      <c r="C36" s="732"/>
      <c r="D36" s="585"/>
      <c r="E36" s="732"/>
      <c r="F36" s="585"/>
      <c r="G36" s="732"/>
      <c r="H36" s="585"/>
      <c r="I36" s="732"/>
      <c r="J36" s="585"/>
      <c r="K36" s="732"/>
      <c r="L36" s="585"/>
      <c r="M36" s="732"/>
      <c r="N36" s="585"/>
      <c r="O36" s="732"/>
      <c r="P36" s="585"/>
      <c r="Q36" s="732"/>
      <c r="R36" s="585"/>
      <c r="S36" s="1434"/>
      <c r="T36" s="585"/>
      <c r="U36" s="585"/>
      <c r="V36" s="585"/>
      <c r="W36" s="732"/>
      <c r="X36" s="585"/>
      <c r="Y36" s="1434"/>
      <c r="Z36" s="585"/>
      <c r="AA36" s="585"/>
      <c r="AB36" s="585"/>
      <c r="AC36" s="1275"/>
      <c r="AD36" s="585"/>
      <c r="AE36" s="315"/>
      <c r="AF36" s="96"/>
      <c r="AG36" s="96"/>
      <c r="AH36" s="96"/>
      <c r="AI36" s="1275"/>
      <c r="AJ36" s="585"/>
      <c r="AK36" s="315"/>
      <c r="AL36" s="96"/>
      <c r="AM36" s="96"/>
      <c r="AN36" s="1321"/>
      <c r="AO36" s="1275"/>
      <c r="AP36" s="585"/>
      <c r="AQ36" s="315"/>
      <c r="AR36" s="96"/>
      <c r="AS36" s="96"/>
      <c r="AT36" s="96"/>
      <c r="AU36" s="100"/>
      <c r="AV36" s="1460"/>
      <c r="AW36" s="315"/>
      <c r="AX36" s="96"/>
      <c r="AY36" s="96"/>
      <c r="AZ36" s="96"/>
      <c r="BA36" s="100"/>
      <c r="BB36" s="1460"/>
      <c r="BC36" s="315"/>
      <c r="BD36" s="96"/>
      <c r="BE36" s="96"/>
      <c r="BF36" s="96"/>
      <c r="BG36" s="100"/>
      <c r="BH36" s="1460"/>
      <c r="BI36" s="315">
        <f>BI$56</f>
        <v>-1.7720179846601427E-2</v>
      </c>
      <c r="BJ36" s="96">
        <f>BJ$56</f>
        <v>-9.82367758186398E-3</v>
      </c>
      <c r="BK36" s="96">
        <f>BK$56</f>
        <v>1.7119100024455857E-3</v>
      </c>
      <c r="BL36" s="96">
        <f>BL$56</f>
        <v>1.0371292263015967E-3</v>
      </c>
      <c r="BM36" s="100">
        <f>BM$56</f>
        <v>-5.6419182522057503E-3</v>
      </c>
      <c r="BN36" s="1460"/>
      <c r="BO36" s="315">
        <f>BO$56</f>
        <v>-3.003003003003003E-3</v>
      </c>
      <c r="BP36" s="96">
        <f>BP$56</f>
        <v>2.0161290322580645E-2</v>
      </c>
      <c r="BQ36" s="96">
        <f>BQ$56</f>
        <v>-3.8967364831953241E-3</v>
      </c>
      <c r="BR36" s="96">
        <f>BR$56</f>
        <v>-6.1252446183953035E-2</v>
      </c>
      <c r="BS36" s="100">
        <f>BS$56</f>
        <v>-1.4916642293068149E-2</v>
      </c>
      <c r="BT36" s="1460"/>
      <c r="BU36" s="315">
        <f>BU$56</f>
        <v>-0.10459507489210461</v>
      </c>
      <c r="BV36" s="96">
        <f>BV$56</f>
        <v>-0.10842230130486359</v>
      </c>
      <c r="BW36" s="96">
        <f>BW56</f>
        <v>-0.105</v>
      </c>
      <c r="BX36" s="1869">
        <f>-(59.2+(BO32*BU36)+(BP32*BV36)+(BQ32*BW36))/BR32</f>
        <v>-0.1092884425692488</v>
      </c>
      <c r="BY36" s="1870">
        <v>-0.107</v>
      </c>
      <c r="BZ36" s="1460"/>
      <c r="CA36" s="315">
        <f>CA$56</f>
        <v>-7.6488549618322216E-3</v>
      </c>
      <c r="CB36" s="96">
        <f>CB$56</f>
        <v>1.9661387220260007E-5</v>
      </c>
      <c r="CC36" s="96">
        <f>CC$56</f>
        <v>2E-3</v>
      </c>
      <c r="CD36" s="96">
        <f>CD$56</f>
        <v>-1.2999999999999999E-2</v>
      </c>
      <c r="CE36" s="100">
        <f>CE$56</f>
        <v>-5.2999332140269313E-3</v>
      </c>
      <c r="CF36" s="1460"/>
      <c r="CG36" s="315">
        <f>CG$56</f>
        <v>-0.02</v>
      </c>
      <c r="CH36" s="96">
        <f>CH$56</f>
        <v>-1.7999999999999999E-2</v>
      </c>
      <c r="CI36" s="96">
        <f>CI$56</f>
        <v>2.4E-2</v>
      </c>
      <c r="CJ36" s="96">
        <f>CJ$56</f>
        <v>5.1999999999999998E-2</v>
      </c>
      <c r="CK36" s="100">
        <f>CK$56</f>
        <v>1.2232731334946935E-2</v>
      </c>
      <c r="CL36" s="1460"/>
      <c r="CM36" s="315">
        <f>CM$56</f>
        <v>6.6680741425468634E-2</v>
      </c>
      <c r="CN36" s="96">
        <f>CN$56</f>
        <v>5.0067583566292144E-2</v>
      </c>
      <c r="CO36" s="96">
        <f>CO$56</f>
        <v>2.4942821356928498E-2</v>
      </c>
      <c r="CP36" s="96">
        <f>CP$56</f>
        <v>2.6288462675898794E-2</v>
      </c>
      <c r="CQ36" s="100">
        <f>CQ$56</f>
        <v>4.0347749324725082E-2</v>
      </c>
      <c r="CR36" s="585"/>
      <c r="CS36" s="315">
        <f>CS$56</f>
        <v>0</v>
      </c>
      <c r="CT36" s="96">
        <f>CT$56</f>
        <v>0</v>
      </c>
      <c r="CU36" s="96">
        <f>CU$56</f>
        <v>0</v>
      </c>
      <c r="CV36" s="96">
        <f>CV$56</f>
        <v>0</v>
      </c>
      <c r="CW36" s="100">
        <f>CW$56</f>
        <v>0</v>
      </c>
      <c r="CX36" s="585"/>
      <c r="CY36" s="315">
        <f>CY$56</f>
        <v>0</v>
      </c>
      <c r="CZ36" s="96">
        <f>CZ$56</f>
        <v>0</v>
      </c>
      <c r="DA36" s="96">
        <f>DA$56</f>
        <v>0</v>
      </c>
      <c r="DB36" s="96">
        <f>DB$56</f>
        <v>0</v>
      </c>
      <c r="DC36" s="100">
        <f>DC$56</f>
        <v>0</v>
      </c>
      <c r="DD36" s="585"/>
      <c r="DE36" s="315">
        <f>DE$56</f>
        <v>0</v>
      </c>
      <c r="DF36" s="96">
        <f>DF$56</f>
        <v>0</v>
      </c>
      <c r="DG36" s="96">
        <f>DG$56</f>
        <v>0</v>
      </c>
      <c r="DH36" s="96">
        <f>DH$56</f>
        <v>0</v>
      </c>
      <c r="DI36" s="100">
        <f>DI$56</f>
        <v>0</v>
      </c>
      <c r="DJ36" s="585"/>
      <c r="DK36" s="585"/>
      <c r="DL36" s="585"/>
      <c r="DM36" s="585"/>
      <c r="DN36" s="585"/>
      <c r="DO36" s="585"/>
      <c r="DP36" s="585"/>
      <c r="DQ36" s="585"/>
      <c r="DR36" s="585"/>
      <c r="DS36" s="585"/>
      <c r="DT36" s="585"/>
      <c r="DU36" s="585"/>
      <c r="DV36" s="585"/>
      <c r="DW36" s="585"/>
      <c r="DX36" s="585"/>
      <c r="DY36" s="585"/>
      <c r="DZ36" s="585"/>
      <c r="EA36" s="585"/>
      <c r="EB36" s="585"/>
      <c r="EC36" s="585"/>
      <c r="ED36" s="585"/>
      <c r="EE36" s="585"/>
      <c r="EF36" s="585"/>
      <c r="EG36" s="585"/>
      <c r="EH36" s="585"/>
      <c r="EI36" s="585"/>
      <c r="EJ36" s="585"/>
      <c r="EK36" s="585"/>
      <c r="EL36" s="585"/>
      <c r="EM36" s="585"/>
      <c r="EN36" s="585"/>
      <c r="EO36" s="585"/>
      <c r="EP36" s="585"/>
      <c r="EQ36" s="585"/>
      <c r="ER36" s="585"/>
      <c r="ES36" s="585"/>
      <c r="ET36" s="585"/>
      <c r="EU36" s="585"/>
      <c r="EV36" s="585"/>
      <c r="EW36" s="585"/>
    </row>
    <row r="37" spans="1:153" s="69" customFormat="1" ht="11.25" customHeight="1">
      <c r="A37" s="417" t="s">
        <v>472</v>
      </c>
      <c r="B37" s="585"/>
      <c r="C37" s="428"/>
      <c r="D37" s="353"/>
      <c r="E37" s="428"/>
      <c r="F37" s="353"/>
      <c r="G37" s="428"/>
      <c r="H37" s="353"/>
      <c r="I37" s="428"/>
      <c r="J37" s="353"/>
      <c r="K37" s="428"/>
      <c r="L37" s="353"/>
      <c r="M37" s="428"/>
      <c r="N37" s="353"/>
      <c r="O37" s="428"/>
      <c r="P37" s="353"/>
      <c r="Q37" s="428"/>
      <c r="R37" s="353"/>
      <c r="S37" s="418"/>
      <c r="T37" s="353"/>
      <c r="U37" s="353"/>
      <c r="V37" s="353"/>
      <c r="W37" s="428"/>
      <c r="X37" s="353"/>
      <c r="Y37" s="418"/>
      <c r="Z37" s="585"/>
      <c r="AA37" s="585"/>
      <c r="AB37" s="585"/>
      <c r="AC37" s="1275"/>
      <c r="AD37" s="585"/>
      <c r="AE37" s="315"/>
      <c r="AF37" s="96"/>
      <c r="AG37" s="96"/>
      <c r="AH37" s="96"/>
      <c r="AI37" s="1275"/>
      <c r="AJ37" s="585"/>
      <c r="AK37" s="315"/>
      <c r="AL37" s="96"/>
      <c r="AM37" s="96"/>
      <c r="AN37" s="1321"/>
      <c r="AO37" s="1275"/>
      <c r="AP37" s="585"/>
      <c r="AQ37" s="315"/>
      <c r="AR37" s="96"/>
      <c r="AS37" s="96"/>
      <c r="AT37" s="96"/>
      <c r="AU37" s="100"/>
      <c r="AV37" s="1460"/>
      <c r="AW37" s="315"/>
      <c r="AX37" s="96"/>
      <c r="AY37" s="96"/>
      <c r="AZ37" s="96"/>
      <c r="BA37" s="100"/>
      <c r="BB37" s="1460"/>
      <c r="BC37" s="315"/>
      <c r="BD37" s="96"/>
      <c r="BE37" s="96"/>
      <c r="BF37" s="96"/>
      <c r="BG37" s="100"/>
      <c r="BH37" s="1460"/>
      <c r="BI37" s="1316">
        <v>0</v>
      </c>
      <c r="BJ37" s="1261">
        <v>0</v>
      </c>
      <c r="BK37" s="1261">
        <v>0</v>
      </c>
      <c r="BL37" s="1261">
        <v>0</v>
      </c>
      <c r="BM37" s="100">
        <f>SUMPRODUCT(BI37:BL37,BI32:BL32)/BM32</f>
        <v>0</v>
      </c>
      <c r="BN37" s="1573"/>
      <c r="BO37" s="1316">
        <v>0</v>
      </c>
      <c r="BP37" s="1261">
        <f>-5/BJ32</f>
        <v>-3.3345291531171953E-2</v>
      </c>
      <c r="BQ37" s="1261">
        <f>-10/BK32</f>
        <v>-7.1134057832616976E-2</v>
      </c>
      <c r="BR37" s="1261">
        <f>-8/BL32</f>
        <v>-4.6150446820683096E-2</v>
      </c>
      <c r="BS37" s="100">
        <f>SUMPRODUCT(BO37:BR37,BO32:BR32)/BS32</f>
        <v>-3.7755634111006534E-2</v>
      </c>
      <c r="BT37" s="1573"/>
      <c r="BU37" s="1316">
        <f>-10.9/BO32</f>
        <v>-8.2604765623791793E-2</v>
      </c>
      <c r="BV37" s="1261">
        <f>-12/BP32</f>
        <v>-8.4240736499802835E-2</v>
      </c>
      <c r="BW37" s="1261">
        <f>-11.1/BQ32</f>
        <v>-8.490193999376866E-2</v>
      </c>
      <c r="BX37" s="1261">
        <f>-(39.6+(BO32*BU37)+(BP32*BV37)+(BQ32*BW37))/BR32</f>
        <v>-3.7718046598711384E-2</v>
      </c>
      <c r="BY37" s="1870">
        <v>-7.6999999999999999E-2</v>
      </c>
      <c r="BZ37" s="1460"/>
      <c r="CA37" s="1316">
        <v>0</v>
      </c>
      <c r="CB37" s="1261">
        <v>0</v>
      </c>
      <c r="CC37" s="1261">
        <v>0</v>
      </c>
      <c r="CD37" s="1261">
        <v>0</v>
      </c>
      <c r="CE37" s="100">
        <f>SUMPRODUCT(CA37:CD37,CA32:CD32)/CE32</f>
        <v>0</v>
      </c>
      <c r="CF37" s="1460"/>
      <c r="CG37" s="1316">
        <f>(1.3+0.5)/CA32</f>
        <v>1.5701307867615082E-2</v>
      </c>
      <c r="CH37" s="1261">
        <v>0.01</v>
      </c>
      <c r="CI37" s="1261">
        <f t="shared" ref="CI37" si="4">(1.3+0.5)/CC32</f>
        <v>1.4350534676871326E-2</v>
      </c>
      <c r="CJ37" s="1261">
        <f>(2+1)/CD32</f>
        <v>2.2986345026535491E-2</v>
      </c>
      <c r="CK37" s="100">
        <f>SUMPRODUCT(CG37:CJ37,CG32:CJ32)/CK32</f>
        <v>1.6059850732163667E-2</v>
      </c>
      <c r="CL37" s="1460"/>
      <c r="CM37" s="1316">
        <v>0</v>
      </c>
      <c r="CN37" s="1261">
        <v>0</v>
      </c>
      <c r="CO37" s="1261">
        <v>0</v>
      </c>
      <c r="CP37" s="1261">
        <v>0</v>
      </c>
      <c r="CQ37" s="100">
        <f>SUMPRODUCT(CM37:CP37,CM32:CP32)/CQ32</f>
        <v>0</v>
      </c>
      <c r="CR37" s="585"/>
      <c r="CS37" s="1316">
        <v>0</v>
      </c>
      <c r="CT37" s="1261">
        <v>0</v>
      </c>
      <c r="CU37" s="1261">
        <v>0</v>
      </c>
      <c r="CV37" s="1261">
        <v>0</v>
      </c>
      <c r="CW37" s="100">
        <f>SUMPRODUCT(CS37:CV37,CS32:CV32)/CW32</f>
        <v>0</v>
      </c>
      <c r="CX37" s="585"/>
      <c r="CY37" s="1316">
        <v>0</v>
      </c>
      <c r="CZ37" s="1261">
        <v>0</v>
      </c>
      <c r="DA37" s="1261">
        <v>0</v>
      </c>
      <c r="DB37" s="1261">
        <v>0</v>
      </c>
      <c r="DC37" s="100">
        <f>SUMPRODUCT(CY37:DB37,CY32:DB32)/DC32</f>
        <v>0</v>
      </c>
      <c r="DD37" s="585"/>
      <c r="DE37" s="1316">
        <v>0</v>
      </c>
      <c r="DF37" s="1261">
        <v>0</v>
      </c>
      <c r="DG37" s="1261">
        <v>0</v>
      </c>
      <c r="DH37" s="1261">
        <v>0</v>
      </c>
      <c r="DI37" s="100">
        <f>SUMPRODUCT(DE37:DH37,DE32:DH32)/DI32</f>
        <v>0</v>
      </c>
      <c r="DJ37" s="585"/>
      <c r="DK37" s="585"/>
      <c r="DL37" s="585"/>
      <c r="DM37" s="585"/>
      <c r="DN37" s="585"/>
      <c r="DO37" s="585"/>
      <c r="DP37" s="585"/>
      <c r="DQ37" s="585"/>
      <c r="DR37" s="585"/>
      <c r="DS37" s="585"/>
      <c r="DT37" s="585"/>
      <c r="DU37" s="585"/>
      <c r="DV37" s="585"/>
      <c r="DW37" s="585"/>
      <c r="DX37" s="585"/>
      <c r="DY37" s="585"/>
      <c r="DZ37" s="585"/>
      <c r="EA37" s="585"/>
      <c r="EB37" s="585"/>
      <c r="EC37" s="585"/>
      <c r="ED37" s="585"/>
      <c r="EE37" s="585"/>
      <c r="EF37" s="585"/>
      <c r="EG37" s="585"/>
      <c r="EH37" s="585"/>
      <c r="EI37" s="585"/>
      <c r="EJ37" s="585"/>
      <c r="EK37" s="585"/>
      <c r="EL37" s="585"/>
      <c r="EM37" s="585"/>
      <c r="EN37" s="585"/>
      <c r="EO37" s="585"/>
      <c r="EP37" s="585"/>
      <c r="EQ37" s="585"/>
      <c r="ER37" s="585"/>
      <c r="ES37" s="585"/>
      <c r="ET37" s="585"/>
      <c r="EU37" s="585"/>
      <c r="EV37" s="585"/>
      <c r="EW37" s="585"/>
    </row>
    <row r="38" spans="1:153" s="355" customFormat="1" ht="11.25" customHeight="1">
      <c r="A38" s="1547" t="s">
        <v>375</v>
      </c>
      <c r="B38" s="353"/>
      <c r="C38" s="428"/>
      <c r="D38" s="353"/>
      <c r="E38" s="428"/>
      <c r="F38" s="353"/>
      <c r="G38" s="428"/>
      <c r="H38" s="353"/>
      <c r="I38" s="428"/>
      <c r="J38" s="353"/>
      <c r="K38" s="428"/>
      <c r="L38" s="353"/>
      <c r="M38" s="428"/>
      <c r="N38" s="353"/>
      <c r="O38" s="428"/>
      <c r="P38" s="353"/>
      <c r="Q38" s="428"/>
      <c r="R38" s="353"/>
      <c r="S38" s="418"/>
      <c r="T38" s="353"/>
      <c r="U38" s="353"/>
      <c r="V38" s="353"/>
      <c r="W38" s="428"/>
      <c r="X38" s="353"/>
      <c r="Y38" s="418"/>
      <c r="Z38" s="353"/>
      <c r="AA38" s="353"/>
      <c r="AB38" s="353"/>
      <c r="AC38" s="1550"/>
      <c r="AD38" s="1551"/>
      <c r="AE38" s="1316"/>
      <c r="AF38" s="1261"/>
      <c r="AG38" s="1261"/>
      <c r="AH38" s="1261"/>
      <c r="AI38" s="1142"/>
      <c r="AJ38" s="1551"/>
      <c r="AK38" s="1316"/>
      <c r="AL38" s="1261"/>
      <c r="AM38" s="1261"/>
      <c r="AN38" s="1261"/>
      <c r="AO38" s="1142"/>
      <c r="AP38" s="1551"/>
      <c r="AQ38" s="1316"/>
      <c r="AR38" s="1261"/>
      <c r="AS38" s="1261"/>
      <c r="AT38" s="1261"/>
      <c r="AU38" s="1575"/>
      <c r="AV38" s="1576"/>
      <c r="AW38" s="1316"/>
      <c r="AX38" s="1261"/>
      <c r="AY38" s="1261"/>
      <c r="AZ38" s="1261"/>
      <c r="BA38" s="1575"/>
      <c r="BB38" s="1576"/>
      <c r="BC38" s="1316"/>
      <c r="BD38" s="1261"/>
      <c r="BE38" s="1261"/>
      <c r="BF38" s="1261"/>
      <c r="BG38" s="1575"/>
      <c r="BH38" s="1576"/>
      <c r="BI38" s="315">
        <f>BI35-BI37</f>
        <v>-0.11227982015339869</v>
      </c>
      <c r="BJ38" s="96">
        <f>BJ35-BJ37</f>
        <v>0.20232681318995682</v>
      </c>
      <c r="BK38" s="96">
        <f>BK35-BK37</f>
        <v>0.1032880899975544</v>
      </c>
      <c r="BL38" s="96">
        <f>BL35-BL37</f>
        <v>6.3962870773698347E-2</v>
      </c>
      <c r="BM38" s="100">
        <f>BM35-BM37</f>
        <v>6.064191825220569E-2</v>
      </c>
      <c r="BN38" s="1573"/>
      <c r="BO38" s="315">
        <f>BO35-BO37</f>
        <v>0.1130030030030031</v>
      </c>
      <c r="BP38" s="96">
        <f>BP35-BP37</f>
        <v>-3.6815998791408733E-2</v>
      </c>
      <c r="BQ38" s="96">
        <f>BQ35-BQ37</f>
        <v>5.0307943158122426E-3</v>
      </c>
      <c r="BR38" s="96">
        <f>BR35-BR37</f>
        <v>-3.6102254062500776E-2</v>
      </c>
      <c r="BS38" s="100">
        <f>BS35-BS37</f>
        <v>2.6722764040746361E-3</v>
      </c>
      <c r="BT38" s="1573"/>
      <c r="BU38" s="1316">
        <v>5.0000000000000001E-3</v>
      </c>
      <c r="BV38" s="1261">
        <v>6.0000000000000001E-3</v>
      </c>
      <c r="BW38" s="1261">
        <v>0.22652922257661515</v>
      </c>
      <c r="BX38" s="96">
        <f>BX35-BX37</f>
        <v>4.4910284823135492E-2</v>
      </c>
      <c r="BY38" s="1870">
        <v>7.3999999999999996E-2</v>
      </c>
      <c r="BZ38" s="1460"/>
      <c r="CA38" s="1316">
        <v>7.0000000000000007E-2</v>
      </c>
      <c r="CB38" s="1261">
        <v>-0.1</v>
      </c>
      <c r="CC38" s="1261">
        <v>-7.6499999999999999E-2</v>
      </c>
      <c r="CD38" s="1261">
        <v>-8.0000000000000002E-3</v>
      </c>
      <c r="CE38" s="100">
        <f>CE35-CE37</f>
        <v>-3.0735780513485866E-2</v>
      </c>
      <c r="CF38" s="1460"/>
      <c r="CG38" s="1316">
        <v>-8.5000000000000006E-2</v>
      </c>
      <c r="CH38" s="1261">
        <v>0.13</v>
      </c>
      <c r="CI38" s="1261">
        <v>0.06</v>
      </c>
      <c r="CJ38" s="1261">
        <v>1.1200000000000022E-2</v>
      </c>
      <c r="CK38" s="100">
        <f>CK35-CK37</f>
        <v>2.6605750121892927E-2</v>
      </c>
      <c r="CL38" s="1460"/>
      <c r="CM38" s="1316">
        <v>0.12</v>
      </c>
      <c r="CN38" s="1261">
        <v>0.01</v>
      </c>
      <c r="CO38" s="1261">
        <v>0.03</v>
      </c>
      <c r="CP38" s="1261">
        <v>0.06</v>
      </c>
      <c r="CQ38" s="100">
        <f>CQ35-CQ37</f>
        <v>5.2119426710698566E-2</v>
      </c>
      <c r="CR38" s="353"/>
      <c r="CS38" s="1316">
        <v>0.05</v>
      </c>
      <c r="CT38" s="1261">
        <f>+CS38</f>
        <v>0.05</v>
      </c>
      <c r="CU38" s="1261">
        <f>+CT38</f>
        <v>0.05</v>
      </c>
      <c r="CV38" s="1261">
        <f>+CU38</f>
        <v>0.05</v>
      </c>
      <c r="CW38" s="100">
        <f>CW35-CW37</f>
        <v>5.0000000000000044E-2</v>
      </c>
      <c r="CX38" s="353"/>
      <c r="CY38" s="1316">
        <v>0.05</v>
      </c>
      <c r="CZ38" s="1261">
        <f>+CY38</f>
        <v>0.05</v>
      </c>
      <c r="DA38" s="1261">
        <f>+CZ38</f>
        <v>0.05</v>
      </c>
      <c r="DB38" s="1261">
        <f>+DA38</f>
        <v>0.05</v>
      </c>
      <c r="DC38" s="100">
        <f>DC35-DC37</f>
        <v>5.0000000000000044E-2</v>
      </c>
      <c r="DD38" s="353"/>
      <c r="DE38" s="1316">
        <v>0.05</v>
      </c>
      <c r="DF38" s="1261">
        <f>+DE38</f>
        <v>0.05</v>
      </c>
      <c r="DG38" s="1261">
        <f>+DF38</f>
        <v>0.05</v>
      </c>
      <c r="DH38" s="1261">
        <f>+DG38</f>
        <v>0.05</v>
      </c>
      <c r="DI38" s="100">
        <f>DI35-DI37</f>
        <v>5.0000000000000044E-2</v>
      </c>
      <c r="DJ38" s="353"/>
      <c r="DK38" s="353"/>
      <c r="DL38" s="353"/>
      <c r="DM38" s="353"/>
      <c r="DN38" s="353"/>
      <c r="DO38" s="353"/>
      <c r="DP38" s="353"/>
      <c r="DQ38" s="353"/>
      <c r="DR38" s="353"/>
      <c r="DS38" s="353"/>
      <c r="DT38" s="353"/>
      <c r="DU38" s="353"/>
      <c r="DV38" s="353"/>
      <c r="DW38" s="353"/>
      <c r="DX38" s="353"/>
      <c r="DY38" s="353"/>
      <c r="DZ38" s="353"/>
      <c r="EA38" s="353"/>
      <c r="EB38" s="353"/>
      <c r="EC38" s="353"/>
      <c r="ED38" s="353"/>
      <c r="EE38" s="353"/>
      <c r="EF38" s="353"/>
      <c r="EG38" s="353"/>
      <c r="EH38" s="353"/>
      <c r="EI38" s="353"/>
      <c r="EJ38" s="353"/>
      <c r="EK38" s="353"/>
      <c r="EL38" s="353"/>
      <c r="EM38" s="353"/>
      <c r="EN38" s="353"/>
      <c r="EO38" s="353"/>
      <c r="EP38" s="353"/>
      <c r="EQ38" s="353"/>
      <c r="ER38" s="353"/>
      <c r="ES38" s="353"/>
      <c r="ET38" s="353"/>
      <c r="EU38" s="353"/>
      <c r="EV38" s="353"/>
      <c r="EW38" s="353"/>
    </row>
    <row r="39" spans="1:153" s="355" customFormat="1" ht="11.25" customHeight="1">
      <c r="A39" s="1543"/>
      <c r="B39" s="166"/>
      <c r="C39" s="428"/>
      <c r="D39" s="353"/>
      <c r="E39" s="428"/>
      <c r="F39" s="353"/>
      <c r="G39" s="428"/>
      <c r="H39" s="353"/>
      <c r="I39" s="428"/>
      <c r="J39" s="353"/>
      <c r="K39" s="428"/>
      <c r="L39" s="353"/>
      <c r="M39" s="428"/>
      <c r="N39" s="353"/>
      <c r="O39" s="428"/>
      <c r="P39" s="353"/>
      <c r="Q39" s="428"/>
      <c r="R39" s="353"/>
      <c r="S39" s="418"/>
      <c r="T39" s="353"/>
      <c r="U39" s="353"/>
      <c r="V39" s="353"/>
      <c r="W39" s="428"/>
      <c r="X39" s="353"/>
      <c r="Y39" s="418"/>
      <c r="Z39" s="166"/>
      <c r="AA39" s="166"/>
      <c r="AB39" s="1545"/>
      <c r="AC39" s="1546"/>
      <c r="AD39" s="166"/>
      <c r="AE39" s="1544"/>
      <c r="AF39" s="166"/>
      <c r="AG39" s="166"/>
      <c r="AH39" s="1545"/>
      <c r="AI39" s="1546"/>
      <c r="AJ39" s="166"/>
      <c r="AK39" s="1544"/>
      <c r="AL39" s="166"/>
      <c r="AM39" s="166"/>
      <c r="AN39" s="1545"/>
      <c r="AO39" s="1546"/>
      <c r="AP39" s="166"/>
      <c r="AQ39" s="326"/>
      <c r="AR39" s="149"/>
      <c r="AS39" s="149"/>
      <c r="AT39" s="124"/>
      <c r="AU39" s="125"/>
      <c r="AV39" s="149"/>
      <c r="AW39" s="326"/>
      <c r="AX39" s="149"/>
      <c r="AY39" s="149"/>
      <c r="AZ39" s="124"/>
      <c r="BA39" s="125"/>
      <c r="BB39" s="149"/>
      <c r="BC39" s="326"/>
      <c r="BD39" s="149"/>
      <c r="BE39" s="149"/>
      <c r="BF39" s="124"/>
      <c r="BG39" s="125"/>
      <c r="BH39" s="149"/>
      <c r="BI39" s="326"/>
      <c r="BJ39" s="149"/>
      <c r="BK39" s="149"/>
      <c r="BL39" s="124"/>
      <c r="BM39" s="125"/>
      <c r="BN39" s="149"/>
      <c r="BO39" s="326"/>
      <c r="BP39" s="149"/>
      <c r="BQ39" s="149"/>
      <c r="BR39" s="124"/>
      <c r="BS39" s="125"/>
      <c r="BT39" s="149"/>
      <c r="BU39" s="326"/>
      <c r="BV39" s="149"/>
      <c r="BW39" s="149"/>
      <c r="BX39" s="1673"/>
      <c r="BY39" s="1866"/>
      <c r="BZ39" s="149"/>
      <c r="CA39" s="378"/>
      <c r="CB39" s="480"/>
      <c r="CC39" s="480"/>
      <c r="CD39" s="1673"/>
      <c r="CE39" s="125"/>
      <c r="CF39" s="149"/>
      <c r="CG39" s="326"/>
      <c r="CH39" s="149"/>
      <c r="CI39" s="149"/>
      <c r="CJ39" s="124"/>
      <c r="CK39" s="125"/>
      <c r="CL39" s="149"/>
      <c r="CM39" s="326"/>
      <c r="CN39" s="149"/>
      <c r="CO39" s="149"/>
      <c r="CP39" s="124"/>
      <c r="CQ39" s="125"/>
      <c r="CS39" s="326"/>
      <c r="CT39" s="149"/>
      <c r="CU39" s="149"/>
      <c r="CV39" s="124"/>
      <c r="CW39" s="125"/>
      <c r="CY39" s="326"/>
      <c r="CZ39" s="149"/>
      <c r="DA39" s="149"/>
      <c r="DB39" s="124"/>
      <c r="DC39" s="125"/>
      <c r="DE39" s="326"/>
      <c r="DF39" s="149"/>
      <c r="DG39" s="149"/>
      <c r="DH39" s="124"/>
      <c r="DI39" s="125"/>
    </row>
    <row r="40" spans="1:153" s="355" customFormat="1" ht="11.25" customHeight="1">
      <c r="A40" s="1547" t="s">
        <v>419</v>
      </c>
      <c r="B40" s="353"/>
      <c r="C40" s="428"/>
      <c r="D40" s="353"/>
      <c r="E40" s="428"/>
      <c r="F40" s="353"/>
      <c r="G40" s="428"/>
      <c r="H40" s="353"/>
      <c r="I40" s="428"/>
      <c r="J40" s="353"/>
      <c r="K40" s="428"/>
      <c r="L40" s="353"/>
      <c r="M40" s="428"/>
      <c r="N40" s="353"/>
      <c r="O40" s="428"/>
      <c r="P40" s="353"/>
      <c r="Q40" s="428"/>
      <c r="R40" s="353"/>
      <c r="S40" s="418"/>
      <c r="T40" s="353"/>
      <c r="U40" s="353"/>
      <c r="V40" s="353"/>
      <c r="W40" s="428"/>
      <c r="X40" s="353"/>
      <c r="Y40" s="418"/>
      <c r="Z40" s="353"/>
      <c r="AA40" s="353"/>
      <c r="AB40" s="353"/>
      <c r="AC40" s="435"/>
      <c r="AD40" s="353"/>
      <c r="AE40" s="440"/>
      <c r="AF40" s="451"/>
      <c r="AG40" s="451"/>
      <c r="AH40" s="451"/>
      <c r="AI40" s="435"/>
      <c r="AJ40" s="353"/>
      <c r="AK40" s="440"/>
      <c r="AL40" s="451"/>
      <c r="AM40" s="451"/>
      <c r="AN40" s="451"/>
      <c r="AO40" s="435"/>
      <c r="AP40" s="353"/>
      <c r="AQ40" s="1267"/>
      <c r="AR40" s="1266"/>
      <c r="AS40" s="1266"/>
      <c r="AT40" s="1266"/>
      <c r="AU40" s="155"/>
      <c r="AV40" s="1573"/>
      <c r="AW40" s="1267"/>
      <c r="AX40" s="1266"/>
      <c r="AY40" s="1266"/>
      <c r="AZ40" s="1266"/>
      <c r="BA40" s="155"/>
      <c r="BB40" s="753"/>
      <c r="BC40" s="1450">
        <f>BC53-BC23-BC32</f>
        <v>113.90456091588223</v>
      </c>
      <c r="BD40" s="1343">
        <f>BD53-BD23-BD32</f>
        <v>136.39285806702259</v>
      </c>
      <c r="BE40" s="1343">
        <f>BE53-BE23-BE32</f>
        <v>124.51657763743567</v>
      </c>
      <c r="BF40" s="1343">
        <f>BF53-BF23-BF32</f>
        <v>172.75931738851926</v>
      </c>
      <c r="BG40" s="155">
        <f>BG53-BG23-BG32</f>
        <v>547.57331400885971</v>
      </c>
      <c r="BH40" s="1573"/>
      <c r="BI40" s="1450">
        <f>BI53-BI23-BI32</f>
        <v>110.30118746985035</v>
      </c>
      <c r="BJ40" s="1343">
        <f>BJ53-BJ23-BJ32</f>
        <v>122.92094257269815</v>
      </c>
      <c r="BK40" s="1343">
        <f>BK53-BK23-BK32</f>
        <v>120.71643321437304</v>
      </c>
      <c r="BL40" s="1343">
        <f>BL53-BL23-BL32</f>
        <v>150.0386789723446</v>
      </c>
      <c r="BM40" s="155">
        <f>BM53-BM23-BM32</f>
        <v>503.97724222926604</v>
      </c>
      <c r="BN40" s="1573"/>
      <c r="BO40" s="1450">
        <f>BO53-BO23-BO32</f>
        <v>117.28300906059206</v>
      </c>
      <c r="BP40" s="1343">
        <f>BP53-BP23-BP32</f>
        <v>122.88161044209303</v>
      </c>
      <c r="BQ40" s="1343">
        <f>BQ53-BQ23-BQ32</f>
        <v>109.32916498380118</v>
      </c>
      <c r="BR40" s="1343">
        <f>BR53-BR23-BR32</f>
        <v>148.72091290343974</v>
      </c>
      <c r="BS40" s="1868">
        <v>498.28747939434629</v>
      </c>
      <c r="BT40" s="1573"/>
      <c r="BU40" s="1450">
        <f>BO40*(1+BU42)</f>
        <v>106.18861403493398</v>
      </c>
      <c r="BV40" s="1343">
        <f>BP40*(1+BV42)</f>
        <v>112.63054371096588</v>
      </c>
      <c r="BW40" s="1343">
        <f>BQ40*(1+BW42)</f>
        <v>91.289852761473981</v>
      </c>
      <c r="BX40" s="1343">
        <f>BY40-SUM(BU40:BW40)</f>
        <v>149.64383610966667</v>
      </c>
      <c r="BY40" s="1868">
        <v>459.75284661704052</v>
      </c>
      <c r="BZ40" s="1460"/>
      <c r="CA40" s="284">
        <f>+CA53-CA32-CA23</f>
        <v>109.61961204842811</v>
      </c>
      <c r="CB40" s="105">
        <f>BV40*(1+CB42)</f>
        <v>105.19841303427958</v>
      </c>
      <c r="CC40" s="105">
        <f>BW40*(1+CC42)</f>
        <v>89.04620660189542</v>
      </c>
      <c r="CD40" s="105">
        <f>BX40*(1+CD42)</f>
        <v>145.69252100837383</v>
      </c>
      <c r="CE40" s="107">
        <f>SUM(CA40:CD40)</f>
        <v>449.55675269297694</v>
      </c>
      <c r="CF40" s="1460"/>
      <c r="CG40" s="284">
        <f>CA40*(1+CG42)</f>
        <v>115.907724213615</v>
      </c>
      <c r="CH40" s="105">
        <f>CB40*(1+CH42)</f>
        <v>105.35928603470273</v>
      </c>
      <c r="CI40" s="105">
        <f>CC40*(1+CI42)</f>
        <v>105.69345042542334</v>
      </c>
      <c r="CJ40" s="105">
        <f>CD40*(1+CJ42)</f>
        <v>180.20855983189784</v>
      </c>
      <c r="CK40" s="107">
        <f>SUM(CG40:CJ40)</f>
        <v>507.16902050563891</v>
      </c>
      <c r="CL40" s="1460"/>
      <c r="CM40" s="284">
        <f>CG40*(1+CM42)</f>
        <v>129.43192341179835</v>
      </c>
      <c r="CN40" s="105">
        <f>CH40*(1+CN42)</f>
        <v>119.06311377550631</v>
      </c>
      <c r="CO40" s="105">
        <f>CI40*(1+CO42)</f>
        <v>103.04507075671087</v>
      </c>
      <c r="CP40" s="105">
        <f>CJ40*(1+CP42)</f>
        <v>181.34179463427822</v>
      </c>
      <c r="CQ40" s="107">
        <f>SUM(CM40:CP40)</f>
        <v>532.88190257829376</v>
      </c>
      <c r="CS40" s="284">
        <f>CM40*(1+CS42)</f>
        <v>130.72624264591633</v>
      </c>
      <c r="CT40" s="105">
        <f>CN40*(1+CT42)</f>
        <v>120.25374491326137</v>
      </c>
      <c r="CU40" s="105">
        <f>CO40*(1+CU42)</f>
        <v>104.07552146427798</v>
      </c>
      <c r="CV40" s="105">
        <f>CP40*(1+CV42)</f>
        <v>183.155212580621</v>
      </c>
      <c r="CW40" s="107">
        <f>SUM(CS40:CV40)</f>
        <v>538.21072160407664</v>
      </c>
      <c r="CY40" s="284">
        <f>CS40*(1+CY42)</f>
        <v>130.72624264591633</v>
      </c>
      <c r="CZ40" s="105">
        <f>CT40*(1+CZ42)</f>
        <v>120.25374491326137</v>
      </c>
      <c r="DA40" s="105">
        <f>CU40*(1+DA42)</f>
        <v>104.07552146427798</v>
      </c>
      <c r="DB40" s="105">
        <f>CV40*(1+DB42)</f>
        <v>183.155212580621</v>
      </c>
      <c r="DC40" s="107">
        <f>SUM(CY40:DB40)</f>
        <v>538.21072160407664</v>
      </c>
      <c r="DE40" s="284">
        <f>CY40*(1+DE42)</f>
        <v>130.72624264591633</v>
      </c>
      <c r="DF40" s="105">
        <f>CZ40*(1+DF42)</f>
        <v>120.25374491326137</v>
      </c>
      <c r="DG40" s="105">
        <f>DA40*(1+DG42)</f>
        <v>104.07552146427798</v>
      </c>
      <c r="DH40" s="105">
        <f>DB40*(1+DH42)</f>
        <v>183.155212580621</v>
      </c>
      <c r="DI40" s="107">
        <f>SUM(DE40:DH40)</f>
        <v>538.21072160407664</v>
      </c>
    </row>
    <row r="41" spans="1:153" s="355" customFormat="1" ht="11.25" hidden="1" customHeight="1" outlineLevel="1">
      <c r="A41" s="1583" t="s">
        <v>421</v>
      </c>
      <c r="B41" s="353"/>
      <c r="C41" s="428"/>
      <c r="D41" s="353"/>
      <c r="E41" s="428"/>
      <c r="F41" s="353"/>
      <c r="G41" s="428"/>
      <c r="H41" s="353"/>
      <c r="I41" s="428"/>
      <c r="J41" s="353"/>
      <c r="K41" s="428"/>
      <c r="L41" s="353"/>
      <c r="M41" s="428"/>
      <c r="N41" s="353"/>
      <c r="O41" s="428"/>
      <c r="P41" s="353"/>
      <c r="Q41" s="428"/>
      <c r="R41" s="353"/>
      <c r="S41" s="418"/>
      <c r="T41" s="353"/>
      <c r="U41" s="353"/>
      <c r="V41" s="353"/>
      <c r="W41" s="428"/>
      <c r="X41" s="353"/>
      <c r="Y41" s="418"/>
      <c r="Z41" s="353"/>
      <c r="AA41" s="353"/>
      <c r="AB41" s="353"/>
      <c r="AC41" s="435"/>
      <c r="AD41" s="353"/>
      <c r="AE41" s="440"/>
      <c r="AF41" s="451"/>
      <c r="AG41" s="451"/>
      <c r="AH41" s="451"/>
      <c r="AI41" s="435"/>
      <c r="AJ41" s="353"/>
      <c r="AK41" s="440"/>
      <c r="AL41" s="451"/>
      <c r="AM41" s="451"/>
      <c r="AN41" s="451"/>
      <c r="AO41" s="435"/>
      <c r="AP41" s="353"/>
      <c r="AQ41" s="1267"/>
      <c r="AR41" s="1266"/>
      <c r="AS41" s="1266"/>
      <c r="AT41" s="1266"/>
      <c r="AU41" s="155"/>
      <c r="AV41" s="1573"/>
      <c r="AW41" s="1267"/>
      <c r="AX41" s="1266"/>
      <c r="AY41" s="1266"/>
      <c r="AZ41" s="1266"/>
      <c r="BA41" s="155"/>
      <c r="BB41" s="753"/>
      <c r="BC41" s="1588">
        <f>BC40/BC$17</f>
        <v>0.28082978529556762</v>
      </c>
      <c r="BD41" s="1589">
        <f>BD40/BD$17</f>
        <v>0.32420455922753172</v>
      </c>
      <c r="BE41" s="1589">
        <f>BE40/BE$17</f>
        <v>0.27806292460347409</v>
      </c>
      <c r="BF41" s="1589">
        <f>BF40/BF$17</f>
        <v>0.33396349775472506</v>
      </c>
      <c r="BG41" s="1587">
        <f>BG40/BG$17</f>
        <v>0.30566780953938805</v>
      </c>
      <c r="BH41" s="1573"/>
      <c r="BI41" s="1588">
        <f>BI40/BI$17</f>
        <v>0.28037922590200903</v>
      </c>
      <c r="BJ41" s="1589">
        <f>BJ40/BJ$17</f>
        <v>0.27021530572147318</v>
      </c>
      <c r="BK41" s="1589">
        <f>BK40/BK$17</f>
        <v>0.27498048568194317</v>
      </c>
      <c r="BL41" s="1589">
        <f>BL40/BL$17</f>
        <v>0.27175996915838541</v>
      </c>
      <c r="BM41" s="1587">
        <f>BM40/BM$17</f>
        <v>0.27399001969624115</v>
      </c>
      <c r="BN41" s="1573"/>
      <c r="BO41" s="1588">
        <f>BO40/BO$17</f>
        <v>0.27680672424024561</v>
      </c>
      <c r="BP41" s="1589">
        <f>BP40/BP$17</f>
        <v>0.26865240586378014</v>
      </c>
      <c r="BQ41" s="1589">
        <f>BQ40/BQ$17</f>
        <v>0.2604315506998599</v>
      </c>
      <c r="BR41" s="1589">
        <f>BR40/BR$17</f>
        <v>0.29275770256582617</v>
      </c>
      <c r="BS41" s="1587">
        <f>BS40/BS$17</f>
        <v>0.27546435922071216</v>
      </c>
      <c r="BT41" s="1573"/>
      <c r="BU41" s="1588">
        <f>BU40/BU$17</f>
        <v>0.30039211891070433</v>
      </c>
      <c r="BV41" s="1589">
        <f>BV40/BV$17</f>
        <v>0.2844205649266815</v>
      </c>
      <c r="BW41" s="1589">
        <f>BW40/BW$17</f>
        <v>0.23047173128370102</v>
      </c>
      <c r="BX41" s="1589">
        <f>BX40/BX$17</f>
        <v>0.31292030526169473</v>
      </c>
      <c r="BY41" s="1592">
        <f>BY40/BY$17</f>
        <v>0.28313093325808314</v>
      </c>
      <c r="BZ41" s="1573"/>
      <c r="CA41" s="1593">
        <f>CA40/CA$17</f>
        <v>0.29200749080561567</v>
      </c>
      <c r="CB41" s="1591">
        <f>CB40/CB$17</f>
        <v>0.28301967456088128</v>
      </c>
      <c r="CC41" s="1591">
        <f>CC40/CC$17</f>
        <v>0.22606297690250171</v>
      </c>
      <c r="CD41" s="1591">
        <f>CD40/CD$17</f>
        <v>0.30978635128295529</v>
      </c>
      <c r="CE41" s="1592">
        <f>CE40/CE$17</f>
        <v>0.27900251516972446</v>
      </c>
      <c r="CF41" s="1573"/>
      <c r="CG41" s="1593">
        <f>CG40/CG$17</f>
        <v>0.3011372413967654</v>
      </c>
      <c r="CH41" s="1591">
        <f>CH40/CH$17</f>
        <v>0.25393898779152263</v>
      </c>
      <c r="CI41" s="1591">
        <f>CI40/CI$17</f>
        <v>0.24263877508132081</v>
      </c>
      <c r="CJ41" s="1591">
        <f>CJ40/CJ$17</f>
        <v>0.33971892640189305</v>
      </c>
      <c r="CK41" s="1592">
        <f>CK40/CK$17</f>
        <v>0.28720734194501468</v>
      </c>
      <c r="CL41" s="1573"/>
      <c r="CM41" s="1593">
        <f>CM40/CM$17</f>
        <v>0.30549655685512811</v>
      </c>
      <c r="CN41" s="1591">
        <f>CN40/CN$17</f>
        <v>0.27415936851508838</v>
      </c>
      <c r="CO41" s="1591">
        <f>CO40/CO$17</f>
        <v>0.22848141515459944</v>
      </c>
      <c r="CP41" s="1591">
        <f>CP40/CP$17</f>
        <v>0.32510898107488539</v>
      </c>
      <c r="CQ41" s="1592">
        <f>CQ40/CQ$17</f>
        <v>0.28545985517002559</v>
      </c>
      <c r="CS41" s="1593">
        <f>CS40/CS$17</f>
        <v>0.30327916849704833</v>
      </c>
      <c r="CT41" s="1591">
        <f>CT40/CT$17</f>
        <v>0.26758485243087377</v>
      </c>
      <c r="CU41" s="1591">
        <f>CU40/CU$17</f>
        <v>0.22734372225392413</v>
      </c>
      <c r="CV41" s="1591">
        <f>CV40/CV$17</f>
        <v>0.31314600193309294</v>
      </c>
      <c r="CW41" s="1592">
        <f>CW40/CW$17</f>
        <v>0.27986277525650938</v>
      </c>
      <c r="CY41" s="1593">
        <f>CY40/CY$17</f>
        <v>0.29531681461235931</v>
      </c>
      <c r="CZ41" s="1591">
        <f>CZ40/CZ$17</f>
        <v>0.26493747933007178</v>
      </c>
      <c r="DA41" s="1591">
        <f>DA40/DA$17</f>
        <v>0.21971848949615888</v>
      </c>
      <c r="DB41" s="1591">
        <f>DB40/DB$17</f>
        <v>0.3072876484694762</v>
      </c>
      <c r="DC41" s="1592">
        <f>DC40/DC$17</f>
        <v>0.27372109338304529</v>
      </c>
      <c r="DE41" s="1593">
        <f>DE40/DE$17</f>
        <v>0.29059501826473033</v>
      </c>
      <c r="DF41" s="1591">
        <f>DF40/DF$17</f>
        <v>0.25666602714332587</v>
      </c>
      <c r="DG41" s="1591">
        <f>DG40/DG$17</f>
        <v>0.2164789449295548</v>
      </c>
      <c r="DH41" s="1591">
        <f>DH40/DH$17</f>
        <v>0.29887105137171471</v>
      </c>
      <c r="DI41" s="1592">
        <f>DI40/DI$17</f>
        <v>0.26750461102483325</v>
      </c>
    </row>
    <row r="42" spans="1:153" s="355" customFormat="1" ht="11.25" customHeight="1" collapsed="1">
      <c r="A42" s="417" t="s">
        <v>247</v>
      </c>
      <c r="B42" s="353"/>
      <c r="C42" s="428"/>
      <c r="D42" s="353"/>
      <c r="E42" s="428"/>
      <c r="F42" s="353"/>
      <c r="G42" s="428"/>
      <c r="H42" s="353"/>
      <c r="I42" s="428"/>
      <c r="J42" s="353"/>
      <c r="K42" s="428"/>
      <c r="L42" s="353"/>
      <c r="M42" s="428"/>
      <c r="N42" s="353"/>
      <c r="O42" s="428"/>
      <c r="P42" s="353"/>
      <c r="Q42" s="428"/>
      <c r="R42" s="353"/>
      <c r="S42" s="418"/>
      <c r="T42" s="353"/>
      <c r="U42" s="353"/>
      <c r="V42" s="353"/>
      <c r="W42" s="428"/>
      <c r="X42" s="353"/>
      <c r="Y42" s="418"/>
      <c r="Z42" s="353"/>
      <c r="AA42" s="353"/>
      <c r="AB42" s="353"/>
      <c r="AC42" s="436"/>
      <c r="AD42" s="353"/>
      <c r="AE42" s="1548"/>
      <c r="AF42" s="1458"/>
      <c r="AG42" s="1458"/>
      <c r="AH42" s="1458"/>
      <c r="AI42" s="436"/>
      <c r="AJ42" s="353"/>
      <c r="AK42" s="1548"/>
      <c r="AL42" s="424"/>
      <c r="AM42" s="424"/>
      <c r="AN42" s="424"/>
      <c r="AO42" s="436"/>
      <c r="AP42" s="353"/>
      <c r="AQ42" s="1548"/>
      <c r="AR42" s="1458"/>
      <c r="AS42" s="1458"/>
      <c r="AT42" s="1458"/>
      <c r="AU42" s="1574"/>
      <c r="AV42" s="1573"/>
      <c r="AW42" s="1548"/>
      <c r="AX42" s="1458"/>
      <c r="AY42" s="1458"/>
      <c r="AZ42" s="1458"/>
      <c r="BA42" s="1574"/>
      <c r="BB42" s="1573"/>
      <c r="BC42" s="1548"/>
      <c r="BD42" s="1458"/>
      <c r="BE42" s="1458"/>
      <c r="BF42" s="748"/>
      <c r="BG42" s="1574"/>
      <c r="BH42" s="1573"/>
      <c r="BI42" s="1548">
        <f>BI40/BC40-1</f>
        <v>-3.163502336568369E-2</v>
      </c>
      <c r="BJ42" s="1458">
        <f>BJ40/BD40-1</f>
        <v>-9.8772880671687546E-2</v>
      </c>
      <c r="BK42" s="1458">
        <f>BK40/BE40-1</f>
        <v>-3.0519184635220187E-2</v>
      </c>
      <c r="BL42" s="748">
        <f>BL40/BF40-1</f>
        <v>-0.13151613909817739</v>
      </c>
      <c r="BM42" s="1574">
        <f>BM40/BG40-1</f>
        <v>-7.961686711943794E-2</v>
      </c>
      <c r="BN42" s="1573"/>
      <c r="BO42" s="1548">
        <f>BO40/BI40-1</f>
        <v>6.3297791718245344E-2</v>
      </c>
      <c r="BP42" s="1458">
        <f>BP40/BJ40-1</f>
        <v>-3.1997908396985686E-4</v>
      </c>
      <c r="BQ42" s="1458">
        <f>BQ40/BK40-1</f>
        <v>-9.4330721405178508E-2</v>
      </c>
      <c r="BR42" s="748">
        <f>BR40/BL40-1</f>
        <v>-8.7828423839145797E-3</v>
      </c>
      <c r="BS42" s="1574">
        <f>BS40/BM40-1</f>
        <v>-1.1289721753609205E-2</v>
      </c>
      <c r="BT42" s="1573"/>
      <c r="BU42" s="1548">
        <f>BU43+BU44</f>
        <v>-9.4595074892104614E-2</v>
      </c>
      <c r="BV42" s="1458">
        <f>BV43+BV44</f>
        <v>-8.3422301304863583E-2</v>
      </c>
      <c r="BW42" s="1458">
        <f>BW43+BW44</f>
        <v>-0.16499999999999998</v>
      </c>
      <c r="BX42" s="748">
        <f>BX40/BR40-1</f>
        <v>6.2057392481591478E-3</v>
      </c>
      <c r="BY42" s="1574">
        <f>BY40/BS40-1</f>
        <v>-7.7334138164867117E-2</v>
      </c>
      <c r="BZ42" s="1573"/>
      <c r="CA42" s="747">
        <f>+CA40/BU40-1</f>
        <v>3.2310413359057488E-2</v>
      </c>
      <c r="CB42" s="748">
        <f>CB43+CB44</f>
        <v>-6.5986813450521375E-2</v>
      </c>
      <c r="CC42" s="748">
        <f>CC43+CC44</f>
        <v>-2.4577169222091397E-2</v>
      </c>
      <c r="CD42" s="748">
        <f>CD43+CD44</f>
        <v>-2.6404796909891476E-2</v>
      </c>
      <c r="CE42" s="1574">
        <f>CE40/BY40-1</f>
        <v>-2.217733723475257E-2</v>
      </c>
      <c r="CF42" s="1573"/>
      <c r="CG42" s="747">
        <f>CG43+CG44</f>
        <v>5.7363021522178953E-2</v>
      </c>
      <c r="CH42" s="748">
        <f>CH43+CH44</f>
        <v>1.5292340994794082E-3</v>
      </c>
      <c r="CI42" s="748">
        <f>CI43+CI44</f>
        <v>0.18695062326409725</v>
      </c>
      <c r="CJ42" s="748">
        <f>CJ43+CJ44</f>
        <v>0.23691016247525973</v>
      </c>
      <c r="CK42" s="1574">
        <f>CK40/CE40-1</f>
        <v>0.12815349222884009</v>
      </c>
      <c r="CL42" s="1573"/>
      <c r="CM42" s="747">
        <f>CM43+CM44</f>
        <v>0.11668074142546864</v>
      </c>
      <c r="CN42" s="748">
        <f>CN43+CN44</f>
        <v>0.13006758356629214</v>
      </c>
      <c r="CO42" s="748">
        <f>CO43+CO44</f>
        <v>-2.5057178643071505E-2</v>
      </c>
      <c r="CP42" s="748">
        <f>CP43+CP44</f>
        <v>6.2884626758987934E-3</v>
      </c>
      <c r="CQ42" s="1574">
        <f>CQ40/CK40-1</f>
        <v>5.0698842068507055E-2</v>
      </c>
      <c r="CS42" s="747">
        <f>CS43+CS44</f>
        <v>0.01</v>
      </c>
      <c r="CT42" s="748">
        <f>CT43+CT44</f>
        <v>0.01</v>
      </c>
      <c r="CU42" s="748">
        <f>CU43+CU44</f>
        <v>0.01</v>
      </c>
      <c r="CV42" s="748">
        <f>CV43+CV44</f>
        <v>0.01</v>
      </c>
      <c r="CW42" s="1574">
        <f>CW40/CQ40-1</f>
        <v>9.9999999999997868E-3</v>
      </c>
      <c r="CY42" s="747">
        <f>CY43+CY44</f>
        <v>0</v>
      </c>
      <c r="CZ42" s="748">
        <f>CZ43+CZ44</f>
        <v>0</v>
      </c>
      <c r="DA42" s="748">
        <f>DA43+DA44</f>
        <v>0</v>
      </c>
      <c r="DB42" s="748">
        <f>DB43+DB44</f>
        <v>0</v>
      </c>
      <c r="DC42" s="1574">
        <f>DC40/CW40-1</f>
        <v>0</v>
      </c>
      <c r="DE42" s="747">
        <f>DE43+DE44</f>
        <v>0</v>
      </c>
      <c r="DF42" s="748">
        <f>DF43+DF44</f>
        <v>0</v>
      </c>
      <c r="DG42" s="748">
        <f>DG43+DG44</f>
        <v>0</v>
      </c>
      <c r="DH42" s="748">
        <f>DH43+DH44</f>
        <v>0</v>
      </c>
      <c r="DI42" s="1574">
        <f>DI40/DC40-1</f>
        <v>0</v>
      </c>
    </row>
    <row r="43" spans="1:153" s="355" customFormat="1" ht="11.25" customHeight="1">
      <c r="A43" s="417" t="s">
        <v>248</v>
      </c>
      <c r="B43" s="353"/>
      <c r="C43" s="428"/>
      <c r="D43" s="353"/>
      <c r="E43" s="428"/>
      <c r="F43" s="353"/>
      <c r="G43" s="428"/>
      <c r="H43" s="353"/>
      <c r="I43" s="428"/>
      <c r="J43" s="353"/>
      <c r="K43" s="428"/>
      <c r="L43" s="353"/>
      <c r="M43" s="428"/>
      <c r="N43" s="353"/>
      <c r="O43" s="428"/>
      <c r="P43" s="353"/>
      <c r="Q43" s="428"/>
      <c r="R43" s="353"/>
      <c r="S43" s="418"/>
      <c r="T43" s="353"/>
      <c r="U43" s="353"/>
      <c r="V43" s="353"/>
      <c r="W43" s="428"/>
      <c r="X43" s="353"/>
      <c r="Y43" s="418"/>
      <c r="Z43" s="353"/>
      <c r="AA43" s="353"/>
      <c r="AB43" s="353"/>
      <c r="AC43" s="749"/>
      <c r="AD43" s="353"/>
      <c r="AE43" s="1548"/>
      <c r="AF43" s="1458"/>
      <c r="AG43" s="1458"/>
      <c r="AH43" s="1458"/>
      <c r="AI43" s="749"/>
      <c r="AJ43" s="353"/>
      <c r="AK43" s="1548"/>
      <c r="AL43" s="423"/>
      <c r="AM43" s="423"/>
      <c r="AN43" s="423"/>
      <c r="AO43" s="749"/>
      <c r="AP43" s="353"/>
      <c r="AQ43" s="747"/>
      <c r="AR43" s="748"/>
      <c r="AS43" s="748"/>
      <c r="AT43" s="748"/>
      <c r="AU43" s="552"/>
      <c r="AV43" s="1573"/>
      <c r="AW43" s="747"/>
      <c r="AX43" s="748"/>
      <c r="AY43" s="748"/>
      <c r="AZ43" s="748"/>
      <c r="BA43" s="552"/>
      <c r="BB43" s="1573"/>
      <c r="BC43" s="747"/>
      <c r="BD43" s="748"/>
      <c r="BE43" s="748"/>
      <c r="BF43" s="748"/>
      <c r="BG43" s="1574"/>
      <c r="BH43" s="1573"/>
      <c r="BI43" s="747">
        <f>BI42-BI44</f>
        <v>-1.3914843519082263E-2</v>
      </c>
      <c r="BJ43" s="748">
        <f>BJ42-BJ44</f>
        <v>-8.894920308982357E-2</v>
      </c>
      <c r="BK43" s="748">
        <f>BK42-BK44</f>
        <v>-3.2231094637665769E-2</v>
      </c>
      <c r="BL43" s="748">
        <f>BL42-BL44</f>
        <v>-0.13255326832447897</v>
      </c>
      <c r="BM43" s="552">
        <f>BM42-BM44</f>
        <v>-7.3974948867232188E-2</v>
      </c>
      <c r="BN43" s="1573"/>
      <c r="BO43" s="747">
        <f>BO42-BO44</f>
        <v>6.6300794721248349E-2</v>
      </c>
      <c r="BP43" s="748">
        <f>BP42-BP44</f>
        <v>-2.0481269406550501E-2</v>
      </c>
      <c r="BQ43" s="748">
        <f>BQ42-BQ44</f>
        <v>-9.0433984921983179E-2</v>
      </c>
      <c r="BR43" s="748">
        <f>BR42-BR44</f>
        <v>5.2469603800038456E-2</v>
      </c>
      <c r="BS43" s="552">
        <f>BS42-BS44</f>
        <v>3.6269205394589433E-3</v>
      </c>
      <c r="BT43" s="1573"/>
      <c r="BU43" s="747">
        <f>BU46+BU45</f>
        <v>0.01</v>
      </c>
      <c r="BV43" s="748">
        <f>BV46+BV45</f>
        <v>2.5000000000000001E-2</v>
      </c>
      <c r="BW43" s="748">
        <f>BW46+BW45</f>
        <v>-0.06</v>
      </c>
      <c r="BX43" s="748">
        <f>BX42-BX44</f>
        <v>7.0286206360709841E-2</v>
      </c>
      <c r="BY43" s="552">
        <f>BY42-BY44</f>
        <v>1.5665861835132883E-2</v>
      </c>
      <c r="BZ43" s="1573"/>
      <c r="CA43" s="1590">
        <f>+CA42-CA44</f>
        <v>3.995926832088971E-2</v>
      </c>
      <c r="CB43" s="748">
        <f>CB46+CB45</f>
        <v>-6.6006474837741635E-2</v>
      </c>
      <c r="CC43" s="748">
        <f>CC46+CC45</f>
        <v>-2.6577169222091399E-2</v>
      </c>
      <c r="CD43" s="748">
        <f>CD46+CD45</f>
        <v>-1.3404796909891478E-2</v>
      </c>
      <c r="CE43" s="1574">
        <f>CE42-CE44</f>
        <v>-1.6877404020725639E-2</v>
      </c>
      <c r="CF43" s="1573"/>
      <c r="CG43" s="1590">
        <f>CG46+CG45</f>
        <v>7.7363021522178957E-2</v>
      </c>
      <c r="CH43" s="748">
        <f>CH46+CH45</f>
        <v>1.9529234099479407E-2</v>
      </c>
      <c r="CI43" s="748">
        <f>CI46+CI45</f>
        <v>0.16295062326409726</v>
      </c>
      <c r="CJ43" s="748">
        <f>CJ46+CJ45</f>
        <v>0.18491016247525974</v>
      </c>
      <c r="CK43" s="1574">
        <f>CK42-CK44</f>
        <v>0.11592076089389317</v>
      </c>
      <c r="CL43" s="1573"/>
      <c r="CM43" s="1590">
        <f>CM46+CM45</f>
        <v>0.05</v>
      </c>
      <c r="CN43" s="748">
        <f>CN46+CN45</f>
        <v>0.08</v>
      </c>
      <c r="CO43" s="748">
        <f>CO46+CO45</f>
        <v>-0.05</v>
      </c>
      <c r="CP43" s="748">
        <f>CP46+CP45</f>
        <v>-0.02</v>
      </c>
      <c r="CQ43" s="1574">
        <f>CQ42-CQ44</f>
        <v>1.0351092743781973E-2</v>
      </c>
      <c r="CS43" s="1590">
        <f>CS46+CS45</f>
        <v>0.01</v>
      </c>
      <c r="CT43" s="748">
        <f>CT46+CT45</f>
        <v>0.01</v>
      </c>
      <c r="CU43" s="748">
        <f>CU46+CU45</f>
        <v>0.01</v>
      </c>
      <c r="CV43" s="748">
        <f>CV46+CV45</f>
        <v>0.01</v>
      </c>
      <c r="CW43" s="1574">
        <f>CW42-CW44</f>
        <v>9.9999999999997868E-3</v>
      </c>
      <c r="CY43" s="1590">
        <f>CY46+CY45</f>
        <v>0</v>
      </c>
      <c r="CZ43" s="748">
        <f>CZ46+CZ45</f>
        <v>0</v>
      </c>
      <c r="DA43" s="748">
        <f>DA46+DA45</f>
        <v>0</v>
      </c>
      <c r="DB43" s="748">
        <f>DB46+DB45</f>
        <v>0</v>
      </c>
      <c r="DC43" s="1574">
        <f>DC42-DC44</f>
        <v>0</v>
      </c>
      <c r="DE43" s="1590">
        <f>DE46+DE45</f>
        <v>0</v>
      </c>
      <c r="DF43" s="748">
        <f>DF46+DF45</f>
        <v>0</v>
      </c>
      <c r="DG43" s="748">
        <f>DG46+DG45</f>
        <v>0</v>
      </c>
      <c r="DH43" s="748">
        <f>DH46+DH45</f>
        <v>0</v>
      </c>
      <c r="DI43" s="1574">
        <f>DI42-DI44</f>
        <v>0</v>
      </c>
    </row>
    <row r="44" spans="1:153" s="69" customFormat="1" ht="11.25" customHeight="1">
      <c r="A44" s="417" t="s">
        <v>249</v>
      </c>
      <c r="B44" s="585"/>
      <c r="C44" s="732"/>
      <c r="D44" s="585"/>
      <c r="E44" s="732"/>
      <c r="F44" s="585"/>
      <c r="G44" s="732"/>
      <c r="H44" s="585"/>
      <c r="I44" s="732"/>
      <c r="J44" s="585"/>
      <c r="K44" s="732"/>
      <c r="L44" s="585"/>
      <c r="M44" s="732"/>
      <c r="N44" s="585"/>
      <c r="O44" s="732"/>
      <c r="P44" s="585"/>
      <c r="Q44" s="732"/>
      <c r="R44" s="585"/>
      <c r="S44" s="1434"/>
      <c r="T44" s="585"/>
      <c r="U44" s="585"/>
      <c r="V44" s="585"/>
      <c r="W44" s="732"/>
      <c r="X44" s="585"/>
      <c r="Y44" s="1434"/>
      <c r="Z44" s="585"/>
      <c r="AA44" s="585"/>
      <c r="AB44" s="585"/>
      <c r="AC44" s="1275"/>
      <c r="AD44" s="585"/>
      <c r="AE44" s="315"/>
      <c r="AF44" s="96"/>
      <c r="AG44" s="96"/>
      <c r="AH44" s="96"/>
      <c r="AI44" s="1275"/>
      <c r="AJ44" s="585"/>
      <c r="AK44" s="315"/>
      <c r="AL44" s="96"/>
      <c r="AM44" s="96"/>
      <c r="AN44" s="1321"/>
      <c r="AO44" s="1275"/>
      <c r="AP44" s="585"/>
      <c r="AQ44" s="315"/>
      <c r="AR44" s="96"/>
      <c r="AS44" s="96"/>
      <c r="AT44" s="96"/>
      <c r="AU44" s="100"/>
      <c r="AV44" s="1460"/>
      <c r="AW44" s="315"/>
      <c r="AX44" s="96"/>
      <c r="AY44" s="96"/>
      <c r="AZ44" s="96"/>
      <c r="BA44" s="100"/>
      <c r="BB44" s="1460"/>
      <c r="BC44" s="315"/>
      <c r="BD44" s="96"/>
      <c r="BE44" s="96"/>
      <c r="BF44" s="96"/>
      <c r="BG44" s="100"/>
      <c r="BH44" s="1460"/>
      <c r="BI44" s="315">
        <f>BI$56</f>
        <v>-1.7720179846601427E-2</v>
      </c>
      <c r="BJ44" s="96">
        <f>BJ$56</f>
        <v>-9.82367758186398E-3</v>
      </c>
      <c r="BK44" s="96">
        <f>BK$56</f>
        <v>1.7119100024455857E-3</v>
      </c>
      <c r="BL44" s="96">
        <f>BL$56</f>
        <v>1.0371292263015967E-3</v>
      </c>
      <c r="BM44" s="100">
        <f>BM$56</f>
        <v>-5.6419182522057503E-3</v>
      </c>
      <c r="BN44" s="1460"/>
      <c r="BO44" s="315">
        <f>BO$56</f>
        <v>-3.003003003003003E-3</v>
      </c>
      <c r="BP44" s="96">
        <f>BP$56</f>
        <v>2.0161290322580645E-2</v>
      </c>
      <c r="BQ44" s="96">
        <f>BQ$56</f>
        <v>-3.8967364831953241E-3</v>
      </c>
      <c r="BR44" s="96">
        <f>BR$56</f>
        <v>-6.1252446183953035E-2</v>
      </c>
      <c r="BS44" s="100">
        <f>BS$56</f>
        <v>-1.4916642293068149E-2</v>
      </c>
      <c r="BT44" s="1460"/>
      <c r="BU44" s="315">
        <f>BU$56</f>
        <v>-0.10459507489210461</v>
      </c>
      <c r="BV44" s="96">
        <f>BV$56</f>
        <v>-0.10842230130486359</v>
      </c>
      <c r="BW44" s="96">
        <f>BW56</f>
        <v>-0.105</v>
      </c>
      <c r="BX44" s="1869">
        <f>-(46.6+(BO40*BU44)+(BP40*BV44)+(BQ40*BW44))/BR40</f>
        <v>-6.4080467112550693E-2</v>
      </c>
      <c r="BY44" s="1870">
        <v>-9.2999999999999999E-2</v>
      </c>
      <c r="BZ44" s="1460"/>
      <c r="CA44" s="315">
        <f>CA$56</f>
        <v>-7.6488549618322216E-3</v>
      </c>
      <c r="CB44" s="96">
        <f>CB$56</f>
        <v>1.9661387220260007E-5</v>
      </c>
      <c r="CC44" s="96">
        <f>CC$56</f>
        <v>2E-3</v>
      </c>
      <c r="CD44" s="96">
        <f>CD$56</f>
        <v>-1.2999999999999999E-2</v>
      </c>
      <c r="CE44" s="100">
        <f>CE$56</f>
        <v>-5.2999332140269313E-3</v>
      </c>
      <c r="CF44" s="1460"/>
      <c r="CG44" s="315">
        <f>CG$56</f>
        <v>-0.02</v>
      </c>
      <c r="CH44" s="96">
        <f>CH$56</f>
        <v>-1.7999999999999999E-2</v>
      </c>
      <c r="CI44" s="96">
        <f>CI$56</f>
        <v>2.4E-2</v>
      </c>
      <c r="CJ44" s="96">
        <f>CJ$56</f>
        <v>5.1999999999999998E-2</v>
      </c>
      <c r="CK44" s="100">
        <f>CK$56</f>
        <v>1.2232731334946935E-2</v>
      </c>
      <c r="CL44" s="1460"/>
      <c r="CM44" s="315">
        <f>CM$56</f>
        <v>6.6680741425468634E-2</v>
      </c>
      <c r="CN44" s="96">
        <f>CN$56</f>
        <v>5.0067583566292144E-2</v>
      </c>
      <c r="CO44" s="96">
        <f>CO$56</f>
        <v>2.4942821356928498E-2</v>
      </c>
      <c r="CP44" s="96">
        <f>CP$56</f>
        <v>2.6288462675898794E-2</v>
      </c>
      <c r="CQ44" s="100">
        <f>CQ$56</f>
        <v>4.0347749324725082E-2</v>
      </c>
      <c r="CR44" s="585"/>
      <c r="CS44" s="315">
        <f>CS$56</f>
        <v>0</v>
      </c>
      <c r="CT44" s="96">
        <f>CT$56</f>
        <v>0</v>
      </c>
      <c r="CU44" s="96">
        <f>CU$56</f>
        <v>0</v>
      </c>
      <c r="CV44" s="96">
        <f>CV$56</f>
        <v>0</v>
      </c>
      <c r="CW44" s="100">
        <f>CW$56</f>
        <v>0</v>
      </c>
      <c r="CX44" s="585"/>
      <c r="CY44" s="315">
        <f>CY$56</f>
        <v>0</v>
      </c>
      <c r="CZ44" s="96">
        <f>CZ$56</f>
        <v>0</v>
      </c>
      <c r="DA44" s="96">
        <f>DA$56</f>
        <v>0</v>
      </c>
      <c r="DB44" s="96">
        <f>DB$56</f>
        <v>0</v>
      </c>
      <c r="DC44" s="100">
        <f>DC$56</f>
        <v>0</v>
      </c>
      <c r="DD44" s="585"/>
      <c r="DE44" s="315">
        <f>DE$56</f>
        <v>0</v>
      </c>
      <c r="DF44" s="96">
        <f>DF$56</f>
        <v>0</v>
      </c>
      <c r="DG44" s="96">
        <f>DG$56</f>
        <v>0</v>
      </c>
      <c r="DH44" s="96">
        <f>DH$56</f>
        <v>0</v>
      </c>
      <c r="DI44" s="100">
        <f>DI$56</f>
        <v>0</v>
      </c>
      <c r="DJ44" s="585"/>
      <c r="DK44" s="585"/>
      <c r="DL44" s="585"/>
      <c r="DM44" s="585"/>
      <c r="DN44" s="585"/>
      <c r="DO44" s="585"/>
      <c r="DP44" s="585"/>
      <c r="DQ44" s="585"/>
      <c r="DR44" s="585"/>
      <c r="DS44" s="585"/>
      <c r="DT44" s="585"/>
      <c r="DU44" s="585"/>
      <c r="DV44" s="585"/>
      <c r="DW44" s="585"/>
      <c r="DX44" s="585"/>
      <c r="DY44" s="585"/>
      <c r="DZ44" s="585"/>
      <c r="EA44" s="585"/>
      <c r="EB44" s="585"/>
      <c r="EC44" s="585"/>
      <c r="ED44" s="585"/>
      <c r="EE44" s="585"/>
      <c r="EF44" s="585"/>
      <c r="EG44" s="585"/>
      <c r="EH44" s="585"/>
      <c r="EI44" s="585"/>
      <c r="EJ44" s="585"/>
      <c r="EK44" s="585"/>
      <c r="EL44" s="585"/>
      <c r="EM44" s="585"/>
      <c r="EN44" s="585"/>
      <c r="EO44" s="585"/>
      <c r="EP44" s="585"/>
      <c r="EQ44" s="585"/>
      <c r="ER44" s="585"/>
      <c r="ES44" s="585"/>
      <c r="ET44" s="585"/>
      <c r="EU44" s="585"/>
      <c r="EV44" s="585"/>
      <c r="EW44" s="585"/>
    </row>
    <row r="45" spans="1:153" s="69" customFormat="1" ht="11.25" customHeight="1">
      <c r="A45" s="417" t="s">
        <v>472</v>
      </c>
      <c r="B45" s="585"/>
      <c r="C45" s="428"/>
      <c r="D45" s="353"/>
      <c r="E45" s="428"/>
      <c r="F45" s="353"/>
      <c r="G45" s="428"/>
      <c r="H45" s="353"/>
      <c r="I45" s="428"/>
      <c r="J45" s="353"/>
      <c r="K45" s="428"/>
      <c r="L45" s="353"/>
      <c r="M45" s="428"/>
      <c r="N45" s="353"/>
      <c r="O45" s="428"/>
      <c r="P45" s="353"/>
      <c r="Q45" s="428"/>
      <c r="R45" s="353"/>
      <c r="S45" s="418"/>
      <c r="T45" s="353"/>
      <c r="U45" s="353"/>
      <c r="V45" s="353"/>
      <c r="W45" s="428"/>
      <c r="X45" s="353"/>
      <c r="Y45" s="418"/>
      <c r="Z45" s="585"/>
      <c r="AA45" s="585"/>
      <c r="AB45" s="585"/>
      <c r="AC45" s="1275"/>
      <c r="AD45" s="585"/>
      <c r="AE45" s="315"/>
      <c r="AF45" s="96"/>
      <c r="AG45" s="96"/>
      <c r="AH45" s="96"/>
      <c r="AI45" s="1275"/>
      <c r="AJ45" s="585"/>
      <c r="AK45" s="315"/>
      <c r="AL45" s="96"/>
      <c r="AM45" s="96"/>
      <c r="AN45" s="1321"/>
      <c r="AO45" s="1275"/>
      <c r="AP45" s="585"/>
      <c r="AQ45" s="315"/>
      <c r="AR45" s="96"/>
      <c r="AS45" s="96"/>
      <c r="AT45" s="96"/>
      <c r="AU45" s="100"/>
      <c r="AV45" s="1460"/>
      <c r="AW45" s="315"/>
      <c r="AX45" s="96"/>
      <c r="AY45" s="96"/>
      <c r="AZ45" s="96"/>
      <c r="BA45" s="100"/>
      <c r="BB45" s="1460"/>
      <c r="BC45" s="315"/>
      <c r="BD45" s="96"/>
      <c r="BE45" s="96"/>
      <c r="BF45" s="96"/>
      <c r="BG45" s="100"/>
      <c r="BH45" s="1460"/>
      <c r="BI45" s="1316">
        <v>0</v>
      </c>
      <c r="BJ45" s="1261">
        <v>0</v>
      </c>
      <c r="BK45" s="1261">
        <v>0</v>
      </c>
      <c r="BL45" s="1261">
        <v>0</v>
      </c>
      <c r="BM45" s="100">
        <f>SUMPRODUCT(BI45:BL45,BI40:BL40)/BM40</f>
        <v>0</v>
      </c>
      <c r="BN45" s="1573"/>
      <c r="BO45" s="1316">
        <v>0</v>
      </c>
      <c r="BP45" s="1261">
        <v>0</v>
      </c>
      <c r="BQ45" s="1261">
        <v>0</v>
      </c>
      <c r="BR45" s="1261">
        <v>0</v>
      </c>
      <c r="BS45" s="1575">
        <v>0</v>
      </c>
      <c r="BT45" s="1573"/>
      <c r="BU45" s="1316">
        <v>0</v>
      </c>
      <c r="BV45" s="1261">
        <v>0</v>
      </c>
      <c r="BW45" s="1261">
        <f>BV45</f>
        <v>0</v>
      </c>
      <c r="BX45" s="1261">
        <f>(2.6+(BO40*BU45)+(BP40*BV45)+(BQ40*BW45))/BR40</f>
        <v>1.7482410168421343E-2</v>
      </c>
      <c r="BY45" s="1870">
        <v>5.0000000000000001E-3</v>
      </c>
      <c r="BZ45" s="1460"/>
      <c r="CA45" s="1316">
        <f>5.1/BU40</f>
        <v>4.8027748043892912E-2</v>
      </c>
      <c r="CB45" s="1261">
        <f>(0.031*BV17)/BV40</f>
        <v>0.10899352516225835</v>
      </c>
      <c r="CC45" s="1261">
        <f>(0.016*BW17)/BW40</f>
        <v>6.9422830777908603E-2</v>
      </c>
      <c r="CD45" s="1261">
        <f>6/BX40</f>
        <v>4.0095203090108521E-2</v>
      </c>
      <c r="CE45" s="100">
        <f>SUMPRODUCT(CA45:CD45,CA40:CD40)/CE40</f>
        <v>6.3961090040012922E-2</v>
      </c>
      <c r="CF45" s="1460"/>
      <c r="CG45" s="1316">
        <f>(5.1)/CA40</f>
        <v>4.6524521522178945E-2</v>
      </c>
      <c r="CH45" s="1261">
        <f t="shared" ref="CH45:CI45" si="5">(5)/CB40</f>
        <v>4.7529234099479407E-2</v>
      </c>
      <c r="CI45" s="1261">
        <f t="shared" si="5"/>
        <v>5.6150623264097262E-2</v>
      </c>
      <c r="CJ45" s="1261">
        <f>(8)/CD40</f>
        <v>5.491016247525974E-2</v>
      </c>
      <c r="CK45" s="100">
        <f>SUMPRODUCT(CG45:CJ45,CG40:CJ40)/CK40</f>
        <v>5.1718916053334604E-2</v>
      </c>
      <c r="CL45" s="1460"/>
      <c r="CM45" s="1316">
        <v>0</v>
      </c>
      <c r="CN45" s="1261">
        <v>0</v>
      </c>
      <c r="CO45" s="1261">
        <v>0</v>
      </c>
      <c r="CP45" s="1261">
        <v>0</v>
      </c>
      <c r="CQ45" s="100">
        <f>SUMPRODUCT(CM45:CP45,CM40:CP40)/CQ40</f>
        <v>0</v>
      </c>
      <c r="CR45" s="585"/>
      <c r="CS45" s="1316">
        <v>0</v>
      </c>
      <c r="CT45" s="1261">
        <v>0</v>
      </c>
      <c r="CU45" s="1261">
        <v>0</v>
      </c>
      <c r="CV45" s="1261">
        <v>0</v>
      </c>
      <c r="CW45" s="100">
        <f>SUMPRODUCT(CS45:CV45,CS40:CV40)/CW40</f>
        <v>0</v>
      </c>
      <c r="CX45" s="585"/>
      <c r="CY45" s="1316">
        <v>0</v>
      </c>
      <c r="CZ45" s="1261">
        <v>0</v>
      </c>
      <c r="DA45" s="1261">
        <v>0</v>
      </c>
      <c r="DB45" s="1261">
        <v>0</v>
      </c>
      <c r="DC45" s="100">
        <f>SUMPRODUCT(CY45:DB45,CY40:DB40)/DC40</f>
        <v>0</v>
      </c>
      <c r="DD45" s="585"/>
      <c r="DE45" s="1316">
        <v>0</v>
      </c>
      <c r="DF45" s="1261">
        <v>0</v>
      </c>
      <c r="DG45" s="1261">
        <v>0</v>
      </c>
      <c r="DH45" s="1261">
        <v>0</v>
      </c>
      <c r="DI45" s="100">
        <f>SUMPRODUCT(DE45:DH45,DE40:DH40)/DI40</f>
        <v>0</v>
      </c>
      <c r="DJ45" s="585"/>
      <c r="DK45" s="585"/>
      <c r="DL45" s="585"/>
      <c r="DM45" s="585"/>
      <c r="DN45" s="585"/>
      <c r="DO45" s="585"/>
      <c r="DP45" s="585"/>
      <c r="DQ45" s="585"/>
      <c r="DR45" s="585"/>
      <c r="DS45" s="585"/>
      <c r="DT45" s="585"/>
      <c r="DU45" s="585"/>
      <c r="DV45" s="585"/>
      <c r="DW45" s="585"/>
      <c r="DX45" s="585"/>
      <c r="DY45" s="585"/>
      <c r="DZ45" s="585"/>
      <c r="EA45" s="585"/>
      <c r="EB45" s="585"/>
      <c r="EC45" s="585"/>
      <c r="ED45" s="585"/>
      <c r="EE45" s="585"/>
      <c r="EF45" s="585"/>
      <c r="EG45" s="585"/>
      <c r="EH45" s="585"/>
      <c r="EI45" s="585"/>
      <c r="EJ45" s="585"/>
      <c r="EK45" s="585"/>
      <c r="EL45" s="585"/>
      <c r="EM45" s="585"/>
      <c r="EN45" s="585"/>
      <c r="EO45" s="585"/>
      <c r="EP45" s="585"/>
      <c r="EQ45" s="585"/>
      <c r="ER45" s="585"/>
      <c r="ES45" s="585"/>
      <c r="ET45" s="585"/>
      <c r="EU45" s="585"/>
      <c r="EV45" s="585"/>
      <c r="EW45" s="585"/>
    </row>
    <row r="46" spans="1:153" s="355" customFormat="1" ht="11.25" customHeight="1">
      <c r="A46" s="1547" t="s">
        <v>375</v>
      </c>
      <c r="B46" s="353"/>
      <c r="C46" s="428"/>
      <c r="D46" s="353"/>
      <c r="E46" s="428"/>
      <c r="F46" s="353"/>
      <c r="G46" s="428"/>
      <c r="H46" s="353"/>
      <c r="I46" s="428"/>
      <c r="J46" s="353"/>
      <c r="K46" s="428"/>
      <c r="L46" s="353"/>
      <c r="M46" s="428"/>
      <c r="N46" s="353"/>
      <c r="O46" s="428"/>
      <c r="P46" s="353"/>
      <c r="Q46" s="428"/>
      <c r="R46" s="353"/>
      <c r="S46" s="418"/>
      <c r="T46" s="353"/>
      <c r="U46" s="353"/>
      <c r="V46" s="353"/>
      <c r="W46" s="428"/>
      <c r="X46" s="353"/>
      <c r="Y46" s="418"/>
      <c r="Z46" s="353"/>
      <c r="AA46" s="353"/>
      <c r="AB46" s="353"/>
      <c r="AC46" s="1550"/>
      <c r="AD46" s="1551"/>
      <c r="AE46" s="1316"/>
      <c r="AF46" s="1261"/>
      <c r="AG46" s="1261"/>
      <c r="AH46" s="1261"/>
      <c r="AI46" s="1142"/>
      <c r="AJ46" s="1551"/>
      <c r="AK46" s="1316"/>
      <c r="AL46" s="1261"/>
      <c r="AM46" s="1261"/>
      <c r="AN46" s="1261"/>
      <c r="AO46" s="1142"/>
      <c r="AP46" s="1551"/>
      <c r="AQ46" s="1316"/>
      <c r="AR46" s="1261"/>
      <c r="AS46" s="1261"/>
      <c r="AT46" s="1261"/>
      <c r="AU46" s="1575"/>
      <c r="AV46" s="1576"/>
      <c r="AW46" s="1316"/>
      <c r="AX46" s="1261"/>
      <c r="AY46" s="1261"/>
      <c r="AZ46" s="1261"/>
      <c r="BA46" s="1575"/>
      <c r="BB46" s="1576"/>
      <c r="BC46" s="1316"/>
      <c r="BD46" s="1261"/>
      <c r="BE46" s="1261"/>
      <c r="BF46" s="1261"/>
      <c r="BG46" s="1575"/>
      <c r="BH46" s="1576"/>
      <c r="BI46" s="315">
        <f>BI43-BI45</f>
        <v>-1.3914843519082263E-2</v>
      </c>
      <c r="BJ46" s="96">
        <f>BJ43-BJ45</f>
        <v>-8.894920308982357E-2</v>
      </c>
      <c r="BK46" s="96">
        <f>BK43-BK45</f>
        <v>-3.2231094637665769E-2</v>
      </c>
      <c r="BL46" s="96">
        <f>BL43-BL45</f>
        <v>-0.13255326832447897</v>
      </c>
      <c r="BM46" s="100">
        <f>BM43-BM45</f>
        <v>-7.3974948867232188E-2</v>
      </c>
      <c r="BN46" s="1573"/>
      <c r="BO46" s="315">
        <f>BO43-BO45</f>
        <v>6.6300794721248349E-2</v>
      </c>
      <c r="BP46" s="96">
        <f>BP43-BP45</f>
        <v>-2.0481269406550501E-2</v>
      </c>
      <c r="BQ46" s="96">
        <f>BQ43-BQ45</f>
        <v>-9.0433984921983179E-2</v>
      </c>
      <c r="BR46" s="96">
        <f>BR43-BR45</f>
        <v>5.2469603800038456E-2</v>
      </c>
      <c r="BS46" s="100">
        <f>BS43-BS45</f>
        <v>3.6269205394589433E-3</v>
      </c>
      <c r="BT46" s="1573"/>
      <c r="BU46" s="1316">
        <v>0.01</v>
      </c>
      <c r="BV46" s="1261">
        <v>2.5000000000000001E-2</v>
      </c>
      <c r="BW46" s="1261">
        <v>-0.06</v>
      </c>
      <c r="BX46" s="96">
        <f>BX43-BX45</f>
        <v>5.2803796192288498E-2</v>
      </c>
      <c r="BY46" s="1870">
        <v>1.0999999999999999E-2</v>
      </c>
      <c r="BZ46" s="1460"/>
      <c r="CA46" s="1316">
        <f>+CA43-CA45</f>
        <v>-8.0684797230032024E-3</v>
      </c>
      <c r="CB46" s="1261">
        <v>-0.17499999999999999</v>
      </c>
      <c r="CC46" s="1261">
        <v>-9.6000000000000002E-2</v>
      </c>
      <c r="CD46" s="1261">
        <v>-5.3499999999999999E-2</v>
      </c>
      <c r="CE46" s="100">
        <f>CE43-CE45</f>
        <v>-8.0838494060738564E-2</v>
      </c>
      <c r="CF46" s="1460"/>
      <c r="CG46" s="1316">
        <v>3.0838500000000008E-2</v>
      </c>
      <c r="CH46" s="1261">
        <v>-2.8000000000000001E-2</v>
      </c>
      <c r="CI46" s="1261">
        <v>0.10679999999999999</v>
      </c>
      <c r="CJ46" s="1261">
        <v>0.13</v>
      </c>
      <c r="CK46" s="100">
        <f>CK43-CK45</f>
        <v>6.4201844840558561E-2</v>
      </c>
      <c r="CL46" s="1460"/>
      <c r="CM46" s="1316">
        <v>0.05</v>
      </c>
      <c r="CN46" s="1261">
        <v>0.08</v>
      </c>
      <c r="CO46" s="1261">
        <v>-0.05</v>
      </c>
      <c r="CP46" s="1576">
        <v>-0.02</v>
      </c>
      <c r="CQ46" s="100">
        <f>CQ43-CQ45</f>
        <v>1.0351092743781973E-2</v>
      </c>
      <c r="CR46" s="353"/>
      <c r="CS46" s="1316">
        <v>0.01</v>
      </c>
      <c r="CT46" s="1261">
        <f>+CS46</f>
        <v>0.01</v>
      </c>
      <c r="CU46" s="1261">
        <f>+CT46</f>
        <v>0.01</v>
      </c>
      <c r="CV46" s="1261">
        <f>+CU46</f>
        <v>0.01</v>
      </c>
      <c r="CW46" s="100">
        <f>CW43-CW45</f>
        <v>9.9999999999997868E-3</v>
      </c>
      <c r="CX46" s="353"/>
      <c r="CY46" s="1316">
        <v>0</v>
      </c>
      <c r="CZ46" s="1261">
        <f>+CY46</f>
        <v>0</v>
      </c>
      <c r="DA46" s="1261">
        <f>+CZ46</f>
        <v>0</v>
      </c>
      <c r="DB46" s="1261">
        <f>+DA46</f>
        <v>0</v>
      </c>
      <c r="DC46" s="100">
        <f>DC43-DC45</f>
        <v>0</v>
      </c>
      <c r="DD46" s="353"/>
      <c r="DE46" s="1316">
        <v>0</v>
      </c>
      <c r="DF46" s="1261">
        <f>+DE46</f>
        <v>0</v>
      </c>
      <c r="DG46" s="1261">
        <f>+DF46</f>
        <v>0</v>
      </c>
      <c r="DH46" s="1261">
        <f>+DG46</f>
        <v>0</v>
      </c>
      <c r="DI46" s="100">
        <f>DI43-DI45</f>
        <v>0</v>
      </c>
      <c r="DJ46" s="353"/>
      <c r="DK46" s="353"/>
      <c r="DL46" s="353"/>
      <c r="DM46" s="353"/>
      <c r="DN46" s="353"/>
      <c r="DO46" s="353"/>
      <c r="DP46" s="353"/>
      <c r="DQ46" s="353"/>
      <c r="DR46" s="353"/>
      <c r="DS46" s="353"/>
      <c r="DT46" s="353"/>
      <c r="DU46" s="353"/>
      <c r="DV46" s="353"/>
      <c r="DW46" s="353"/>
      <c r="DX46" s="353"/>
      <c r="DY46" s="353"/>
      <c r="DZ46" s="353"/>
      <c r="EA46" s="353"/>
      <c r="EB46" s="353"/>
      <c r="EC46" s="353"/>
      <c r="ED46" s="353"/>
      <c r="EE46" s="353"/>
      <c r="EF46" s="353"/>
      <c r="EG46" s="353"/>
      <c r="EH46" s="353"/>
      <c r="EI46" s="353"/>
      <c r="EJ46" s="353"/>
      <c r="EK46" s="353"/>
      <c r="EL46" s="353"/>
      <c r="EM46" s="353"/>
      <c r="EN46" s="353"/>
      <c r="EO46" s="353"/>
      <c r="EP46" s="353"/>
      <c r="EQ46" s="353"/>
      <c r="ER46" s="353"/>
      <c r="ES46" s="353"/>
      <c r="ET46" s="353"/>
      <c r="EU46" s="353"/>
      <c r="EV46" s="353"/>
      <c r="EW46" s="353"/>
    </row>
    <row r="47" spans="1:153" s="355" customFormat="1" ht="5.25" customHeight="1">
      <c r="A47" s="1594"/>
      <c r="B47" s="1595"/>
      <c r="C47" s="1596"/>
      <c r="D47" s="1595"/>
      <c r="E47" s="1596"/>
      <c r="F47" s="1595"/>
      <c r="G47" s="1596"/>
      <c r="H47" s="1595"/>
      <c r="I47" s="1596"/>
      <c r="J47" s="1595"/>
      <c r="K47" s="1596"/>
      <c r="L47" s="1595"/>
      <c r="M47" s="1596"/>
      <c r="N47" s="1595"/>
      <c r="O47" s="1596"/>
      <c r="P47" s="1595"/>
      <c r="Q47" s="1596"/>
      <c r="R47" s="1595"/>
      <c r="S47" s="1597"/>
      <c r="T47" s="1595"/>
      <c r="U47" s="1595"/>
      <c r="V47" s="1595"/>
      <c r="W47" s="1596"/>
      <c r="X47" s="1595"/>
      <c r="Y47" s="1597"/>
      <c r="Z47" s="1595"/>
      <c r="AA47" s="1595"/>
      <c r="AB47" s="1595"/>
      <c r="AC47" s="1598"/>
      <c r="AD47" s="1595"/>
      <c r="AE47" s="1599"/>
      <c r="AF47" s="1600"/>
      <c r="AG47" s="1600"/>
      <c r="AH47" s="1600"/>
      <c r="AI47" s="1601"/>
      <c r="AJ47" s="1595"/>
      <c r="AK47" s="1599"/>
      <c r="AL47" s="1600"/>
      <c r="AM47" s="1600"/>
      <c r="AN47" s="1600"/>
      <c r="AO47" s="1601"/>
      <c r="AP47" s="1595"/>
      <c r="AQ47" s="1599"/>
      <c r="AR47" s="1600"/>
      <c r="AS47" s="1600"/>
      <c r="AT47" s="1600"/>
      <c r="AU47" s="1601"/>
      <c r="AV47" s="1595"/>
      <c r="AW47" s="1599"/>
      <c r="AX47" s="1600"/>
      <c r="AY47" s="1600"/>
      <c r="AZ47" s="1600"/>
      <c r="BA47" s="1601"/>
      <c r="BB47" s="1602"/>
      <c r="BC47" s="1599"/>
      <c r="BD47" s="1600"/>
      <c r="BE47" s="1600"/>
      <c r="BF47" s="1600"/>
      <c r="BG47" s="1601"/>
      <c r="BH47" s="1595"/>
      <c r="BI47" s="1599"/>
      <c r="BJ47" s="1600"/>
      <c r="BK47" s="1600"/>
      <c r="BL47" s="1600"/>
      <c r="BM47" s="1601"/>
      <c r="BN47" s="1595"/>
      <c r="BO47" s="1599"/>
      <c r="BP47" s="1600"/>
      <c r="BQ47" s="1600"/>
      <c r="BR47" s="1603"/>
      <c r="BS47" s="1871"/>
      <c r="BT47" s="1872"/>
      <c r="BU47" s="1873"/>
      <c r="BV47" s="1603"/>
      <c r="BW47" s="1603"/>
      <c r="BX47" s="1874"/>
      <c r="BY47" s="1871"/>
      <c r="BZ47" s="1594"/>
      <c r="CA47" s="1674"/>
      <c r="CB47" s="1675"/>
      <c r="CC47" s="1675"/>
      <c r="CD47" s="1676"/>
      <c r="CE47" s="1707"/>
      <c r="CF47" s="1595"/>
      <c r="CG47" s="1604"/>
      <c r="CH47" s="1874"/>
      <c r="CI47" s="1602"/>
      <c r="CJ47" s="1602"/>
      <c r="CK47" s="1601"/>
      <c r="CL47" s="1595"/>
      <c r="CM47" s="1604"/>
      <c r="CN47" s="1602"/>
      <c r="CO47" s="1602"/>
      <c r="CP47" s="1602"/>
      <c r="CQ47" s="1601"/>
      <c r="CS47" s="1604"/>
      <c r="CT47" s="1602"/>
      <c r="CU47" s="1602"/>
      <c r="CV47" s="1602"/>
      <c r="CW47" s="1601"/>
      <c r="CY47" s="1604"/>
      <c r="CZ47" s="1602"/>
      <c r="DA47" s="1602"/>
      <c r="DB47" s="1602"/>
      <c r="DC47" s="1601"/>
      <c r="DE47" s="1604"/>
      <c r="DF47" s="1602"/>
      <c r="DG47" s="1602"/>
      <c r="DH47" s="1602"/>
      <c r="DI47" s="1601"/>
    </row>
    <row r="48" spans="1:153" s="355" customFormat="1" ht="11.25" hidden="1" customHeight="1" outlineLevel="1">
      <c r="A48" s="418"/>
      <c r="B48" s="363"/>
      <c r="C48" s="357"/>
      <c r="D48" s="363"/>
      <c r="E48" s="357"/>
      <c r="F48" s="363"/>
      <c r="G48" s="357"/>
      <c r="H48" s="363"/>
      <c r="I48" s="357"/>
      <c r="J48" s="363"/>
      <c r="K48" s="357"/>
      <c r="L48" s="363"/>
      <c r="M48" s="357"/>
      <c r="N48" s="363"/>
      <c r="O48" s="357"/>
      <c r="P48" s="363"/>
      <c r="Q48" s="357"/>
      <c r="R48" s="363"/>
      <c r="S48" s="362"/>
      <c r="T48" s="363"/>
      <c r="U48" s="363"/>
      <c r="V48" s="363"/>
      <c r="W48" s="357"/>
      <c r="X48" s="363"/>
      <c r="Y48" s="362"/>
      <c r="Z48" s="363"/>
      <c r="AA48" s="363"/>
      <c r="AB48" s="363"/>
      <c r="AC48" s="405"/>
      <c r="AD48" s="363"/>
      <c r="AE48" s="386"/>
      <c r="AF48" s="399"/>
      <c r="AG48" s="399"/>
      <c r="AH48" s="399"/>
      <c r="AI48" s="394"/>
      <c r="AJ48" s="363"/>
      <c r="AK48" s="386"/>
      <c r="AL48" s="399"/>
      <c r="AM48" s="399"/>
      <c r="AN48" s="399"/>
      <c r="AO48" s="394"/>
      <c r="AP48" s="363"/>
      <c r="AQ48" s="386"/>
      <c r="AR48" s="399"/>
      <c r="AS48" s="399"/>
      <c r="AT48" s="399"/>
      <c r="AU48" s="394"/>
      <c r="AV48" s="363"/>
      <c r="AW48" s="386"/>
      <c r="AX48" s="399"/>
      <c r="AY48" s="399"/>
      <c r="AZ48" s="399"/>
      <c r="BA48" s="394"/>
      <c r="BB48" s="395"/>
      <c r="BC48" s="386"/>
      <c r="BD48" s="399"/>
      <c r="BE48" s="399"/>
      <c r="BF48" s="399"/>
      <c r="BG48" s="394"/>
      <c r="BH48" s="363"/>
      <c r="BI48" s="386"/>
      <c r="BJ48" s="399"/>
      <c r="BK48" s="399"/>
      <c r="BL48" s="399"/>
      <c r="BM48" s="394"/>
      <c r="BN48" s="363"/>
      <c r="BO48" s="386"/>
      <c r="BP48" s="399"/>
      <c r="BQ48" s="399"/>
      <c r="BR48" s="1266"/>
      <c r="BS48" s="155"/>
      <c r="BT48" s="353"/>
      <c r="BU48" s="1267"/>
      <c r="BV48" s="1266"/>
      <c r="BW48" s="1266"/>
      <c r="BX48" s="157"/>
      <c r="BY48" s="155"/>
      <c r="BZ48" s="353"/>
      <c r="CA48" s="535"/>
      <c r="CB48" s="395"/>
      <c r="CC48" s="395"/>
      <c r="CD48" s="395"/>
      <c r="CE48" s="394"/>
      <c r="CF48" s="363"/>
      <c r="CG48" s="535"/>
      <c r="CH48" s="157"/>
      <c r="CI48" s="395"/>
      <c r="CJ48" s="395"/>
      <c r="CK48" s="394"/>
      <c r="CL48" s="363"/>
      <c r="CM48" s="535"/>
      <c r="CN48" s="395"/>
      <c r="CO48" s="395"/>
      <c r="CP48" s="395"/>
      <c r="CQ48" s="394"/>
      <c r="CS48" s="535"/>
      <c r="CT48" s="395"/>
      <c r="CU48" s="395"/>
      <c r="CV48" s="395"/>
      <c r="CW48" s="394"/>
      <c r="CY48" s="535"/>
      <c r="CZ48" s="395"/>
      <c r="DA48" s="395"/>
      <c r="DB48" s="395"/>
      <c r="DC48" s="394"/>
      <c r="DE48" s="535"/>
      <c r="DF48" s="395"/>
      <c r="DG48" s="395"/>
      <c r="DH48" s="395"/>
      <c r="DI48" s="394"/>
    </row>
    <row r="49" spans="1:113" s="355" customFormat="1" ht="11.25" hidden="1" customHeight="1" outlineLevel="1">
      <c r="A49" s="418" t="s">
        <v>252</v>
      </c>
      <c r="B49" s="363"/>
      <c r="C49" s="357"/>
      <c r="D49" s="363"/>
      <c r="E49" s="357"/>
      <c r="F49" s="363"/>
      <c r="G49" s="357"/>
      <c r="H49" s="363"/>
      <c r="I49" s="357"/>
      <c r="J49" s="363"/>
      <c r="K49" s="357"/>
      <c r="L49" s="363"/>
      <c r="M49" s="357"/>
      <c r="N49" s="363"/>
      <c r="O49" s="357"/>
      <c r="P49" s="363"/>
      <c r="Q49" s="357"/>
      <c r="R49" s="363"/>
      <c r="S49" s="362"/>
      <c r="T49" s="363"/>
      <c r="U49" s="363"/>
      <c r="V49" s="363"/>
      <c r="W49" s="357"/>
      <c r="X49" s="363"/>
      <c r="Y49" s="362"/>
      <c r="Z49" s="363"/>
      <c r="AA49" s="363"/>
      <c r="AB49" s="363"/>
      <c r="AC49" s="405">
        <v>775.4</v>
      </c>
      <c r="AD49" s="363"/>
      <c r="AE49" s="386">
        <f>426.3-AF49</f>
        <v>176.70000000000002</v>
      </c>
      <c r="AF49" s="399">
        <v>249.6</v>
      </c>
      <c r="AG49" s="399">
        <v>176.9</v>
      </c>
      <c r="AH49" s="399">
        <f>853.6-AE49-AF49-AG49</f>
        <v>250.39999999999995</v>
      </c>
      <c r="AI49" s="394">
        <f>SUM(AE49:AH49)</f>
        <v>853.6</v>
      </c>
      <c r="AJ49" s="363"/>
      <c r="AK49" s="386">
        <v>176.6</v>
      </c>
      <c r="AL49" s="399">
        <v>191.3</v>
      </c>
      <c r="AM49" s="399">
        <v>197.6</v>
      </c>
      <c r="AN49" s="399">
        <f>849.2-AK49-AL49-AM49</f>
        <v>283.70000000000005</v>
      </c>
      <c r="AO49" s="394">
        <f>SUM(AK49:AN49)</f>
        <v>849.2</v>
      </c>
      <c r="AP49" s="363"/>
      <c r="AQ49" s="386">
        <v>206.4</v>
      </c>
      <c r="AR49" s="399">
        <v>231.5</v>
      </c>
      <c r="AS49" s="399">
        <v>234.5</v>
      </c>
      <c r="AT49" s="399">
        <f>973.2-AQ49-AR49-AS49</f>
        <v>300.80000000000007</v>
      </c>
      <c r="AU49" s="394">
        <f>SUM(AQ49:AT49)</f>
        <v>973.2</v>
      </c>
      <c r="AV49" s="363"/>
      <c r="AW49" s="386">
        <v>267.5</v>
      </c>
      <c r="AX49" s="399">
        <v>308.89999999999998</v>
      </c>
      <c r="AY49" s="399">
        <v>306.89999999999998</v>
      </c>
      <c r="AZ49" s="399">
        <f>1238.9-AW49-AX49-AY49</f>
        <v>355.60000000000014</v>
      </c>
      <c r="BA49" s="394">
        <f>SUM(AW49:AZ49)</f>
        <v>1238.9000000000001</v>
      </c>
      <c r="BB49" s="395"/>
      <c r="BC49" s="386">
        <v>301.10000000000002</v>
      </c>
      <c r="BD49" s="399">
        <v>328.3</v>
      </c>
      <c r="BE49" s="399">
        <v>333.9</v>
      </c>
      <c r="BF49" s="399">
        <f>1354.2-BE49-BD49-BC49</f>
        <v>390.9</v>
      </c>
      <c r="BG49" s="394">
        <f>SUM(BC49:BF49)</f>
        <v>1354.2</v>
      </c>
      <c r="BH49" s="363"/>
      <c r="BI49" s="386">
        <v>311.8</v>
      </c>
      <c r="BJ49" s="399">
        <v>344.5</v>
      </c>
      <c r="BK49" s="399">
        <v>328.1</v>
      </c>
      <c r="BL49" s="399">
        <f>1385.1-BK49-BJ49-BI49</f>
        <v>400.7</v>
      </c>
      <c r="BM49" s="394">
        <f>SUM(BI49:BL49)</f>
        <v>1385.1</v>
      </c>
      <c r="BN49" s="363"/>
      <c r="BO49" s="386">
        <v>308.2</v>
      </c>
      <c r="BP49" s="399">
        <v>339.8</v>
      </c>
      <c r="BQ49" s="399">
        <v>293.3</v>
      </c>
      <c r="BR49" s="1266">
        <f>1316.5-BQ49-BP49-BO49</f>
        <v>375.2000000000001</v>
      </c>
      <c r="BS49" s="155">
        <f>SUM(BO49:BR49)</f>
        <v>1316.5</v>
      </c>
      <c r="BT49" s="353"/>
      <c r="BU49" s="1267">
        <v>240.8</v>
      </c>
      <c r="BV49" s="1266">
        <v>269.39999999999998</v>
      </c>
      <c r="BW49" s="1266">
        <v>271.60000000000002</v>
      </c>
      <c r="BX49" s="1878">
        <f>1119.7-BW49-BV49-BU49</f>
        <v>337.90000000000003</v>
      </c>
      <c r="BY49" s="155">
        <f>SUM(BU49:BX49)</f>
        <v>1119.7</v>
      </c>
      <c r="BZ49" s="353"/>
      <c r="CA49" s="1905">
        <v>259.7</v>
      </c>
      <c r="CB49" s="1266">
        <v>241.8</v>
      </c>
      <c r="CC49" s="1266">
        <v>266.60000000000002</v>
      </c>
      <c r="CD49" s="1878">
        <f>1092.8-CC49-CB49-CA49</f>
        <v>324.69999999999987</v>
      </c>
      <c r="CE49" s="155">
        <f>SUM(CA49:CD49)</f>
        <v>1092.8</v>
      </c>
      <c r="CF49" s="363"/>
      <c r="CG49" s="1905">
        <v>245.2</v>
      </c>
      <c r="CH49" s="1266">
        <v>260.39999999999998</v>
      </c>
      <c r="CI49" s="1266">
        <v>281.89999999999998</v>
      </c>
      <c r="CJ49" s="395"/>
      <c r="CK49" s="394"/>
      <c r="CL49" s="363"/>
      <c r="CM49" s="535"/>
      <c r="CN49" s="395"/>
      <c r="CO49" s="395"/>
      <c r="CP49" s="395"/>
      <c r="CQ49" s="394"/>
      <c r="CS49" s="535"/>
      <c r="CT49" s="395"/>
      <c r="CU49" s="395"/>
      <c r="CV49" s="395"/>
      <c r="CW49" s="394"/>
      <c r="CY49" s="535"/>
      <c r="CZ49" s="395"/>
      <c r="DA49" s="395"/>
      <c r="DB49" s="395"/>
      <c r="DC49" s="394"/>
      <c r="DE49" s="535"/>
      <c r="DF49" s="395"/>
      <c r="DG49" s="395"/>
      <c r="DH49" s="395"/>
      <c r="DI49" s="394"/>
    </row>
    <row r="50" spans="1:113" s="355" customFormat="1" ht="11.25" hidden="1" customHeight="1" outlineLevel="1">
      <c r="A50" s="417" t="s">
        <v>247</v>
      </c>
      <c r="B50" s="363"/>
      <c r="C50" s="357"/>
      <c r="D50" s="363"/>
      <c r="E50" s="357"/>
      <c r="F50" s="363"/>
      <c r="G50" s="357"/>
      <c r="H50" s="363"/>
      <c r="I50" s="357"/>
      <c r="J50" s="363"/>
      <c r="K50" s="357"/>
      <c r="L50" s="363"/>
      <c r="M50" s="357"/>
      <c r="N50" s="363"/>
      <c r="O50" s="357"/>
      <c r="P50" s="363"/>
      <c r="Q50" s="357"/>
      <c r="R50" s="363"/>
      <c r="S50" s="362"/>
      <c r="T50" s="363"/>
      <c r="U50" s="363"/>
      <c r="V50" s="363"/>
      <c r="W50" s="357"/>
      <c r="X50" s="363"/>
      <c r="Y50" s="362"/>
      <c r="Z50" s="363"/>
      <c r="AA50" s="363"/>
      <c r="AB50" s="363"/>
      <c r="AC50" s="401"/>
      <c r="AD50" s="363"/>
      <c r="AE50" s="410"/>
      <c r="AF50" s="411"/>
      <c r="AG50" s="411"/>
      <c r="AH50" s="411"/>
      <c r="AI50" s="401">
        <f>AI49/AC49-1</f>
        <v>0.10085117358782569</v>
      </c>
      <c r="AJ50" s="363"/>
      <c r="AK50" s="378">
        <f>AK49/AE49-1</f>
        <v>-5.6593095642343272E-4</v>
      </c>
      <c r="AL50" s="388">
        <f>AL49/AF49-1</f>
        <v>-0.23357371794871784</v>
      </c>
      <c r="AM50" s="388">
        <f>AM49/AG49-1</f>
        <v>0.11701526286037311</v>
      </c>
      <c r="AN50" s="388">
        <f>AN49/AH49-1</f>
        <v>0.13298722044728484</v>
      </c>
      <c r="AO50" s="401">
        <f>AO49/AI49-1</f>
        <v>-5.1546391752577136E-3</v>
      </c>
      <c r="AP50" s="363"/>
      <c r="AQ50" s="378">
        <f>AQ49/AK49-1</f>
        <v>0.16874292185730466</v>
      </c>
      <c r="AR50" s="388">
        <f>AR49/AL49-1</f>
        <v>0.21014113957135372</v>
      </c>
      <c r="AS50" s="388">
        <f>AS49/AM49-1</f>
        <v>0.18674089068825905</v>
      </c>
      <c r="AT50" s="388">
        <f>AT49/AN49-1</f>
        <v>6.0274938315121762E-2</v>
      </c>
      <c r="AU50" s="401">
        <f>AU49/AO49-1</f>
        <v>0.14601978332548282</v>
      </c>
      <c r="AV50" s="363"/>
      <c r="AW50" s="378">
        <f>AW49/AQ49-1</f>
        <v>0.29602713178294571</v>
      </c>
      <c r="AX50" s="388">
        <f>AX49/AR49-1</f>
        <v>0.33434125269978399</v>
      </c>
      <c r="AY50" s="388">
        <f>AY49/AS49-1</f>
        <v>0.30874200426439224</v>
      </c>
      <c r="AZ50" s="388">
        <f>AZ49/AT49-1</f>
        <v>0.18218085106382986</v>
      </c>
      <c r="BA50" s="401">
        <f>BA49/AU49-1</f>
        <v>0.27301685162351008</v>
      </c>
      <c r="BB50" s="363"/>
      <c r="BC50" s="378">
        <f>BC49/AW49-1</f>
        <v>0.12560747663551419</v>
      </c>
      <c r="BD50" s="388">
        <f>BD49/AX49-1</f>
        <v>6.2803496277112458E-2</v>
      </c>
      <c r="BE50" s="388">
        <f>BE49/AY49-1</f>
        <v>8.7976539589442737E-2</v>
      </c>
      <c r="BF50" s="388">
        <f>BF49/AZ49-1</f>
        <v>9.9268841394825058E-2</v>
      </c>
      <c r="BG50" s="401">
        <f>BG49/BA49-1</f>
        <v>9.30664298974897E-2</v>
      </c>
      <c r="BH50" s="363"/>
      <c r="BI50" s="378">
        <f>BI49/BC49-1</f>
        <v>3.5536366655596119E-2</v>
      </c>
      <c r="BJ50" s="388">
        <f>BJ49/BD49-1</f>
        <v>4.9345111178799916E-2</v>
      </c>
      <c r="BK50" s="388">
        <f>BK49/BE49-1</f>
        <v>-1.7370470200658739E-2</v>
      </c>
      <c r="BL50" s="388">
        <f>BL49/BF49-1</f>
        <v>2.5070350473266778E-2</v>
      </c>
      <c r="BM50" s="401">
        <f>BM49/BG49-1</f>
        <v>2.2817899867080049E-2</v>
      </c>
      <c r="BN50" s="363"/>
      <c r="BO50" s="378">
        <f>BO49/BI49-1</f>
        <v>-1.1545862732520895E-2</v>
      </c>
      <c r="BP50" s="388">
        <f>BP49/BJ49-1</f>
        <v>-1.3642960812772054E-2</v>
      </c>
      <c r="BQ50" s="388">
        <f>BQ49/BK49-1</f>
        <v>-0.10606522401706797</v>
      </c>
      <c r="BR50" s="424">
        <f>BR49/BL49-1</f>
        <v>-6.3638632393311467E-2</v>
      </c>
      <c r="BS50" s="436">
        <f>BS49/BM49-1</f>
        <v>-4.9527109955959769E-2</v>
      </c>
      <c r="BT50" s="353"/>
      <c r="BU50" s="456">
        <f>BU49/BO49-1</f>
        <v>-0.21868916288124585</v>
      </c>
      <c r="BV50" s="424">
        <f>BV49/BP49-1</f>
        <v>-0.20718069452619192</v>
      </c>
      <c r="BW50" s="424">
        <f>BW49/BQ49-1</f>
        <v>-7.3985680190930769E-2</v>
      </c>
      <c r="BX50" s="424">
        <f>BX49/BR49-1</f>
        <v>-9.9413646055437233E-2</v>
      </c>
      <c r="BY50" s="436">
        <f>BY49/BS49-1</f>
        <v>-0.1494872768704899</v>
      </c>
      <c r="BZ50" s="353"/>
      <c r="CA50" s="1906">
        <f>CA49/BU49-1</f>
        <v>7.8488372093023173E-2</v>
      </c>
      <c r="CB50" s="424">
        <f>CB49/BV49-1</f>
        <v>-0.10244988864142524</v>
      </c>
      <c r="CC50" s="424">
        <f>CC49/BW49-1</f>
        <v>-1.8409425625920517E-2</v>
      </c>
      <c r="CD50" s="424">
        <f>CD49/BX49-1</f>
        <v>-3.9064812074578792E-2</v>
      </c>
      <c r="CE50" s="436">
        <f>CE49/BY49-1</f>
        <v>-2.4024292221130783E-2</v>
      </c>
      <c r="CF50" s="363"/>
      <c r="CG50" s="1906">
        <f>CG49/CA49-1</f>
        <v>-5.5833654216403517E-2</v>
      </c>
      <c r="CH50" s="424">
        <f>CH49/CB49-1</f>
        <v>7.6923076923076872E-2</v>
      </c>
      <c r="CI50" s="424">
        <f>CI49/CC49-1</f>
        <v>5.7389347336834096E-2</v>
      </c>
      <c r="CJ50" s="453"/>
      <c r="CK50" s="401"/>
      <c r="CL50" s="363"/>
      <c r="CM50" s="378"/>
      <c r="CN50" s="388"/>
      <c r="CO50" s="388"/>
      <c r="CP50" s="453"/>
      <c r="CQ50" s="401"/>
      <c r="CS50" s="378"/>
      <c r="CT50" s="388"/>
      <c r="CU50" s="388"/>
      <c r="CV50" s="453"/>
      <c r="CW50" s="401"/>
      <c r="CY50" s="378"/>
      <c r="CZ50" s="388"/>
      <c r="DA50" s="388"/>
      <c r="DB50" s="453"/>
      <c r="DC50" s="401"/>
      <c r="DE50" s="378"/>
      <c r="DF50" s="388"/>
      <c r="DG50" s="388"/>
      <c r="DH50" s="453"/>
      <c r="DI50" s="401"/>
    </row>
    <row r="51" spans="1:113" s="355" customFormat="1" ht="11.25" hidden="1" customHeight="1" outlineLevel="1">
      <c r="A51" s="418" t="s">
        <v>253</v>
      </c>
      <c r="B51" s="363"/>
      <c r="C51" s="357"/>
      <c r="D51" s="363"/>
      <c r="E51" s="357"/>
      <c r="F51" s="363"/>
      <c r="G51" s="357"/>
      <c r="H51" s="363"/>
      <c r="I51" s="357"/>
      <c r="J51" s="363"/>
      <c r="K51" s="357"/>
      <c r="L51" s="363"/>
      <c r="M51" s="357"/>
      <c r="N51" s="363"/>
      <c r="O51" s="357"/>
      <c r="P51" s="363"/>
      <c r="Q51" s="357"/>
      <c r="R51" s="363"/>
      <c r="S51" s="362"/>
      <c r="T51" s="363"/>
      <c r="U51" s="363"/>
      <c r="V51" s="363"/>
      <c r="W51" s="357"/>
      <c r="X51" s="363"/>
      <c r="Y51" s="362"/>
      <c r="Z51" s="363"/>
      <c r="AA51" s="363"/>
      <c r="AB51" s="363"/>
      <c r="AC51" s="405">
        <v>225.5</v>
      </c>
      <c r="AD51" s="363"/>
      <c r="AE51" s="386">
        <f>107.2-AF51</f>
        <v>53.800000000000004</v>
      </c>
      <c r="AF51" s="399">
        <v>53.4</v>
      </c>
      <c r="AG51" s="399">
        <v>56.9</v>
      </c>
      <c r="AH51" s="399">
        <f>220.5-AE51-AF51-AG51</f>
        <v>56.399999999999984</v>
      </c>
      <c r="AI51" s="394">
        <f>SUM(AE51:AH51)</f>
        <v>220.49999999999997</v>
      </c>
      <c r="AJ51" s="363"/>
      <c r="AK51" s="386">
        <v>47</v>
      </c>
      <c r="AL51" s="399">
        <v>50</v>
      </c>
      <c r="AM51" s="399">
        <v>54</v>
      </c>
      <c r="AN51" s="399">
        <f>213.5-AK51-AL51-AM51</f>
        <v>62.5</v>
      </c>
      <c r="AO51" s="394">
        <f>SUM(AK51:AN51)</f>
        <v>213.5</v>
      </c>
      <c r="AP51" s="363"/>
      <c r="AQ51" s="386">
        <v>53.9</v>
      </c>
      <c r="AR51" s="399">
        <v>53.4</v>
      </c>
      <c r="AS51" s="399">
        <v>56</v>
      </c>
      <c r="AT51" s="399">
        <f>251.9-AQ51-AR51-AS51</f>
        <v>88.6</v>
      </c>
      <c r="AU51" s="394">
        <f>SUM(AQ51:AT51)</f>
        <v>251.9</v>
      </c>
      <c r="AV51" s="363"/>
      <c r="AW51" s="386">
        <v>68.3</v>
      </c>
      <c r="AX51" s="399">
        <v>69</v>
      </c>
      <c r="AY51" s="399">
        <v>87.7</v>
      </c>
      <c r="AZ51" s="399">
        <f>315.2-AW51-AX51-AY51</f>
        <v>90.199999999999974</v>
      </c>
      <c r="BA51" s="394">
        <f>SUM(AW51:AZ51)</f>
        <v>315.2</v>
      </c>
      <c r="BB51" s="395"/>
      <c r="BC51" s="386">
        <v>77</v>
      </c>
      <c r="BD51" s="399">
        <v>68.7</v>
      </c>
      <c r="BE51" s="399">
        <v>75</v>
      </c>
      <c r="BF51" s="399">
        <f>311.9-BE51-BD51-BC51</f>
        <v>91.199999999999989</v>
      </c>
      <c r="BG51" s="394">
        <f>SUM(BC51:BF51)</f>
        <v>311.89999999999998</v>
      </c>
      <c r="BH51" s="363"/>
      <c r="BI51" s="386">
        <v>54.5</v>
      </c>
      <c r="BJ51" s="399">
        <v>77.099999999999994</v>
      </c>
      <c r="BK51" s="399">
        <v>82.5</v>
      </c>
      <c r="BL51" s="399">
        <f>324.4-BK51-BJ51-BI51</f>
        <v>110.29999999999998</v>
      </c>
      <c r="BM51" s="394">
        <f>SUM(BI51:BL51)</f>
        <v>324.39999999999998</v>
      </c>
      <c r="BN51" s="363"/>
      <c r="BO51" s="386">
        <v>85.7</v>
      </c>
      <c r="BP51" s="399">
        <v>81.7</v>
      </c>
      <c r="BQ51" s="399">
        <v>90.1</v>
      </c>
      <c r="BR51" s="1266">
        <f>358.1-BQ51-BP51-BO51</f>
        <v>100.60000000000001</v>
      </c>
      <c r="BS51" s="155">
        <f>SUM(BO51:BR51)</f>
        <v>358.1</v>
      </c>
      <c r="BT51" s="353"/>
      <c r="BU51" s="1267">
        <v>86.7</v>
      </c>
      <c r="BV51" s="1266">
        <v>96.8</v>
      </c>
      <c r="BW51" s="1266">
        <v>95</v>
      </c>
      <c r="BX51" s="1878">
        <f>379.5-BW51-BV51-BU51</f>
        <v>100.99999999999999</v>
      </c>
      <c r="BY51" s="155">
        <f>SUM(BU51:BX51)</f>
        <v>379.5</v>
      </c>
      <c r="BZ51" s="353"/>
      <c r="CA51" s="1905">
        <v>90.7</v>
      </c>
      <c r="CB51" s="1266">
        <v>103.9</v>
      </c>
      <c r="CC51" s="1266">
        <v>94.9</v>
      </c>
      <c r="CD51" s="1878">
        <f>399.8-CC51-CB51-CA51</f>
        <v>110.29999999999997</v>
      </c>
      <c r="CE51" s="155">
        <f>SUM(CA51:CD51)</f>
        <v>399.79999999999995</v>
      </c>
      <c r="CF51" s="363"/>
      <c r="CG51" s="1905">
        <v>101.2</v>
      </c>
      <c r="CH51" s="1266">
        <v>102.1</v>
      </c>
      <c r="CI51" s="1266">
        <v>108.7</v>
      </c>
      <c r="CJ51" s="452"/>
      <c r="CK51" s="394"/>
      <c r="CL51" s="363"/>
      <c r="CM51" s="197"/>
      <c r="CN51" s="452"/>
      <c r="CO51" s="452"/>
      <c r="CP51" s="452"/>
      <c r="CQ51" s="394"/>
      <c r="CS51" s="197"/>
      <c r="CT51" s="452"/>
      <c r="CU51" s="452"/>
      <c r="CV51" s="452"/>
      <c r="CW51" s="394"/>
      <c r="CY51" s="197"/>
      <c r="CZ51" s="452"/>
      <c r="DA51" s="452"/>
      <c r="DB51" s="452"/>
      <c r="DC51" s="394"/>
      <c r="DE51" s="197"/>
      <c r="DF51" s="452"/>
      <c r="DG51" s="452"/>
      <c r="DH51" s="452"/>
      <c r="DI51" s="394"/>
    </row>
    <row r="52" spans="1:113" s="355" customFormat="1" ht="11.25" hidden="1" customHeight="1" outlineLevel="1">
      <c r="A52" s="417" t="s">
        <v>247</v>
      </c>
      <c r="B52" s="363"/>
      <c r="C52" s="357"/>
      <c r="D52" s="363"/>
      <c r="E52" s="357"/>
      <c r="F52" s="363"/>
      <c r="G52" s="357"/>
      <c r="H52" s="363"/>
      <c r="I52" s="357"/>
      <c r="J52" s="363"/>
      <c r="K52" s="357"/>
      <c r="L52" s="363"/>
      <c r="M52" s="357"/>
      <c r="N52" s="363"/>
      <c r="O52" s="357"/>
      <c r="P52" s="363"/>
      <c r="Q52" s="357"/>
      <c r="R52" s="363"/>
      <c r="S52" s="362"/>
      <c r="T52" s="363"/>
      <c r="U52" s="363"/>
      <c r="V52" s="363"/>
      <c r="W52" s="357"/>
      <c r="X52" s="363"/>
      <c r="Y52" s="362"/>
      <c r="Z52" s="363"/>
      <c r="AA52" s="363"/>
      <c r="AB52" s="363"/>
      <c r="AC52" s="401"/>
      <c r="AD52" s="363"/>
      <c r="AE52" s="410"/>
      <c r="AF52" s="411"/>
      <c r="AG52" s="411"/>
      <c r="AH52" s="411"/>
      <c r="AI52" s="401">
        <f>AI51/AC51-1</f>
        <v>-2.2172949002217446E-2</v>
      </c>
      <c r="AJ52" s="363"/>
      <c r="AK52" s="378">
        <f>AK51/AE51-1</f>
        <v>-0.12639405204460974</v>
      </c>
      <c r="AL52" s="388">
        <f>AL51/AF51-1</f>
        <v>-6.367041198501866E-2</v>
      </c>
      <c r="AM52" s="388">
        <f>AM51/AG51-1</f>
        <v>-5.0966608084358489E-2</v>
      </c>
      <c r="AN52" s="388">
        <f>AN51/AH51-1</f>
        <v>0.10815602836879457</v>
      </c>
      <c r="AO52" s="401">
        <f>AO51/AI51-1</f>
        <v>-3.1746031746031633E-2</v>
      </c>
      <c r="AP52" s="363"/>
      <c r="AQ52" s="378">
        <f>AQ51/AK51-1</f>
        <v>0.14680851063829792</v>
      </c>
      <c r="AR52" s="388">
        <f>AR51/AL51-1</f>
        <v>6.800000000000006E-2</v>
      </c>
      <c r="AS52" s="388">
        <f>AS51/AM51-1</f>
        <v>3.7037037037036979E-2</v>
      </c>
      <c r="AT52" s="388">
        <f>AT51/AN51-1</f>
        <v>0.41759999999999997</v>
      </c>
      <c r="AU52" s="401">
        <f>AU51/AO51-1</f>
        <v>0.17985948477751768</v>
      </c>
      <c r="AV52" s="363"/>
      <c r="AW52" s="378">
        <f>AW51/AQ51-1</f>
        <v>0.26716141001855287</v>
      </c>
      <c r="AX52" s="388">
        <f>AX51/AR51-1</f>
        <v>0.2921348314606742</v>
      </c>
      <c r="AY52" s="388">
        <f>AY51/AS51-1</f>
        <v>0.56607142857142856</v>
      </c>
      <c r="AZ52" s="388">
        <f>AZ51/AT51-1</f>
        <v>1.8058690744920725E-2</v>
      </c>
      <c r="BA52" s="401">
        <f>BA51/AU51-1</f>
        <v>0.25129019452163548</v>
      </c>
      <c r="BB52" s="363"/>
      <c r="BC52" s="378">
        <f>BC51/AW51-1</f>
        <v>0.12737920937042468</v>
      </c>
      <c r="BD52" s="388">
        <f>BD51/AX51-1</f>
        <v>-4.3478260869564966E-3</v>
      </c>
      <c r="BE52" s="388">
        <f>BE51/AY51-1</f>
        <v>-0.14481185860889401</v>
      </c>
      <c r="BF52" s="727">
        <f>BF51/AZ51-1</f>
        <v>1.1086474501108778E-2</v>
      </c>
      <c r="BG52" s="401">
        <f>BG51/BA51-1</f>
        <v>-1.046954314720816E-2</v>
      </c>
      <c r="BH52" s="363"/>
      <c r="BI52" s="378">
        <f>BI51/BC51-1</f>
        <v>-0.29220779220779225</v>
      </c>
      <c r="BJ52" s="388">
        <f>BJ51/BD51-1</f>
        <v>0.12227074235807844</v>
      </c>
      <c r="BK52" s="388">
        <f>BK51/BE51-1</f>
        <v>0.10000000000000009</v>
      </c>
      <c r="BL52" s="727">
        <f>BL51/BF51-1</f>
        <v>0.20942982456140347</v>
      </c>
      <c r="BM52" s="401">
        <f>BM51/BG51-1</f>
        <v>4.0076947739660085E-2</v>
      </c>
      <c r="BN52" s="363"/>
      <c r="BO52" s="378">
        <f>BO51/BI51-1</f>
        <v>0.57247706422018352</v>
      </c>
      <c r="BP52" s="388">
        <f>BP51/BJ51-1</f>
        <v>5.9662775616083019E-2</v>
      </c>
      <c r="BQ52" s="388">
        <f>BQ51/BK51-1</f>
        <v>9.2121212121212048E-2</v>
      </c>
      <c r="BR52" s="1321">
        <f>BR51/BL51-1</f>
        <v>-8.7941976427923674E-2</v>
      </c>
      <c r="BS52" s="436">
        <f>BS51/BM51-1</f>
        <v>0.10388409371146756</v>
      </c>
      <c r="BT52" s="353"/>
      <c r="BU52" s="456">
        <f>BU51/BO51-1</f>
        <v>1.1668611435239118E-2</v>
      </c>
      <c r="BV52" s="424">
        <f>BV51/BP51-1</f>
        <v>0.18482252141982847</v>
      </c>
      <c r="BW52" s="424">
        <f>BW51/BQ51-1</f>
        <v>5.4384017758046577E-2</v>
      </c>
      <c r="BX52" s="1321">
        <f>BX51/BR51-1</f>
        <v>3.9761431411529102E-3</v>
      </c>
      <c r="BY52" s="436">
        <f>BY51/BS51-1</f>
        <v>5.9759843619100694E-2</v>
      </c>
      <c r="BZ52" s="353"/>
      <c r="CA52" s="1906">
        <f>CA51/BU51-1</f>
        <v>4.6136101499423265E-2</v>
      </c>
      <c r="CB52" s="424">
        <f>CB51/BV51-1</f>
        <v>7.3347107438016534E-2</v>
      </c>
      <c r="CC52" s="424">
        <f>CC51/BW51-1</f>
        <v>-1.0526315789473051E-3</v>
      </c>
      <c r="CD52" s="1321">
        <f>CD51/BX51-1</f>
        <v>9.2079207920791939E-2</v>
      </c>
      <c r="CE52" s="436">
        <f>CE51/BY51-1</f>
        <v>5.349143610013174E-2</v>
      </c>
      <c r="CF52" s="363"/>
      <c r="CG52" s="1906">
        <f>CG51/CA51-1</f>
        <v>0.11576626240352805</v>
      </c>
      <c r="CH52" s="424">
        <f>CH51/CB51-1</f>
        <v>-1.7324350336862526E-2</v>
      </c>
      <c r="CI52" s="424">
        <f>CI51/CC51-1</f>
        <v>0.14541622760800843</v>
      </c>
      <c r="CJ52" s="391"/>
      <c r="CK52" s="401"/>
      <c r="CL52" s="363"/>
      <c r="CM52" s="775"/>
      <c r="CN52" s="391"/>
      <c r="CO52" s="391"/>
      <c r="CP52" s="391"/>
      <c r="CQ52" s="401"/>
      <c r="CS52" s="775"/>
      <c r="CT52" s="391"/>
      <c r="CU52" s="391"/>
      <c r="CV52" s="391"/>
      <c r="CW52" s="401"/>
      <c r="CY52" s="775"/>
      <c r="CZ52" s="391"/>
      <c r="DA52" s="391"/>
      <c r="DB52" s="391"/>
      <c r="DC52" s="401"/>
      <c r="DE52" s="775"/>
      <c r="DF52" s="391"/>
      <c r="DG52" s="391"/>
      <c r="DH52" s="391"/>
      <c r="DI52" s="401"/>
    </row>
    <row r="53" spans="1:113" s="355" customFormat="1" ht="11.25" customHeight="1" collapsed="1">
      <c r="A53" s="1547" t="s">
        <v>238</v>
      </c>
      <c r="B53" s="363"/>
      <c r="C53" s="357"/>
      <c r="D53" s="363"/>
      <c r="E53" s="357"/>
      <c r="F53" s="363"/>
      <c r="G53" s="357"/>
      <c r="H53" s="363"/>
      <c r="I53" s="357"/>
      <c r="J53" s="363"/>
      <c r="K53" s="357"/>
      <c r="L53" s="363"/>
      <c r="M53" s="357"/>
      <c r="N53" s="363"/>
      <c r="O53" s="357"/>
      <c r="P53" s="363"/>
      <c r="Q53" s="357"/>
      <c r="R53" s="363"/>
      <c r="S53" s="362"/>
      <c r="T53" s="363"/>
      <c r="U53" s="363"/>
      <c r="V53" s="363"/>
      <c r="W53" s="357"/>
      <c r="X53" s="363"/>
      <c r="Y53" s="362"/>
      <c r="Z53" s="363"/>
      <c r="AA53" s="363"/>
      <c r="AB53" s="363"/>
      <c r="AC53" s="408">
        <f>AC49+AC51</f>
        <v>1000.9</v>
      </c>
      <c r="AD53" s="363"/>
      <c r="AE53" s="382">
        <f>AE49+AE51</f>
        <v>230.50000000000003</v>
      </c>
      <c r="AF53" s="389">
        <f>AF49+AF51</f>
        <v>303</v>
      </c>
      <c r="AG53" s="389">
        <f>AG49+AG51</f>
        <v>233.8</v>
      </c>
      <c r="AH53" s="389">
        <f>AH49+AH51</f>
        <v>306.79999999999995</v>
      </c>
      <c r="AI53" s="408">
        <f>AI49+AI51</f>
        <v>1074.0999999999999</v>
      </c>
      <c r="AJ53" s="363"/>
      <c r="AK53" s="382">
        <f>AK49+AK51</f>
        <v>223.6</v>
      </c>
      <c r="AL53" s="389">
        <f>AL49+AL51</f>
        <v>241.3</v>
      </c>
      <c r="AM53" s="389">
        <f>AM49+AM51</f>
        <v>251.6</v>
      </c>
      <c r="AN53" s="389">
        <f>AN49+AN51</f>
        <v>346.20000000000005</v>
      </c>
      <c r="AO53" s="408">
        <f>AO49+AO51</f>
        <v>1062.7</v>
      </c>
      <c r="AP53" s="363"/>
      <c r="AQ53" s="382">
        <f>AQ49+AQ51</f>
        <v>260.3</v>
      </c>
      <c r="AR53" s="389">
        <f>AR49+AR51</f>
        <v>284.89999999999998</v>
      </c>
      <c r="AS53" s="389">
        <f>AS49+AS51</f>
        <v>290.5</v>
      </c>
      <c r="AT53" s="389">
        <f>AT49+AT51</f>
        <v>389.40000000000009</v>
      </c>
      <c r="AU53" s="408">
        <f>AU49+AU51</f>
        <v>1225.1000000000001</v>
      </c>
      <c r="AV53" s="363"/>
      <c r="AW53" s="382">
        <f>AW49+AW51</f>
        <v>335.8</v>
      </c>
      <c r="AX53" s="389">
        <f>AX49+AX51</f>
        <v>377.9</v>
      </c>
      <c r="AY53" s="389">
        <f>AY49+AY51</f>
        <v>394.59999999999997</v>
      </c>
      <c r="AZ53" s="389">
        <f>AZ49+AZ51</f>
        <v>445.80000000000013</v>
      </c>
      <c r="BA53" s="408">
        <f>BA49+BA51</f>
        <v>1554.1000000000001</v>
      </c>
      <c r="BB53" s="395"/>
      <c r="BC53" s="382">
        <f>BC49+BC51</f>
        <v>378.1</v>
      </c>
      <c r="BD53" s="389">
        <f>BD49+BD51</f>
        <v>397</v>
      </c>
      <c r="BE53" s="389">
        <f>SUM(BE51,BE49)</f>
        <v>408.9</v>
      </c>
      <c r="BF53" s="389">
        <f>SUM(BF51,BF49)</f>
        <v>482.09999999999997</v>
      </c>
      <c r="BG53" s="408">
        <f>SUM(BC53:BF53)</f>
        <v>1666.1</v>
      </c>
      <c r="BH53" s="363"/>
      <c r="BI53" s="382">
        <f>BI49+BI51</f>
        <v>366.3</v>
      </c>
      <c r="BJ53" s="389">
        <f>BJ49+BJ51</f>
        <v>421.6</v>
      </c>
      <c r="BK53" s="389">
        <f>BK49+BK51</f>
        <v>410.6</v>
      </c>
      <c r="BL53" s="389">
        <f>SUM(BL51,BL49)</f>
        <v>511</v>
      </c>
      <c r="BM53" s="408">
        <f>SUM(BI53:BL53)</f>
        <v>1709.5</v>
      </c>
      <c r="BN53" s="363"/>
      <c r="BO53" s="382">
        <f>BO49+BO51</f>
        <v>393.9</v>
      </c>
      <c r="BP53" s="389">
        <f>BP49+BP51</f>
        <v>421.5</v>
      </c>
      <c r="BQ53" s="389">
        <f>BQ49+BQ51</f>
        <v>383.4</v>
      </c>
      <c r="BR53" s="451">
        <f>SUM(BR51,BR49)</f>
        <v>475.80000000000013</v>
      </c>
      <c r="BS53" s="1311">
        <f>SUM(BO53:BR53)</f>
        <v>1674.6000000000001</v>
      </c>
      <c r="BT53" s="353"/>
      <c r="BU53" s="440">
        <f>BU49+BU51</f>
        <v>327.5</v>
      </c>
      <c r="BV53" s="451">
        <f>BV49+BV51</f>
        <v>366.2</v>
      </c>
      <c r="BW53" s="451">
        <f>BW49+BW51</f>
        <v>366.6</v>
      </c>
      <c r="BX53" s="451">
        <f>SUM(BX23,BX32,BX40)</f>
        <v>439.11708464882065</v>
      </c>
      <c r="BY53" s="1311">
        <f>SUM(BU53:BX53)</f>
        <v>1499.4170846488209</v>
      </c>
      <c r="BZ53" s="353"/>
      <c r="CA53" s="440">
        <f>CA49+CA51</f>
        <v>350.4</v>
      </c>
      <c r="CB53" s="451">
        <f>CB49+CB51</f>
        <v>345.70000000000005</v>
      </c>
      <c r="CC53" s="451">
        <f>CC49+CC51</f>
        <v>361.5</v>
      </c>
      <c r="CD53" s="451">
        <f>CD49+CD51</f>
        <v>434.99999999999983</v>
      </c>
      <c r="CE53" s="1311">
        <f>SUM(CA53:CD53)</f>
        <v>1492.5999999999997</v>
      </c>
      <c r="CF53" s="363"/>
      <c r="CG53" s="440">
        <f>CG49+CG51</f>
        <v>346.4</v>
      </c>
      <c r="CH53" s="451">
        <f>CH49+CH51</f>
        <v>362.5</v>
      </c>
      <c r="CI53" s="451">
        <f>CI49+CI51</f>
        <v>390.59999999999997</v>
      </c>
      <c r="CJ53" s="389">
        <f>SUM(CJ23,CJ32,CJ40)</f>
        <v>484.21170345203603</v>
      </c>
      <c r="CK53" s="408">
        <f>SUM(CG53:CJ53)</f>
        <v>1583.7117034520361</v>
      </c>
      <c r="CL53" s="363"/>
      <c r="CM53" s="382">
        <f>SUM(CM23,CM32,CM40)</f>
        <v>383.11704594178946</v>
      </c>
      <c r="CN53" s="389">
        <f>SUM(CN23,CN32,CN40)</f>
        <v>387.56295915593341</v>
      </c>
      <c r="CO53" s="389">
        <f>SUM(CO23,CO32,CO40)</f>
        <v>403.69902323570602</v>
      </c>
      <c r="CP53" s="389">
        <f>SUM(CP23,CP32,CP40)</f>
        <v>512.44452118600748</v>
      </c>
      <c r="CQ53" s="408">
        <f>SUM(CM53:CP53)</f>
        <v>1686.8235495194363</v>
      </c>
      <c r="CS53" s="382">
        <f>SUM(CS23,CS32,CS40)</f>
        <v>394.49977748909907</v>
      </c>
      <c r="CT53" s="389">
        <f>SUM(CT23,CT32,CT40)</f>
        <v>399.28907864428993</v>
      </c>
      <c r="CU53" s="389">
        <f>SUM(CU23,CU32,CU40)</f>
        <v>416.65581992308961</v>
      </c>
      <c r="CV53" s="389">
        <f>SUM(CV23,CV32,CV40)</f>
        <v>537.27087993273153</v>
      </c>
      <c r="CW53" s="408">
        <f>SUM(CS53:CV53)</f>
        <v>1747.7155559892101</v>
      </c>
      <c r="CY53" s="382">
        <f>SUM(CY23,CY32,CY40)</f>
        <v>405.01473510355112</v>
      </c>
      <c r="CZ53" s="389">
        <f>SUM(CZ23,CZ32,CZ40)</f>
        <v>410.26465629486893</v>
      </c>
      <c r="DA53" s="389">
        <f>SUM(DA23,DA32,DA40)</f>
        <v>429.08529265257283</v>
      </c>
      <c r="DB53" s="389">
        <f>SUM(DB23,DB32,DB40)</f>
        <v>551.12820190731577</v>
      </c>
      <c r="DC53" s="408">
        <f>SUM(CY53:DB53)</f>
        <v>1795.4928859583088</v>
      </c>
      <c r="DE53" s="382">
        <f>SUM(DE23,DE32,DE40)</f>
        <v>415.97522902489447</v>
      </c>
      <c r="DF53" s="389">
        <f>SUM(DF23,DF32,DF40)</f>
        <v>421.69972715689761</v>
      </c>
      <c r="DG53" s="389">
        <f>SUM(DG23,DG32,DG40)</f>
        <v>442.04025275272647</v>
      </c>
      <c r="DH53" s="389">
        <f>SUM(DH23,DH32,DH40)</f>
        <v>565.56293613883861</v>
      </c>
      <c r="DI53" s="408">
        <f>SUM(DE53:DH53)</f>
        <v>1845.2781450733573</v>
      </c>
    </row>
    <row r="54" spans="1:113" s="355" customFormat="1" ht="11.25" customHeight="1">
      <c r="A54" s="417" t="s">
        <v>247</v>
      </c>
      <c r="B54" s="363"/>
      <c r="C54" s="357"/>
      <c r="D54" s="363"/>
      <c r="E54" s="357"/>
      <c r="F54" s="363"/>
      <c r="G54" s="357"/>
      <c r="H54" s="363"/>
      <c r="I54" s="357"/>
      <c r="J54" s="363"/>
      <c r="K54" s="357"/>
      <c r="L54" s="363"/>
      <c r="M54" s="357"/>
      <c r="N54" s="363"/>
      <c r="O54" s="357"/>
      <c r="P54" s="363"/>
      <c r="Q54" s="357"/>
      <c r="R54" s="363"/>
      <c r="S54" s="362"/>
      <c r="T54" s="363"/>
      <c r="U54" s="363"/>
      <c r="V54" s="363"/>
      <c r="W54" s="357"/>
      <c r="X54" s="363"/>
      <c r="Y54" s="362"/>
      <c r="Z54" s="363"/>
      <c r="AA54" s="363"/>
      <c r="AB54" s="363"/>
      <c r="AC54" s="401"/>
      <c r="AD54" s="363"/>
      <c r="AE54" s="410" t="s">
        <v>26</v>
      </c>
      <c r="AF54" s="411" t="s">
        <v>26</v>
      </c>
      <c r="AG54" s="411" t="s">
        <v>26</v>
      </c>
      <c r="AH54" s="411" t="s">
        <v>26</v>
      </c>
      <c r="AI54" s="401">
        <f>AI53/AC53-1</f>
        <v>7.3134179238685038E-2</v>
      </c>
      <c r="AJ54" s="363"/>
      <c r="AK54" s="410">
        <f>AK53/AE53-1</f>
        <v>-2.9934924078091285E-2</v>
      </c>
      <c r="AL54" s="388">
        <f>AL53/AF53-1</f>
        <v>-0.20363036303630355</v>
      </c>
      <c r="AM54" s="388">
        <f>AM53/AG53-1</f>
        <v>7.6133447390932307E-2</v>
      </c>
      <c r="AN54" s="388">
        <f>AN53/AH53-1</f>
        <v>0.12842242503259493</v>
      </c>
      <c r="AO54" s="401">
        <f>AO53/AI53-1</f>
        <v>-1.0613536914626076E-2</v>
      </c>
      <c r="AP54" s="363"/>
      <c r="AQ54" s="378">
        <f>AQ53/AK53-1</f>
        <v>0.16413237924865842</v>
      </c>
      <c r="AR54" s="388">
        <f>AR53/AL53-1</f>
        <v>0.18068794032324886</v>
      </c>
      <c r="AS54" s="388">
        <f>AS53/AM53-1</f>
        <v>0.15461049284578698</v>
      </c>
      <c r="AT54" s="388">
        <f>AT53/AN53-1</f>
        <v>0.12478336221837094</v>
      </c>
      <c r="AU54" s="401">
        <f>AU53/AO53-1</f>
        <v>0.15281829302719485</v>
      </c>
      <c r="AV54" s="363"/>
      <c r="AW54" s="378">
        <f>AW53/AQ53-1</f>
        <v>0.29004994237418358</v>
      </c>
      <c r="AX54" s="388">
        <f>AX53/AR53-1</f>
        <v>0.32643032643032655</v>
      </c>
      <c r="AY54" s="388">
        <f>AY53/AS53-1</f>
        <v>0.35834767641996557</v>
      </c>
      <c r="AZ54" s="388">
        <f>AZ53/AT53-1</f>
        <v>0.14483821263482288</v>
      </c>
      <c r="BA54" s="401">
        <f>BA53/AU53-1</f>
        <v>0.2685495061627623</v>
      </c>
      <c r="BB54" s="363"/>
      <c r="BC54" s="378">
        <f>BC53/AW53-1</f>
        <v>0.12596783799880895</v>
      </c>
      <c r="BD54" s="388">
        <f>BD53/AX53-1</f>
        <v>5.0542471553321144E-2</v>
      </c>
      <c r="BE54" s="388">
        <f>BE53/AY53-1</f>
        <v>3.623922959959458E-2</v>
      </c>
      <c r="BF54" s="391">
        <f>BF53/AZ53-1</f>
        <v>8.1426648721399264E-2</v>
      </c>
      <c r="BG54" s="401">
        <f>BG53/BA53-1</f>
        <v>7.2067434528022556E-2</v>
      </c>
      <c r="BH54" s="363"/>
      <c r="BI54" s="378">
        <f>BI53/BC53-1</f>
        <v>-3.1208674953715931E-2</v>
      </c>
      <c r="BJ54" s="388">
        <f>BJ53/BD53-1</f>
        <v>6.1964735516372826E-2</v>
      </c>
      <c r="BK54" s="388">
        <f>BK53/BE53-1</f>
        <v>4.1574957202250573E-3</v>
      </c>
      <c r="BL54" s="388">
        <f>BL53/BF53-1</f>
        <v>5.9946069280232495E-2</v>
      </c>
      <c r="BM54" s="401">
        <f>BM53/BG53-1</f>
        <v>2.6048856611247784E-2</v>
      </c>
      <c r="BN54" s="363"/>
      <c r="BO54" s="378">
        <f>BO53/BI53-1</f>
        <v>7.5348075348075305E-2</v>
      </c>
      <c r="BP54" s="388">
        <f>BP53/BJ53-1</f>
        <v>-2.3719165085389626E-4</v>
      </c>
      <c r="BQ54" s="388">
        <f>BQ53/BK53-1</f>
        <v>-6.624452021432059E-2</v>
      </c>
      <c r="BR54" s="424">
        <f>BR53/BL53-1</f>
        <v>-6.8884540117416626E-2</v>
      </c>
      <c r="BS54" s="436">
        <f>BS53/BM53-1</f>
        <v>-2.0415326118748078E-2</v>
      </c>
      <c r="BT54" s="353"/>
      <c r="BU54" s="456">
        <f>BU53/BO53-1</f>
        <v>-0.16857070322416856</v>
      </c>
      <c r="BV54" s="424">
        <f>BV53/BP53-1</f>
        <v>-0.13119810201660742</v>
      </c>
      <c r="BW54" s="424">
        <f>BW53/BQ53-1</f>
        <v>-4.3818466353677477E-2</v>
      </c>
      <c r="BX54" s="424">
        <f>BX53/BR53-1</f>
        <v>-7.7097342057964369E-2</v>
      </c>
      <c r="BY54" s="436">
        <f>BY53/BS53-1</f>
        <v>-0.10461179705671753</v>
      </c>
      <c r="BZ54" s="353"/>
      <c r="CA54" s="378">
        <f>CA53/BU53-1</f>
        <v>6.9923664122137241E-2</v>
      </c>
      <c r="CB54" s="388">
        <f>CB53/BV53-1</f>
        <v>-5.5980338612779734E-2</v>
      </c>
      <c r="CC54" s="424">
        <f>CC53/BW53-1</f>
        <v>-1.3911620294599025E-2</v>
      </c>
      <c r="CD54" s="388">
        <f>CD53/BX53-1</f>
        <v>-9.3758243364943095E-3</v>
      </c>
      <c r="CE54" s="401">
        <f>CE53/BY53-1</f>
        <v>-4.5464899117232394E-3</v>
      </c>
      <c r="CF54" s="363"/>
      <c r="CG54" s="378">
        <f>CG53/CA53-1</f>
        <v>-1.1415525114155223E-2</v>
      </c>
      <c r="CH54" s="424">
        <f>CH53/CB53-1</f>
        <v>4.859704946485377E-2</v>
      </c>
      <c r="CI54" s="424">
        <f>CI53/CC53-1</f>
        <v>8.0497925311203256E-2</v>
      </c>
      <c r="CJ54" s="388">
        <f>CJ53/CD53-1</f>
        <v>0.11313035276330163</v>
      </c>
      <c r="CK54" s="401">
        <f>CK53/CE53-1</f>
        <v>6.1042277537207923E-2</v>
      </c>
      <c r="CL54" s="363"/>
      <c r="CM54" s="378">
        <f>CM53/CG53-1</f>
        <v>0.1059960910559743</v>
      </c>
      <c r="CN54" s="388">
        <f>CN53/CH53-1</f>
        <v>6.9139197671540531E-2</v>
      </c>
      <c r="CO54" s="388">
        <f>CO53/CI53-1</f>
        <v>3.3535645764736444E-2</v>
      </c>
      <c r="CP54" s="388">
        <f>CP53/CJ53-1</f>
        <v>5.8306764443516013E-2</v>
      </c>
      <c r="CQ54" s="401">
        <f>CQ53/CK53-1</f>
        <v>6.5107712371289539E-2</v>
      </c>
      <c r="CS54" s="378">
        <f>CS53/CM53-1</f>
        <v>2.9710845987884094E-2</v>
      </c>
      <c r="CT54" s="388">
        <f>CT53/CN53-1</f>
        <v>3.0256037661325008E-2</v>
      </c>
      <c r="CU54" s="388">
        <f>CU53/CO53-1</f>
        <v>3.2095189588354778E-2</v>
      </c>
      <c r="CV54" s="388">
        <f>CV53/CP53-1</f>
        <v>4.8446920047590103E-2</v>
      </c>
      <c r="CW54" s="401">
        <f>CW53/CQ53-1</f>
        <v>3.6098622459427743E-2</v>
      </c>
      <c r="CY54" s="378">
        <f>CY53/CS53-1</f>
        <v>2.6653899987922225E-2</v>
      </c>
      <c r="CZ54" s="388">
        <f>CZ53/CT53-1</f>
        <v>2.7487798283500453E-2</v>
      </c>
      <c r="DA54" s="388">
        <f>DA53/CU53-1</f>
        <v>2.9831511130163912E-2</v>
      </c>
      <c r="DB54" s="388">
        <f>DB53/CV53-1</f>
        <v>2.5792058516775018E-2</v>
      </c>
      <c r="DC54" s="401">
        <f>DC53/CW53-1</f>
        <v>2.7337017059424484E-2</v>
      </c>
      <c r="DE54" s="378">
        <f>DE53/CY53-1</f>
        <v>2.7061963359286345E-2</v>
      </c>
      <c r="DF54" s="388">
        <f>DF53/CZ53-1</f>
        <v>2.7872424998291789E-2</v>
      </c>
      <c r="DG54" s="388">
        <f>DG53/DA53-1</f>
        <v>3.0192039489554734E-2</v>
      </c>
      <c r="DH54" s="388">
        <f>DH53/DB53-1</f>
        <v>2.6191245850907041E-2</v>
      </c>
      <c r="DI54" s="401">
        <f>DI53/DC53-1</f>
        <v>2.7727906640229616E-2</v>
      </c>
    </row>
    <row r="55" spans="1:113" s="355" customFormat="1" ht="11.25" customHeight="1">
      <c r="A55" s="417" t="s">
        <v>248</v>
      </c>
      <c r="B55" s="363"/>
      <c r="C55" s="357"/>
      <c r="D55" s="363"/>
      <c r="E55" s="357"/>
      <c r="F55" s="363"/>
      <c r="G55" s="357"/>
      <c r="H55" s="363"/>
      <c r="I55" s="357"/>
      <c r="J55" s="363"/>
      <c r="K55" s="357"/>
      <c r="L55" s="363"/>
      <c r="M55" s="357"/>
      <c r="N55" s="363"/>
      <c r="O55" s="357"/>
      <c r="P55" s="363"/>
      <c r="Q55" s="357"/>
      <c r="R55" s="363"/>
      <c r="S55" s="362"/>
      <c r="T55" s="363"/>
      <c r="U55" s="363"/>
      <c r="V55" s="363"/>
      <c r="W55" s="357"/>
      <c r="X55" s="363"/>
      <c r="Y55" s="362"/>
      <c r="Z55" s="363"/>
      <c r="AA55" s="363"/>
      <c r="AB55" s="363"/>
      <c r="AC55" s="406"/>
      <c r="AD55" s="363"/>
      <c r="AE55" s="410" t="s">
        <v>26</v>
      </c>
      <c r="AF55" s="411" t="s">
        <v>26</v>
      </c>
      <c r="AG55" s="411" t="s">
        <v>26</v>
      </c>
      <c r="AH55" s="411" t="s">
        <v>26</v>
      </c>
      <c r="AI55" s="406">
        <f>AI54-AI56</f>
        <v>3.6766909781196774E-2</v>
      </c>
      <c r="AJ55" s="363"/>
      <c r="AK55" s="410">
        <f>AK54-AK56</f>
        <v>4.5119305856832798E-2</v>
      </c>
      <c r="AL55" s="411">
        <f>AL54-AL56</f>
        <v>-0.12970297029702962</v>
      </c>
      <c r="AM55" s="411">
        <f>AM54-AM56</f>
        <v>9.2814371257484915E-2</v>
      </c>
      <c r="AN55" s="391">
        <f>AN54-AN56</f>
        <v>2.9009126466753979E-2</v>
      </c>
      <c r="AO55" s="406">
        <f>AO54-AO56</f>
        <v>1.5827204170935031E-3</v>
      </c>
      <c r="AP55" s="363"/>
      <c r="AQ55" s="380">
        <f>AQ54-AQ56</f>
        <v>8.5867620751341786E-2</v>
      </c>
      <c r="AR55" s="391">
        <f>AR54-AR56</f>
        <v>0.19975134687111459</v>
      </c>
      <c r="AS55" s="391">
        <f>AS54-AS56</f>
        <v>0.21740858505564392</v>
      </c>
      <c r="AT55" s="391">
        <f>AT54-AT56</f>
        <v>0.15453495089543623</v>
      </c>
      <c r="AU55" s="406">
        <f>AU54-AU56</f>
        <v>0.16523948433236094</v>
      </c>
      <c r="AV55" s="363"/>
      <c r="AW55" s="380">
        <f>AW54-AW56</f>
        <v>0.26546292739147132</v>
      </c>
      <c r="AX55" s="391">
        <f>AX54-AX56</f>
        <v>0.20533520533520544</v>
      </c>
      <c r="AY55" s="391">
        <f>AY54-AY56</f>
        <v>0.26609294320137694</v>
      </c>
      <c r="AZ55" s="391">
        <f>AZ54-AZ56</f>
        <v>0.1268618387262456</v>
      </c>
      <c r="BA55" s="406">
        <f>BA54-BA56</f>
        <v>0.20757489184556371</v>
      </c>
      <c r="BB55" s="363"/>
      <c r="BC55" s="380">
        <f>BC54-BC56</f>
        <v>0.13698630136986314</v>
      </c>
      <c r="BD55" s="391">
        <f>BD54-BD56</f>
        <v>0.11828526065096603</v>
      </c>
      <c r="BE55" s="391">
        <f>BE54-BE56</f>
        <v>0.10821084642676133</v>
      </c>
      <c r="BF55" s="391">
        <f>BF54-BF56</f>
        <v>0.10071781067743335</v>
      </c>
      <c r="BG55" s="401">
        <f>((AW53*BC55)+(AX53*BD55)+(AY53*BE55)+(AZ53*BF55))/BA53</f>
        <v>0.11472878193166457</v>
      </c>
      <c r="BH55" s="363"/>
      <c r="BI55" s="380">
        <f>BI54-BI56</f>
        <v>-1.3488495107114504E-2</v>
      </c>
      <c r="BJ55" s="391">
        <f>BJ54-BJ56</f>
        <v>7.1788413098236803E-2</v>
      </c>
      <c r="BK55" s="391">
        <f>BK54-BK56</f>
        <v>2.4455857177794714E-3</v>
      </c>
      <c r="BL55" s="391">
        <f>BL54-BL56</f>
        <v>5.8908940053930894E-2</v>
      </c>
      <c r="BM55" s="401">
        <f>BM54-BM56</f>
        <v>3.1690774863453536E-2</v>
      </c>
      <c r="BN55" s="363"/>
      <c r="BO55" s="380">
        <f>BO54-BO56</f>
        <v>7.835107835107831E-2</v>
      </c>
      <c r="BP55" s="391">
        <f>BP54-BP56</f>
        <v>-2.0398481973434541E-2</v>
      </c>
      <c r="BQ55" s="391">
        <f>BQ54-BQ56</f>
        <v>-6.2347783731125268E-2</v>
      </c>
      <c r="BR55" s="423">
        <f>BR54-BR56</f>
        <v>-7.6320939334635907E-3</v>
      </c>
      <c r="BS55" s="436">
        <f>BS54-BS56</f>
        <v>-5.4986838256799297E-3</v>
      </c>
      <c r="BT55" s="353"/>
      <c r="BU55" s="430">
        <f>BU54-BU56</f>
        <v>-6.3975628332063952E-2</v>
      </c>
      <c r="BV55" s="423">
        <f>BV54-BV56</f>
        <v>-2.2775800711743829E-2</v>
      </c>
      <c r="BW55" s="423">
        <f>BW54-BW56</f>
        <v>6.118153364632252E-2</v>
      </c>
      <c r="BX55" s="423">
        <f>BX54-BX56</f>
        <v>-6.9710284808311429E-3</v>
      </c>
      <c r="BY55" s="436">
        <f>BY54-BY56</f>
        <v>-9.4661540242551717E-3</v>
      </c>
      <c r="BZ55" s="353"/>
      <c r="CA55" s="504">
        <f>+CA58+CA57</f>
        <v>7.7572519083969463E-2</v>
      </c>
      <c r="CB55" s="1342">
        <f>+CB58+CB57</f>
        <v>-5.5999999999999994E-2</v>
      </c>
      <c r="CC55" s="1342">
        <f>CC54-CC56</f>
        <v>-1.5911620294599027E-2</v>
      </c>
      <c r="CD55" s="391">
        <f>CD54-CD56</f>
        <v>3.6241756635056899E-3</v>
      </c>
      <c r="CE55" s="401">
        <f>((BU53*CA55)+(BV53*CB55)+(BW53*CC55)+(BX53*CD55))/BY53</f>
        <v>4.3752832906227126E-4</v>
      </c>
      <c r="CF55" s="363"/>
      <c r="CG55" s="380">
        <f>CG54-CG56</f>
        <v>8.5844748858447777E-3</v>
      </c>
      <c r="CH55" s="423">
        <f>CH54-CH56</f>
        <v>6.6597049464853772E-2</v>
      </c>
      <c r="CI55" s="423">
        <f>CI54-CI56</f>
        <v>5.6497925311203255E-2</v>
      </c>
      <c r="CJ55" s="391">
        <f>CJ54-CJ56</f>
        <v>6.1130352763301636E-2</v>
      </c>
      <c r="CK55" s="401">
        <f>((CA53*CG55)+(CB53*CH55)+(CC53*CI55)+(CD53*CJ55))/CE53</f>
        <v>4.8938967876213421E-2</v>
      </c>
      <c r="CL55" s="363"/>
      <c r="CM55" s="380">
        <f>CM54-CM56</f>
        <v>3.9315349630505661E-2</v>
      </c>
      <c r="CN55" s="391">
        <f>CN54-CN56</f>
        <v>1.9071614105248387E-2</v>
      </c>
      <c r="CO55" s="391">
        <f>CO54-CO56</f>
        <v>8.592824407807946E-3</v>
      </c>
      <c r="CP55" s="391">
        <f>CP54-CP56</f>
        <v>3.2018301767617219E-2</v>
      </c>
      <c r="CQ55" s="401">
        <f>((CG53*CM55)+(CH53*CN55)+(CI53*CO55)+(CJ53*CP55))/CK53</f>
        <v>2.487339759725516E-2</v>
      </c>
      <c r="CS55" s="380">
        <f>CS54-CS56</f>
        <v>2.9710845987884094E-2</v>
      </c>
      <c r="CT55" s="391">
        <f>CT54-CT56</f>
        <v>3.0256037661325008E-2</v>
      </c>
      <c r="CU55" s="391">
        <f>CU54-CU56</f>
        <v>3.2095189588354778E-2</v>
      </c>
      <c r="CV55" s="391">
        <f>CV54-CV56</f>
        <v>4.8446920047590103E-2</v>
      </c>
      <c r="CW55" s="401">
        <f>((CM53*CS55)+(CN53*CT55)+(CO53*CU55)+(CP53*CV55))/CQ53</f>
        <v>3.6098622459427673E-2</v>
      </c>
      <c r="CY55" s="380">
        <f>CY54-CY56</f>
        <v>2.6653899987922225E-2</v>
      </c>
      <c r="CZ55" s="391">
        <f>CZ54-CZ56</f>
        <v>2.7487798283500453E-2</v>
      </c>
      <c r="DA55" s="391">
        <f>DA54-DA56</f>
        <v>2.9831511130163912E-2</v>
      </c>
      <c r="DB55" s="391">
        <f>DB54-DB56</f>
        <v>2.5792058516775018E-2</v>
      </c>
      <c r="DC55" s="401">
        <f>((CS53*CY55)+(CT53*CZ55)+(CU53*DA55)+(CV53*DB55))/CW53</f>
        <v>2.7337017059424401E-2</v>
      </c>
      <c r="DE55" s="380">
        <f>DE54-DE56</f>
        <v>2.7061963359286345E-2</v>
      </c>
      <c r="DF55" s="391">
        <f>DF54-DF56</f>
        <v>2.7872424998291789E-2</v>
      </c>
      <c r="DG55" s="391">
        <f>DG54-DG56</f>
        <v>3.0192039489554734E-2</v>
      </c>
      <c r="DH55" s="391">
        <f>DH54-DH56</f>
        <v>2.6191245850907041E-2</v>
      </c>
      <c r="DI55" s="401">
        <f>((CY53*DE55)+(CZ53*DF55)+(DA53*DG55)+(DB53*DH55))/DC53</f>
        <v>2.7727906640229675E-2</v>
      </c>
    </row>
    <row r="56" spans="1:113" s="355" customFormat="1" ht="11.25" customHeight="1">
      <c r="A56" s="417" t="s">
        <v>249</v>
      </c>
      <c r="B56" s="363"/>
      <c r="C56" s="357"/>
      <c r="D56" s="363"/>
      <c r="E56" s="357"/>
      <c r="F56" s="363"/>
      <c r="G56" s="357"/>
      <c r="H56" s="363"/>
      <c r="I56" s="357"/>
      <c r="J56" s="363"/>
      <c r="K56" s="357"/>
      <c r="L56" s="363"/>
      <c r="M56" s="357"/>
      <c r="N56" s="363"/>
      <c r="O56" s="357"/>
      <c r="P56" s="363"/>
      <c r="Q56" s="357"/>
      <c r="R56" s="363"/>
      <c r="S56" s="362"/>
      <c r="T56" s="363"/>
      <c r="U56" s="363"/>
      <c r="V56" s="363"/>
      <c r="W56" s="357"/>
      <c r="X56" s="363"/>
      <c r="Y56" s="362"/>
      <c r="Z56" s="363"/>
      <c r="AA56" s="363"/>
      <c r="AB56" s="363"/>
      <c r="AC56" s="401"/>
      <c r="AD56" s="363"/>
      <c r="AE56" s="410" t="s">
        <v>26</v>
      </c>
      <c r="AF56" s="411" t="s">
        <v>26</v>
      </c>
      <c r="AG56" s="411" t="s">
        <v>26</v>
      </c>
      <c r="AH56" s="655" t="s">
        <v>26</v>
      </c>
      <c r="AI56" s="575">
        <f>36.4/AC53</f>
        <v>3.6367269457488263E-2</v>
      </c>
      <c r="AJ56" s="363"/>
      <c r="AK56" s="701">
        <f>(-39.7+22.4)/AE53</f>
        <v>-7.5054229934924083E-2</v>
      </c>
      <c r="AL56" s="702">
        <f>-22.4/AF53</f>
        <v>-7.3927392739273928E-2</v>
      </c>
      <c r="AM56" s="702">
        <f>-3.9/AG53</f>
        <v>-1.6680923866552608E-2</v>
      </c>
      <c r="AN56" s="388">
        <f>((AI53*AO56)-(AE53*AK56)-(AF53*AL56)-(AG53*AM56))/AH53</f>
        <v>9.9413298565840955E-2</v>
      </c>
      <c r="AO56" s="575">
        <f>-13.1/AI53</f>
        <v>-1.2196257331719579E-2</v>
      </c>
      <c r="AP56" s="363"/>
      <c r="AQ56" s="653">
        <f>17.5/AK53</f>
        <v>7.8264758497316636E-2</v>
      </c>
      <c r="AR56" s="654">
        <f>-4.6/AL53</f>
        <v>-1.9063406547865726E-2</v>
      </c>
      <c r="AS56" s="654">
        <f>-15.8/AM53</f>
        <v>-6.2798092209856923E-2</v>
      </c>
      <c r="AT56" s="388">
        <f>((AO53*AU56)-(AK53*AQ56)-(AL53*AR56)-(AM53*AS56))/AN53</f>
        <v>-2.9751588677065278E-2</v>
      </c>
      <c r="AU56" s="575">
        <f>-13.2/AO53</f>
        <v>-1.2421191305166085E-2</v>
      </c>
      <c r="AV56" s="363"/>
      <c r="AW56" s="653">
        <f>6.4/AQ53</f>
        <v>2.4587014982712256E-2</v>
      </c>
      <c r="AX56" s="654">
        <f>34.5/AR53</f>
        <v>0.12109512109512111</v>
      </c>
      <c r="AY56" s="654">
        <f>26.8/AS53</f>
        <v>9.2254733218588639E-2</v>
      </c>
      <c r="AZ56" s="424">
        <f>((AU53*BA56)-(AQ53*AW56)-(AR53*AX56)-(AS53*AY56))/AT53</f>
        <v>1.7976373908577287E-2</v>
      </c>
      <c r="BA56" s="1142">
        <f>74.7/AU53</f>
        <v>6.097461431719859E-2</v>
      </c>
      <c r="BB56" s="353"/>
      <c r="BC56" s="1451">
        <f>-3.7/AW53</f>
        <v>-1.1018463371054199E-2</v>
      </c>
      <c r="BD56" s="422">
        <f>-25.6/AX53</f>
        <v>-6.774278909764489E-2</v>
      </c>
      <c r="BE56" s="422">
        <f>-28.4/AY53</f>
        <v>-7.1971616827166754E-2</v>
      </c>
      <c r="BF56" s="424">
        <f>((BA53*BG56)-(AW53*BC56)-(AX53*BD56)-(AY53*BE56))/AZ53</f>
        <v>-1.9291161956034079E-2</v>
      </c>
      <c r="BG56" s="1142">
        <f>-66.3/BA53</f>
        <v>-4.2661347403641976E-2</v>
      </c>
      <c r="BH56" s="353"/>
      <c r="BI56" s="1451">
        <f>-6.7/BC53</f>
        <v>-1.7720179846601427E-2</v>
      </c>
      <c r="BJ56" s="422">
        <f>-3.9/BD53</f>
        <v>-9.82367758186398E-3</v>
      </c>
      <c r="BK56" s="422">
        <f>0.7/BE53</f>
        <v>1.7119100024455857E-3</v>
      </c>
      <c r="BL56" s="424">
        <f>((BG53*BM56)-(BC53*BI56)-(BD53*BJ56)-(BE53*BK56))/BF53</f>
        <v>1.0371292263015967E-3</v>
      </c>
      <c r="BM56" s="575">
        <f>-9.4/BG53</f>
        <v>-5.6419182522057503E-3</v>
      </c>
      <c r="BN56" s="363"/>
      <c r="BO56" s="653">
        <f>-1.1/BI53</f>
        <v>-3.003003003003003E-3</v>
      </c>
      <c r="BP56" s="1446">
        <f>8.5/BJ53</f>
        <v>2.0161290322580645E-2</v>
      </c>
      <c r="BQ56" s="1446">
        <f>-1.6/BK53</f>
        <v>-3.8967364831953241E-3</v>
      </c>
      <c r="BR56" s="1549">
        <f>(-25.5-(-1.1+8.5-1.6))/BL53</f>
        <v>-6.1252446183953035E-2</v>
      </c>
      <c r="BS56" s="1142">
        <f>-25.5/BM53</f>
        <v>-1.4916642293068149E-2</v>
      </c>
      <c r="BT56" s="353"/>
      <c r="BU56" s="1451">
        <f>-41.2/BO53</f>
        <v>-0.10459507489210461</v>
      </c>
      <c r="BV56" s="1446">
        <f>-45.7/BP53</f>
        <v>-0.10842230130486359</v>
      </c>
      <c r="BW56" s="1446">
        <v>-0.105</v>
      </c>
      <c r="BX56" s="1549">
        <f>-(39.2-(-BX68*BR65))/BR53</f>
        <v>-7.0126313577133226E-2</v>
      </c>
      <c r="BY56" s="1142">
        <f>-(184.4-(-BY68*BS65))/BS53</f>
        <v>-9.5145643032462354E-2</v>
      </c>
      <c r="BZ56" s="353"/>
      <c r="CA56" s="827">
        <f>+CA54-CA55</f>
        <v>-7.6488549618322216E-3</v>
      </c>
      <c r="CB56" s="727">
        <f>+CB54-CB55</f>
        <v>1.9661387220260007E-5</v>
      </c>
      <c r="CC56" s="1321">
        <f>CC78</f>
        <v>2E-3</v>
      </c>
      <c r="CD56" s="727">
        <f t="shared" ref="CD56:CQ56" si="6">CD78</f>
        <v>-1.2999999999999999E-2</v>
      </c>
      <c r="CE56" s="1926">
        <f t="shared" si="6"/>
        <v>-5.2999332140269313E-3</v>
      </c>
      <c r="CF56" s="865">
        <f t="shared" si="6"/>
        <v>0</v>
      </c>
      <c r="CG56" s="827">
        <f>CG78</f>
        <v>-0.02</v>
      </c>
      <c r="CH56" s="1321">
        <f>CH78</f>
        <v>-1.7999999999999999E-2</v>
      </c>
      <c r="CI56" s="1321">
        <f>CI78</f>
        <v>2.4E-2</v>
      </c>
      <c r="CJ56" s="727">
        <f t="shared" si="6"/>
        <v>5.1999999999999998E-2</v>
      </c>
      <c r="CK56" s="1927">
        <f t="shared" si="6"/>
        <v>1.2232731334946935E-2</v>
      </c>
      <c r="CL56" s="1917">
        <f t="shared" si="6"/>
        <v>0</v>
      </c>
      <c r="CM56" s="1899">
        <f t="shared" si="6"/>
        <v>6.6680741425468634E-2</v>
      </c>
      <c r="CN56" s="1917">
        <f t="shared" si="6"/>
        <v>5.0067583566292144E-2</v>
      </c>
      <c r="CO56" s="1917">
        <f t="shared" si="6"/>
        <v>2.4942821356928498E-2</v>
      </c>
      <c r="CP56" s="1917">
        <f t="shared" si="6"/>
        <v>2.6288462675898794E-2</v>
      </c>
      <c r="CQ56" s="1927">
        <f t="shared" si="6"/>
        <v>4.0347749324725082E-2</v>
      </c>
      <c r="CS56" s="1899">
        <f>CS78</f>
        <v>0</v>
      </c>
      <c r="CT56" s="1917">
        <f>CT78</f>
        <v>0</v>
      </c>
      <c r="CU56" s="1917">
        <f>CU78</f>
        <v>0</v>
      </c>
      <c r="CV56" s="1917">
        <f>CV78</f>
        <v>0</v>
      </c>
      <c r="CW56" s="1927">
        <f>CW78</f>
        <v>0</v>
      </c>
      <c r="CY56" s="1899">
        <f>CY78</f>
        <v>0</v>
      </c>
      <c r="CZ56" s="1917">
        <f>CZ78</f>
        <v>0</v>
      </c>
      <c r="DA56" s="1917">
        <f>DA78</f>
        <v>0</v>
      </c>
      <c r="DB56" s="1917">
        <f>DB78</f>
        <v>0</v>
      </c>
      <c r="DC56" s="1927">
        <f>DC78</f>
        <v>0</v>
      </c>
      <c r="DE56" s="1899">
        <f>DE78</f>
        <v>0</v>
      </c>
      <c r="DF56" s="1917">
        <f>DF78</f>
        <v>0</v>
      </c>
      <c r="DG56" s="1917">
        <f>DG78</f>
        <v>0</v>
      </c>
      <c r="DH56" s="1917">
        <f>DH78</f>
        <v>0</v>
      </c>
      <c r="DI56" s="1927">
        <f>DI78</f>
        <v>0</v>
      </c>
    </row>
    <row r="57" spans="1:113" s="355" customFormat="1" ht="11.25" customHeight="1">
      <c r="A57" s="417" t="s">
        <v>578</v>
      </c>
      <c r="B57" s="363"/>
      <c r="C57" s="357"/>
      <c r="D57" s="363"/>
      <c r="E57" s="357"/>
      <c r="F57" s="363"/>
      <c r="G57" s="357"/>
      <c r="H57" s="363"/>
      <c r="I57" s="357"/>
      <c r="J57" s="363"/>
      <c r="K57" s="357"/>
      <c r="L57" s="363"/>
      <c r="M57" s="357"/>
      <c r="N57" s="363"/>
      <c r="O57" s="357"/>
      <c r="P57" s="363"/>
      <c r="Q57" s="357"/>
      <c r="R57" s="363"/>
      <c r="S57" s="362"/>
      <c r="T57" s="363"/>
      <c r="U57" s="363"/>
      <c r="V57" s="363"/>
      <c r="W57" s="357"/>
      <c r="X57" s="363"/>
      <c r="Y57" s="362"/>
      <c r="Z57" s="363"/>
      <c r="AA57" s="363"/>
      <c r="AB57" s="363"/>
      <c r="AC57" s="401"/>
      <c r="AD57" s="363"/>
      <c r="AE57" s="410"/>
      <c r="AF57" s="411"/>
      <c r="AG57" s="411"/>
      <c r="AH57" s="655"/>
      <c r="AI57" s="401">
        <f>+AI55-AI58</f>
        <v>-2.3309021880322384E-4</v>
      </c>
      <c r="AJ57" s="363"/>
      <c r="AK57" s="410">
        <f>+AK55-AK58</f>
        <v>6.9119305856832791E-2</v>
      </c>
      <c r="AL57" s="411">
        <f>+AL55-AL58</f>
        <v>2.9702970297038056E-4</v>
      </c>
      <c r="AM57" s="411">
        <f>+AM55-AM58</f>
        <v>-1.8562874251508432E-4</v>
      </c>
      <c r="AN57" s="424">
        <f>+AN55-AN58</f>
        <v>-1.5652918593904622E-2</v>
      </c>
      <c r="AO57" s="401">
        <f>+AO55-AO58</f>
        <v>-4.1727958290649694E-4</v>
      </c>
      <c r="AP57" s="363"/>
      <c r="AQ57" s="410">
        <f>+AQ55-AQ58</f>
        <v>-1.3237924865820705E-4</v>
      </c>
      <c r="AR57" s="411">
        <f>+AR55-AR58</f>
        <v>1.5751346871114597E-2</v>
      </c>
      <c r="AS57" s="411">
        <f>+AS55-AS58</f>
        <v>6.8408585055643928E-2</v>
      </c>
      <c r="AT57" s="388">
        <f>+AT55-AT58</f>
        <v>4.534950895436235E-3</v>
      </c>
      <c r="AU57" s="401">
        <f>+AU55-AU58</f>
        <v>5.7239484332360938E-2</v>
      </c>
      <c r="AV57" s="363"/>
      <c r="AW57" s="410">
        <f>+AW55-AW58</f>
        <v>0.23246292739147131</v>
      </c>
      <c r="AX57" s="411">
        <f>+AX55-AX58</f>
        <v>0.14333520533520544</v>
      </c>
      <c r="AY57" s="411">
        <f>+AY55-AY58</f>
        <v>0.15709294320137696</v>
      </c>
      <c r="AZ57" s="424">
        <f>+AZ55-AZ58</f>
        <v>3.8618387262455978E-3</v>
      </c>
      <c r="BA57" s="436">
        <f>+BA55-BA58</f>
        <v>0.12157489184556372</v>
      </c>
      <c r="BB57" s="353"/>
      <c r="BC57" s="1548">
        <f>+BC55-BC58</f>
        <v>1.2986301369863146E-2</v>
      </c>
      <c r="BD57" s="1458">
        <f>+BD55-BD58</f>
        <v>1.6285260650966041E-2</v>
      </c>
      <c r="BE57" s="1458">
        <f>+BE55-BE58</f>
        <v>1.3210846426761333E-2</v>
      </c>
      <c r="BF57" s="1458">
        <f>+BF55-BF58</f>
        <v>1.0034757368991565E-2</v>
      </c>
      <c r="BG57" s="436">
        <f>+BG55-BG58</f>
        <v>1.2728781931664573E-2</v>
      </c>
      <c r="BH57" s="353"/>
      <c r="BI57" s="1548">
        <f>+BI55-BI58</f>
        <v>-3.4884951071145042E-3</v>
      </c>
      <c r="BJ57" s="1458">
        <f>+BJ55-BJ58</f>
        <v>-5.2115869017631961E-3</v>
      </c>
      <c r="BK57" s="1458">
        <f>+BK55-BK58</f>
        <v>-5.5441428222052867E-4</v>
      </c>
      <c r="BL57" s="1458">
        <f>+BL55-BL58</f>
        <v>-9.1059946069102504E-5</v>
      </c>
      <c r="BM57" s="575">
        <f>-3.8/BG53</f>
        <v>-2.2807754636576436E-3</v>
      </c>
      <c r="BN57" s="363"/>
      <c r="BO57" s="410">
        <f>+BO55-BO58</f>
        <v>1.2351078351078307E-2</v>
      </c>
      <c r="BP57" s="411">
        <f>+BP55-BP58</f>
        <v>4.6015180265654605E-3</v>
      </c>
      <c r="BQ57" s="411">
        <f>+BQ55-BQ58</f>
        <v>8.6522162688747253E-3</v>
      </c>
      <c r="BR57" s="1458">
        <f>+BR55-BR58</f>
        <v>-1.3632093933463591E-2</v>
      </c>
      <c r="BS57" s="1142">
        <f>2.9/BM53</f>
        <v>1.6964024568587306E-3</v>
      </c>
      <c r="BT57" s="353"/>
      <c r="BU57" s="1548">
        <f>+BU55-BU58</f>
        <v>-2.7975628332063955E-2</v>
      </c>
      <c r="BV57" s="1458">
        <f>+BV55-BV58</f>
        <v>-2.8775800711743828E-2</v>
      </c>
      <c r="BW57" s="1458">
        <f>+BW55-BW58</f>
        <v>-3.181846635367748E-2</v>
      </c>
      <c r="BX57" s="1549">
        <f>-(3.1-(-BX69*BR65))/BR53</f>
        <v>-6.5153425809163501E-3</v>
      </c>
      <c r="BY57" s="1142">
        <f>-(37.1-(-BY69*BS65))/BS53</f>
        <v>-2.200710986375165E-2</v>
      </c>
      <c r="BZ57" s="353"/>
      <c r="CA57" s="1316">
        <f>5.1/BU53</f>
        <v>1.5572519083969465E-2</v>
      </c>
      <c r="CB57" s="1261">
        <v>3.1E-2</v>
      </c>
      <c r="CC57" s="1261">
        <v>1.9088379705400976E-2</v>
      </c>
      <c r="CD57" s="1261">
        <f>6/BX53</f>
        <v>1.366378173328974E-2</v>
      </c>
      <c r="CE57" s="100">
        <f>SUMPRODUCT(CA57:CD57,CA53:CD53)/CE53</f>
        <v>1.9440911834722227E-2</v>
      </c>
      <c r="CF57" s="363"/>
      <c r="CG57" s="378">
        <f>((CA23/CA53*CG28)+(CA32/CA53*CG37)+(CA40/CA53*CG45))</f>
        <v>2.0405251141552512E-2</v>
      </c>
      <c r="CH57" s="424">
        <f>((CB23/CB53*CH28)+(CB32/CB53*CH37)+(CB40/CB53*CH45))</f>
        <v>1.8202931322349927E-2</v>
      </c>
      <c r="CI57" s="424">
        <f>((CC23/CC53*CI28)+(CC32/CC53*CI37)+(CC40/CC53*CI45))</f>
        <v>1.9502074688796681E-2</v>
      </c>
      <c r="CJ57" s="388">
        <f>((CD23/CD53*CJ28)+(CD32/CD53*CJ37)+(CD40/CD53*CJ45))</f>
        <v>2.5862068965517251E-2</v>
      </c>
      <c r="CK57" s="100">
        <f>SUMPRODUCT(CG57:CJ57,CG53:CJ53)/CK53</f>
        <v>2.134679460164805E-2</v>
      </c>
      <c r="CL57" s="363"/>
      <c r="CM57" s="378">
        <f>((CG23/CG53*CM28)+(CG32/CG53*CM37)+(CG40/CG53*CM45)+(CG23/CG53*CM29))</f>
        <v>0</v>
      </c>
      <c r="CN57" s="424">
        <f t="shared" ref="CN57:CP57" si="7">((CH23/CH53*CN28)+(CH32/CH53*CN37)+(CH40/CH53*CN45)+(CH23/CH53*CN29))</f>
        <v>0</v>
      </c>
      <c r="CO57" s="424">
        <f t="shared" si="7"/>
        <v>0</v>
      </c>
      <c r="CP57" s="388">
        <f t="shared" si="7"/>
        <v>2.065212370685823E-2</v>
      </c>
      <c r="CQ57" s="100">
        <f>SUMPRODUCT(CM57:CP57,CM53:CP53)/CQ53</f>
        <v>6.2739624707339415E-3</v>
      </c>
      <c r="CS57" s="378">
        <f t="shared" ref="CS57" si="8">((CM23/CM53*CS28)+(CM32/CM53*CS37)+(CM40/CM53*CS45)+(CM23/CM53*CS29))</f>
        <v>0</v>
      </c>
      <c r="CT57" s="424">
        <f t="shared" ref="CT57" si="9">((CN23/CN53*CT28)+(CN32/CN53*CT37)+(CN40/CN53*CT45)+(CN23/CN53*CT29))</f>
        <v>0</v>
      </c>
      <c r="CU57" s="424">
        <f t="shared" ref="CU57" si="10">((CO23/CO53*CU28)+(CO32/CO53*CU37)+(CO40/CO53*CU45)+(CO23/CO53*CU29))</f>
        <v>0</v>
      </c>
      <c r="CV57" s="388">
        <f t="shared" ref="CV57" si="11">((CP23/CP53*CV28)+(CP32/CP53*CV37)+(CP40/CP53*CV45)+(CP23/CP53*CV29))</f>
        <v>1.9514307571980447E-2</v>
      </c>
      <c r="CW57" s="100">
        <f>SUMPRODUCT(CS57:CV57,CS53:CV53)/CW53</f>
        <v>5.9989562744045457E-3</v>
      </c>
      <c r="CY57" s="378">
        <f t="shared" ref="CY57" si="12">((CS23/CS53*CY28)+(CS32/CS53*CY37)+(CS40/CS53*CY45)+(CS23/CS53*CY29))</f>
        <v>0</v>
      </c>
      <c r="CZ57" s="424">
        <f t="shared" ref="CZ57" si="13">((CT23/CT53*CZ28)+(CT32/CT53*CZ37)+(CT40/CT53*CZ45)+(CT23/CT53*CZ29))</f>
        <v>0</v>
      </c>
      <c r="DA57" s="424">
        <f t="shared" ref="DA57" si="14">((CU23/CU53*DA28)+(CU32/CU53*DA37)+(CU40/CU53*DA45)+(CU23/CU53*DA29))</f>
        <v>0</v>
      </c>
      <c r="DB57" s="388">
        <f t="shared" ref="DB57" si="15">((CV23/CV53*DB28)+(CV32/CV53*DB37)+(CV40/CV53*DB45)+(CV23/CV53*DB29))</f>
        <v>0</v>
      </c>
      <c r="DC57" s="100">
        <f>SUMPRODUCT(CY57:DB57,CY53:DB53)/DC53</f>
        <v>0</v>
      </c>
      <c r="DE57" s="378">
        <f t="shared" ref="DE57" si="16">((CY23/CY53*DE28)+(CY32/CY53*DE37)+(CY40/CY53*DE45)+(CY23/CY53*DE29))</f>
        <v>0</v>
      </c>
      <c r="DF57" s="424">
        <f t="shared" ref="DF57" si="17">((CZ23/CZ53*DF28)+(CZ32/CZ53*DF37)+(CZ40/CZ53*DF45)+(CZ23/CZ53*DF29))</f>
        <v>0</v>
      </c>
      <c r="DG57" s="424">
        <f t="shared" ref="DG57" si="18">((DA23/DA53*DG28)+(DA32/DA53*DG37)+(DA40/DA53*DG45)+(DA23/DA53*DG29))</f>
        <v>0</v>
      </c>
      <c r="DH57" s="388">
        <f t="shared" ref="DH57" si="19">((DB23/DB53*DH28)+(DB32/DB53*DH37)+(DB40/DB53*DH45)+(DB23/DB53*DH29))</f>
        <v>0</v>
      </c>
      <c r="DI57" s="100">
        <f>SUMPRODUCT(DE57:DH57,DE53:DH53)/DI53</f>
        <v>0</v>
      </c>
    </row>
    <row r="58" spans="1:113" s="355" customFormat="1" ht="11.25" customHeight="1">
      <c r="A58" s="370" t="s">
        <v>375</v>
      </c>
      <c r="B58" s="363"/>
      <c r="C58" s="357"/>
      <c r="D58" s="363"/>
      <c r="E58" s="357"/>
      <c r="F58" s="363"/>
      <c r="G58" s="357"/>
      <c r="H58" s="363"/>
      <c r="I58" s="357"/>
      <c r="J58" s="363"/>
      <c r="K58" s="357"/>
      <c r="L58" s="363"/>
      <c r="M58" s="357"/>
      <c r="N58" s="363"/>
      <c r="O58" s="357"/>
      <c r="P58" s="363"/>
      <c r="Q58" s="357"/>
      <c r="R58" s="363"/>
      <c r="S58" s="362"/>
      <c r="T58" s="363"/>
      <c r="U58" s="363"/>
      <c r="V58" s="363"/>
      <c r="W58" s="357"/>
      <c r="X58" s="363"/>
      <c r="Y58" s="362"/>
      <c r="Z58" s="363"/>
      <c r="AA58" s="363"/>
      <c r="AB58" s="363"/>
      <c r="AC58" s="946">
        <v>0.185</v>
      </c>
      <c r="AD58" s="947"/>
      <c r="AE58" s="1301">
        <v>0.17599999999999999</v>
      </c>
      <c r="AF58" s="1302">
        <v>0.2</v>
      </c>
      <c r="AG58" s="1302">
        <v>-1.6E-2</v>
      </c>
      <c r="AH58" s="1302">
        <v>-0.1880231421121252</v>
      </c>
      <c r="AI58" s="1303">
        <v>3.6999999999999998E-2</v>
      </c>
      <c r="AJ58" s="947"/>
      <c r="AK58" s="701">
        <v>-2.4E-2</v>
      </c>
      <c r="AL58" s="702">
        <v>-0.13</v>
      </c>
      <c r="AM58" s="702">
        <v>9.2999999999999999E-2</v>
      </c>
      <c r="AN58" s="1261">
        <v>4.4662045060658601E-2</v>
      </c>
      <c r="AO58" s="575">
        <v>2E-3</v>
      </c>
      <c r="AP58" s="947"/>
      <c r="AQ58" s="701">
        <v>8.5999999999999993E-2</v>
      </c>
      <c r="AR58" s="702">
        <v>0.184</v>
      </c>
      <c r="AS58" s="702">
        <v>0.14899999999999999</v>
      </c>
      <c r="AT58" s="702">
        <v>0.15</v>
      </c>
      <c r="AU58" s="575">
        <v>0.108</v>
      </c>
      <c r="AV58" s="947"/>
      <c r="AW58" s="701">
        <v>3.3000000000000002E-2</v>
      </c>
      <c r="AX58" s="702">
        <v>6.2E-2</v>
      </c>
      <c r="AY58" s="702">
        <v>0.109</v>
      </c>
      <c r="AZ58" s="1261">
        <v>0.123</v>
      </c>
      <c r="BA58" s="1142">
        <v>8.5999999999999993E-2</v>
      </c>
      <c r="BB58" s="1551"/>
      <c r="BC58" s="1316">
        <v>0.124</v>
      </c>
      <c r="BD58" s="1261">
        <v>0.10199999999999999</v>
      </c>
      <c r="BE58" s="1261">
        <v>9.5000000000000001E-2</v>
      </c>
      <c r="BF58" s="1261">
        <v>9.0683053308441786E-2</v>
      </c>
      <c r="BG58" s="1142">
        <v>0.10199999999999999</v>
      </c>
      <c r="BH58" s="1551"/>
      <c r="BI58" s="1316">
        <v>-0.01</v>
      </c>
      <c r="BJ58" s="1261">
        <v>7.6999999999999999E-2</v>
      </c>
      <c r="BK58" s="1261">
        <v>3.0000000000000001E-3</v>
      </c>
      <c r="BL58" s="1261">
        <v>5.8999999999999997E-2</v>
      </c>
      <c r="BM58" s="1142">
        <v>3.4000000000000002E-2</v>
      </c>
      <c r="BN58" s="363"/>
      <c r="BO58" s="653">
        <v>6.6000000000000003E-2</v>
      </c>
      <c r="BP58" s="1446">
        <v>-2.5000000000000001E-2</v>
      </c>
      <c r="BQ58" s="1446">
        <v>-7.0999999999999994E-2</v>
      </c>
      <c r="BR58" s="1261">
        <v>6.0000000000000001E-3</v>
      </c>
      <c r="BS58" s="1142">
        <v>-7.0000000000000001E-3</v>
      </c>
      <c r="BT58" s="353"/>
      <c r="BU58" s="1451">
        <v>-3.5999999999999997E-2</v>
      </c>
      <c r="BV58" s="1446">
        <v>6.0000000000000001E-3</v>
      </c>
      <c r="BW58" s="1446">
        <v>9.2999999999999999E-2</v>
      </c>
      <c r="BX58" s="1261">
        <v>0</v>
      </c>
      <c r="BY58" s="1275">
        <f>+BY55+BY56-BY57</f>
        <v>-8.2604687192965875E-2</v>
      </c>
      <c r="BZ58" s="353"/>
      <c r="CA58" s="1899">
        <v>6.2E-2</v>
      </c>
      <c r="CB58" s="1261">
        <v>-8.6999999999999994E-2</v>
      </c>
      <c r="CC58" s="1261">
        <v>-3.5000000000000003E-2</v>
      </c>
      <c r="CD58" s="1917">
        <v>-3.0000000000000001E-3</v>
      </c>
      <c r="CE58" s="401">
        <f>+CE54-CE56-CE57</f>
        <v>-1.8687468532418535E-2</v>
      </c>
      <c r="CF58" s="363"/>
      <c r="CG58" s="1899">
        <v>-1.2E-2</v>
      </c>
      <c r="CH58" s="2046">
        <v>4.3999999999999997E-2</v>
      </c>
      <c r="CI58" s="2046">
        <v>4.2000000000000003E-2</v>
      </c>
      <c r="CJ58" s="1917">
        <v>3.4000000000000002E-2</v>
      </c>
      <c r="CK58" s="401">
        <f t="shared" ref="CK58:CM58" si="20">+CK55-CK57</f>
        <v>2.7592173274565372E-2</v>
      </c>
      <c r="CL58" s="363"/>
      <c r="CM58" s="378">
        <f t="shared" si="20"/>
        <v>3.9315349630505661E-2</v>
      </c>
      <c r="CN58" s="388">
        <f t="shared" ref="CN58" si="21">+CN55-CN57</f>
        <v>1.9071614105248387E-2</v>
      </c>
      <c r="CO58" s="388">
        <f t="shared" ref="CO58" si="22">+CO55-CO57</f>
        <v>8.592824407807946E-3</v>
      </c>
      <c r="CP58" s="388">
        <f t="shared" ref="CP58" si="23">+CP55-CP57</f>
        <v>1.1366178060758989E-2</v>
      </c>
      <c r="CQ58" s="401">
        <f t="shared" ref="CQ58" si="24">+CQ55-CQ57</f>
        <v>1.8599435126521218E-2</v>
      </c>
      <c r="CS58" s="378">
        <f t="shared" ref="CS58" si="25">+CS55-CS57</f>
        <v>2.9710845987884094E-2</v>
      </c>
      <c r="CT58" s="388">
        <f t="shared" ref="CT58" si="26">+CT55-CT57</f>
        <v>3.0256037661325008E-2</v>
      </c>
      <c r="CU58" s="388">
        <f t="shared" ref="CU58" si="27">+CU55-CU57</f>
        <v>3.2095189588354778E-2</v>
      </c>
      <c r="CV58" s="388">
        <f t="shared" ref="CV58" si="28">+CV55-CV57</f>
        <v>2.8932612475609656E-2</v>
      </c>
      <c r="CW58" s="401">
        <f t="shared" ref="CW58" si="29">+CW55-CW57</f>
        <v>3.0099666185023126E-2</v>
      </c>
      <c r="CY58" s="378">
        <f t="shared" ref="CY58:DC58" si="30">+CY55-CY57</f>
        <v>2.6653899987922225E-2</v>
      </c>
      <c r="CZ58" s="388">
        <f t="shared" si="30"/>
        <v>2.7487798283500453E-2</v>
      </c>
      <c r="DA58" s="388">
        <f t="shared" si="30"/>
        <v>2.9831511130163912E-2</v>
      </c>
      <c r="DB58" s="388">
        <f t="shared" si="30"/>
        <v>2.5792058516775018E-2</v>
      </c>
      <c r="DC58" s="401">
        <f t="shared" si="30"/>
        <v>2.7337017059424401E-2</v>
      </c>
      <c r="DE58" s="378">
        <f t="shared" ref="DE58:DI58" si="31">+DE55-DE57</f>
        <v>2.7061963359286345E-2</v>
      </c>
      <c r="DF58" s="388">
        <f t="shared" si="31"/>
        <v>2.7872424998291789E-2</v>
      </c>
      <c r="DG58" s="388">
        <f t="shared" si="31"/>
        <v>3.0192039489554734E-2</v>
      </c>
      <c r="DH58" s="388">
        <f t="shared" si="31"/>
        <v>2.6191245850907041E-2</v>
      </c>
      <c r="DI58" s="401">
        <f t="shared" si="31"/>
        <v>2.7727906640229675E-2</v>
      </c>
    </row>
    <row r="59" spans="1:113" s="355" customFormat="1" ht="11.25" customHeight="1">
      <c r="A59" s="417"/>
      <c r="B59" s="363"/>
      <c r="C59" s="357"/>
      <c r="D59" s="363"/>
      <c r="E59" s="357"/>
      <c r="F59" s="363"/>
      <c r="G59" s="357"/>
      <c r="H59" s="363"/>
      <c r="I59" s="357"/>
      <c r="J59" s="363"/>
      <c r="K59" s="357"/>
      <c r="L59" s="363"/>
      <c r="M59" s="357"/>
      <c r="N59" s="363"/>
      <c r="O59" s="357"/>
      <c r="P59" s="363"/>
      <c r="Q59" s="357"/>
      <c r="R59" s="363"/>
      <c r="S59" s="362"/>
      <c r="T59" s="363"/>
      <c r="U59" s="363"/>
      <c r="V59" s="363"/>
      <c r="W59" s="357"/>
      <c r="X59" s="363"/>
      <c r="Y59" s="362"/>
      <c r="Z59" s="363"/>
      <c r="AA59" s="363"/>
      <c r="AB59" s="363"/>
      <c r="AC59" s="401"/>
      <c r="AD59" s="363"/>
      <c r="AE59" s="1304"/>
      <c r="AF59" s="1305"/>
      <c r="AG59" s="1305"/>
      <c r="AH59" s="1306"/>
      <c r="AI59" s="1307"/>
      <c r="AJ59" s="725"/>
      <c r="AK59" s="1301"/>
      <c r="AL59" s="1302"/>
      <c r="AM59" s="1302"/>
      <c r="AN59" s="724"/>
      <c r="AO59" s="1307"/>
      <c r="AP59" s="363"/>
      <c r="AQ59" s="653"/>
      <c r="AR59" s="654"/>
      <c r="AS59" s="654"/>
      <c r="AT59" s="388"/>
      <c r="AU59" s="575"/>
      <c r="AV59" s="363"/>
      <c r="AW59" s="653"/>
      <c r="AX59" s="654"/>
      <c r="AY59" s="654"/>
      <c r="AZ59" s="424"/>
      <c r="BA59" s="1142"/>
      <c r="BB59" s="353"/>
      <c r="BC59" s="1451"/>
      <c r="BD59" s="422"/>
      <c r="BE59" s="422"/>
      <c r="BF59" s="1309"/>
      <c r="BG59" s="1166"/>
      <c r="BH59" s="353"/>
      <c r="BI59" s="1451"/>
      <c r="BJ59" s="422"/>
      <c r="BK59" s="1353"/>
      <c r="BL59" s="1353"/>
      <c r="BM59" s="401"/>
      <c r="BN59" s="363"/>
      <c r="BO59" s="866"/>
      <c r="BP59" s="865"/>
      <c r="BQ59" s="865"/>
      <c r="BR59" s="865"/>
      <c r="BS59" s="401"/>
      <c r="BT59" s="363"/>
      <c r="BU59" s="866"/>
      <c r="BV59" s="865"/>
      <c r="BW59" s="865"/>
      <c r="BX59" s="865"/>
      <c r="BY59" s="401"/>
      <c r="BZ59" s="363"/>
      <c r="CA59" s="866"/>
      <c r="CB59" s="865"/>
      <c r="CC59" s="865"/>
      <c r="CD59" s="865"/>
      <c r="CE59" s="401"/>
      <c r="CF59" s="363"/>
      <c r="CG59" s="866"/>
      <c r="CH59" s="1353"/>
      <c r="CI59" s="865"/>
      <c r="CJ59" s="865"/>
      <c r="CK59" s="401"/>
      <c r="CL59" s="363"/>
      <c r="CM59" s="866"/>
      <c r="CN59" s="865"/>
      <c r="CO59" s="865"/>
      <c r="CP59" s="865"/>
      <c r="CQ59" s="401"/>
      <c r="CS59" s="866"/>
      <c r="CT59" s="865"/>
      <c r="CU59" s="865"/>
      <c r="CV59" s="865"/>
      <c r="CW59" s="401"/>
      <c r="CY59" s="866"/>
      <c r="CZ59" s="865"/>
      <c r="DA59" s="865"/>
      <c r="DB59" s="865"/>
      <c r="DC59" s="401"/>
      <c r="DE59" s="866"/>
      <c r="DF59" s="865"/>
      <c r="DG59" s="865"/>
      <c r="DH59" s="865"/>
      <c r="DI59" s="401"/>
    </row>
    <row r="60" spans="1:113" s="355" customFormat="1" ht="11.25" customHeight="1">
      <c r="A60" s="1520" t="s">
        <v>471</v>
      </c>
      <c r="B60" s="1624"/>
      <c r="C60" s="1522"/>
      <c r="D60" s="1521"/>
      <c r="E60" s="1522"/>
      <c r="F60" s="1521"/>
      <c r="G60" s="1522"/>
      <c r="H60" s="1521"/>
      <c r="I60" s="1522"/>
      <c r="J60" s="1521"/>
      <c r="K60" s="1522"/>
      <c r="L60" s="1521"/>
      <c r="M60" s="1522"/>
      <c r="N60" s="1521"/>
      <c r="O60" s="1522"/>
      <c r="P60" s="1521"/>
      <c r="Q60" s="1522"/>
      <c r="R60" s="1521"/>
      <c r="S60" s="1524"/>
      <c r="T60" s="1525"/>
      <c r="U60" s="1525"/>
      <c r="V60" s="1526"/>
      <c r="W60" s="1526"/>
      <c r="X60" s="1525"/>
      <c r="Y60" s="1524"/>
      <c r="Z60" s="1525"/>
      <c r="AA60" s="1525"/>
      <c r="AB60" s="1526"/>
      <c r="AC60" s="1526"/>
      <c r="AD60" s="1525"/>
      <c r="AE60" s="1524"/>
      <c r="AF60" s="1525"/>
      <c r="AG60" s="1525"/>
      <c r="AH60" s="1526"/>
      <c r="AI60" s="1526"/>
      <c r="AJ60" s="1525"/>
      <c r="AK60" s="1524"/>
      <c r="AL60" s="1525"/>
      <c r="AM60" s="1525"/>
      <c r="AN60" s="1526"/>
      <c r="AO60" s="1526"/>
      <c r="AP60" s="1525"/>
      <c r="AQ60" s="1524"/>
      <c r="AR60" s="1525"/>
      <c r="AS60" s="1525"/>
      <c r="AT60" s="1526"/>
      <c r="AU60" s="1526"/>
      <c r="AV60" s="1525"/>
      <c r="AW60" s="1524"/>
      <c r="AX60" s="1525"/>
      <c r="AY60" s="1525"/>
      <c r="AZ60" s="1526"/>
      <c r="BA60" s="1527"/>
      <c r="BB60" s="1525"/>
      <c r="BC60" s="1524"/>
      <c r="BD60" s="1525"/>
      <c r="BE60" s="1525"/>
      <c r="BF60" s="1526"/>
      <c r="BG60" s="1527"/>
      <c r="BH60" s="1525"/>
      <c r="BI60" s="1524"/>
      <c r="BJ60" s="1525"/>
      <c r="BK60" s="1525"/>
      <c r="BL60" s="1526"/>
      <c r="BM60" s="1527"/>
      <c r="BN60" s="1525"/>
      <c r="BO60" s="1524"/>
      <c r="BP60" s="1525"/>
      <c r="BQ60" s="1525"/>
      <c r="BR60" s="1526"/>
      <c r="BS60" s="1527"/>
      <c r="BT60" s="1525"/>
      <c r="BU60" s="1524"/>
      <c r="BV60" s="1525"/>
      <c r="BW60" s="1525"/>
      <c r="BX60" s="1526"/>
      <c r="BY60" s="1527"/>
      <c r="BZ60" s="1525"/>
      <c r="CA60" s="1524"/>
      <c r="CB60" s="1525"/>
      <c r="CC60" s="1525"/>
      <c r="CD60" s="1526"/>
      <c r="CE60" s="1527"/>
      <c r="CF60" s="1525"/>
      <c r="CG60" s="1524"/>
      <c r="CH60" s="1525"/>
      <c r="CI60" s="1525"/>
      <c r="CJ60" s="1526"/>
      <c r="CK60" s="1527"/>
      <c r="CL60" s="1525"/>
      <c r="CM60" s="1524"/>
      <c r="CN60" s="1997"/>
      <c r="CO60" s="1997"/>
      <c r="CP60" s="1998"/>
      <c r="CQ60" s="1999"/>
      <c r="CR60" s="1993"/>
      <c r="CS60" s="2000"/>
      <c r="CT60" s="1997"/>
      <c r="CU60" s="1997"/>
      <c r="CV60" s="1998"/>
      <c r="CW60" s="1999"/>
      <c r="CX60" s="1993"/>
      <c r="CY60" s="2000"/>
      <c r="CZ60" s="1997"/>
      <c r="DA60" s="1997"/>
      <c r="DB60" s="1998"/>
      <c r="DC60" s="1999"/>
      <c r="DD60" s="1993"/>
      <c r="DE60" s="2000"/>
      <c r="DF60" s="1997"/>
      <c r="DG60" s="1997"/>
      <c r="DH60" s="1998"/>
      <c r="DI60" s="1999"/>
    </row>
    <row r="61" spans="1:113" s="355" customFormat="1" ht="11.25" hidden="1" customHeight="1" outlineLevel="1">
      <c r="A61" s="418" t="s">
        <v>252</v>
      </c>
      <c r="B61" s="363"/>
      <c r="C61" s="357"/>
      <c r="D61" s="363"/>
      <c r="E61" s="357"/>
      <c r="F61" s="363"/>
      <c r="G61" s="357"/>
      <c r="H61" s="363"/>
      <c r="I61" s="357"/>
      <c r="J61" s="363"/>
      <c r="K61" s="357"/>
      <c r="L61" s="363"/>
      <c r="M61" s="357"/>
      <c r="N61" s="363"/>
      <c r="O61" s="357"/>
      <c r="P61" s="363"/>
      <c r="Q61" s="357"/>
      <c r="R61" s="363"/>
      <c r="S61" s="362"/>
      <c r="T61" s="363"/>
      <c r="U61" s="363"/>
      <c r="V61" s="363"/>
      <c r="W61" s="357"/>
      <c r="X61" s="363"/>
      <c r="Y61" s="362"/>
      <c r="Z61" s="363"/>
      <c r="AA61" s="363"/>
      <c r="AB61" s="363"/>
      <c r="AC61" s="405">
        <v>34.1</v>
      </c>
      <c r="AD61" s="363"/>
      <c r="AE61" s="386">
        <f>20.4-AF61</f>
        <v>8.8999999999999986</v>
      </c>
      <c r="AF61" s="399">
        <v>11.5</v>
      </c>
      <c r="AG61" s="399">
        <v>9.1999999999999993</v>
      </c>
      <c r="AH61" s="399">
        <f>40-AE61-AF61-AG61</f>
        <v>10.400000000000002</v>
      </c>
      <c r="AI61" s="394">
        <f>SUM(AE61:AH61)</f>
        <v>40</v>
      </c>
      <c r="AJ61" s="363"/>
      <c r="AK61" s="386">
        <v>7.6</v>
      </c>
      <c r="AL61" s="399">
        <v>13.3</v>
      </c>
      <c r="AM61" s="399">
        <v>13.5</v>
      </c>
      <c r="AN61" s="399">
        <f>57.6-AK61-AL61-AM61</f>
        <v>23.200000000000003</v>
      </c>
      <c r="AO61" s="394">
        <f>SUM(AK61:AN61)</f>
        <v>57.6</v>
      </c>
      <c r="AP61" s="363"/>
      <c r="AQ61" s="386">
        <v>19.899999999999999</v>
      </c>
      <c r="AR61" s="399">
        <v>17.600000000000001</v>
      </c>
      <c r="AS61" s="399">
        <v>20.9</v>
      </c>
      <c r="AT61" s="399">
        <f>85.9-AQ61-AR61-AS61</f>
        <v>27.5</v>
      </c>
      <c r="AU61" s="394">
        <f>SUM(AQ61:AT61)</f>
        <v>85.9</v>
      </c>
      <c r="AV61" s="363"/>
      <c r="AW61" s="386">
        <v>21.8</v>
      </c>
      <c r="AX61" s="399">
        <v>26</v>
      </c>
      <c r="AY61" s="399">
        <v>25.8</v>
      </c>
      <c r="AZ61" s="399">
        <f>105.3-AW61-AX61-AY61</f>
        <v>31.7</v>
      </c>
      <c r="BA61" s="394">
        <f>SUM(AW61:AZ61)</f>
        <v>105.3</v>
      </c>
      <c r="BB61" s="395"/>
      <c r="BC61" s="386">
        <v>27.9</v>
      </c>
      <c r="BD61" s="399">
        <v>23.9</v>
      </c>
      <c r="BE61" s="399">
        <v>24.4</v>
      </c>
      <c r="BF61" s="1266">
        <f>111.7-BE61-BD61-BC61</f>
        <v>35.500000000000014</v>
      </c>
      <c r="BG61" s="155">
        <f>SUM(BC61:BF61)</f>
        <v>111.7</v>
      </c>
      <c r="BH61" s="363"/>
      <c r="BI61" s="386">
        <v>30.1</v>
      </c>
      <c r="BJ61" s="399">
        <v>30.1</v>
      </c>
      <c r="BK61" s="399">
        <v>31.2</v>
      </c>
      <c r="BL61" s="1528">
        <f>137.3-BK61-BJ61-BI61</f>
        <v>45.9</v>
      </c>
      <c r="BM61" s="155">
        <f>SUM(BI61:BL61)</f>
        <v>137.30000000000001</v>
      </c>
      <c r="BN61" s="363"/>
      <c r="BO61" s="386">
        <v>33.6</v>
      </c>
      <c r="BP61" s="399">
        <v>40.4</v>
      </c>
      <c r="BQ61" s="399">
        <v>39.1</v>
      </c>
      <c r="BR61" s="1528">
        <f>148.4-BQ61-BP61-BO61</f>
        <v>35.300000000000004</v>
      </c>
      <c r="BS61" s="155">
        <f>SUM(BO61:BR61)</f>
        <v>148.4</v>
      </c>
      <c r="BT61" s="363"/>
      <c r="BU61" s="386">
        <v>26.3</v>
      </c>
      <c r="BV61" s="399">
        <v>29.8</v>
      </c>
      <c r="BW61" s="399">
        <v>31.8</v>
      </c>
      <c r="BX61" s="2032">
        <f>129.7-BW61-BV61-BU61</f>
        <v>41.8</v>
      </c>
      <c r="BY61" s="155">
        <f>SUM(BU61:BX61)</f>
        <v>129.69999999999999</v>
      </c>
      <c r="BZ61" s="363"/>
      <c r="CA61" s="1904">
        <v>26.4</v>
      </c>
      <c r="CB61" s="399">
        <v>27.7</v>
      </c>
      <c r="CC61" s="399">
        <v>34.6</v>
      </c>
      <c r="CD61" s="2032">
        <f>126.9-CC61-CB61-CA61</f>
        <v>38.20000000000001</v>
      </c>
      <c r="CE61" s="155">
        <f>SUM(CA61:CD61)</f>
        <v>126.9</v>
      </c>
      <c r="CF61" s="363"/>
      <c r="CG61" s="1904">
        <v>39.200000000000003</v>
      </c>
      <c r="CH61" s="1266">
        <v>53.3</v>
      </c>
      <c r="CI61" s="1266">
        <v>45.2</v>
      </c>
      <c r="CJ61" s="395"/>
      <c r="CK61" s="394"/>
      <c r="CL61" s="363"/>
      <c r="CM61" s="535"/>
      <c r="CN61" s="395"/>
      <c r="CO61" s="395"/>
      <c r="CP61" s="395"/>
      <c r="CQ61" s="394"/>
      <c r="CS61" s="535"/>
      <c r="CT61" s="395"/>
      <c r="CU61" s="395"/>
      <c r="CV61" s="395"/>
      <c r="CW61" s="394"/>
      <c r="CY61" s="535"/>
      <c r="CZ61" s="395"/>
      <c r="DA61" s="395"/>
      <c r="DB61" s="395"/>
      <c r="DC61" s="394"/>
      <c r="DE61" s="535"/>
      <c r="DF61" s="395"/>
      <c r="DG61" s="395"/>
      <c r="DH61" s="395"/>
      <c r="DI61" s="394"/>
    </row>
    <row r="62" spans="1:113" s="355" customFormat="1" ht="11.25" hidden="1" customHeight="1" outlineLevel="1">
      <c r="A62" s="417" t="s">
        <v>247</v>
      </c>
      <c r="B62" s="363"/>
      <c r="C62" s="357"/>
      <c r="D62" s="363"/>
      <c r="E62" s="357"/>
      <c r="F62" s="363"/>
      <c r="G62" s="357"/>
      <c r="H62" s="363"/>
      <c r="I62" s="357"/>
      <c r="J62" s="363"/>
      <c r="K62" s="357"/>
      <c r="L62" s="363"/>
      <c r="M62" s="357"/>
      <c r="N62" s="363"/>
      <c r="O62" s="357"/>
      <c r="P62" s="363"/>
      <c r="Q62" s="357"/>
      <c r="R62" s="363"/>
      <c r="S62" s="362"/>
      <c r="T62" s="363"/>
      <c r="U62" s="363"/>
      <c r="V62" s="363"/>
      <c r="W62" s="357"/>
      <c r="X62" s="363"/>
      <c r="Y62" s="362"/>
      <c r="Z62" s="363"/>
      <c r="AA62" s="363"/>
      <c r="AB62" s="363"/>
      <c r="AC62" s="401"/>
      <c r="AD62" s="363"/>
      <c r="AE62" s="410"/>
      <c r="AF62" s="411"/>
      <c r="AG62" s="411"/>
      <c r="AH62" s="411"/>
      <c r="AI62" s="401">
        <f>AI61/AC61-1</f>
        <v>0.17302052785923738</v>
      </c>
      <c r="AJ62" s="363"/>
      <c r="AK62" s="378">
        <f>AK61/AE61-1</f>
        <v>-0.14606741573033699</v>
      </c>
      <c r="AL62" s="388">
        <f>AL61/AF61-1</f>
        <v>0.15652173913043477</v>
      </c>
      <c r="AM62" s="388">
        <f>AM61/AG61-1</f>
        <v>0.46739130434782616</v>
      </c>
      <c r="AN62" s="388">
        <f>AN61/AH61-1</f>
        <v>1.2307692307692304</v>
      </c>
      <c r="AO62" s="401">
        <f>AO61/AI61-1</f>
        <v>0.43999999999999995</v>
      </c>
      <c r="AP62" s="363"/>
      <c r="AQ62" s="378">
        <f>AQ61/AK61-1</f>
        <v>1.6184210526315788</v>
      </c>
      <c r="AR62" s="388">
        <f>AR61/AL61-1</f>
        <v>0.32330827067669166</v>
      </c>
      <c r="AS62" s="388">
        <f>AS61/AM61-1</f>
        <v>0.54814814814814805</v>
      </c>
      <c r="AT62" s="388">
        <f>AT61/AN61-1</f>
        <v>0.18534482758620685</v>
      </c>
      <c r="AU62" s="401">
        <f>AU61/AO61-1</f>
        <v>0.49131944444444442</v>
      </c>
      <c r="AV62" s="363"/>
      <c r="AW62" s="378">
        <f>AW61/AQ61-1</f>
        <v>9.5477386934673447E-2</v>
      </c>
      <c r="AX62" s="388">
        <f>AX61/AR61-1</f>
        <v>0.47727272727272707</v>
      </c>
      <c r="AY62" s="388">
        <f>AY61/AS61-1</f>
        <v>0.23444976076555046</v>
      </c>
      <c r="AZ62" s="388">
        <f>AZ61/AT61-1</f>
        <v>0.1527272727272726</v>
      </c>
      <c r="BA62" s="401">
        <f>BA61/AU61-1</f>
        <v>0.22584400465657728</v>
      </c>
      <c r="BB62" s="363"/>
      <c r="BC62" s="378">
        <f>BC61/AW61-1</f>
        <v>0.27981651376146788</v>
      </c>
      <c r="BD62" s="388">
        <f>BD61/AX61-1</f>
        <v>-8.0769230769230815E-2</v>
      </c>
      <c r="BE62" s="388">
        <f>BE61/AY61-1</f>
        <v>-5.4263565891472965E-2</v>
      </c>
      <c r="BF62" s="424">
        <f>BF61/AZ61-1</f>
        <v>0.11987381703470068</v>
      </c>
      <c r="BG62" s="436">
        <f>BG61/BA61-1</f>
        <v>6.0778727445394143E-2</v>
      </c>
      <c r="BH62" s="363"/>
      <c r="BI62" s="378">
        <f>BI61/BC61-1</f>
        <v>7.8853046594982157E-2</v>
      </c>
      <c r="BJ62" s="388">
        <f>BJ61/BD61-1</f>
        <v>0.25941422594142272</v>
      </c>
      <c r="BK62" s="388">
        <f>BK61/BE61-1</f>
        <v>0.27868852459016402</v>
      </c>
      <c r="BL62" s="424">
        <f>BL61/BF61-1</f>
        <v>0.29295774647887263</v>
      </c>
      <c r="BM62" s="436">
        <f>BM61/BG61-1</f>
        <v>0.2291853178155776</v>
      </c>
      <c r="BN62" s="363"/>
      <c r="BO62" s="378">
        <f>BO61/BI61-1</f>
        <v>0.11627906976744184</v>
      </c>
      <c r="BP62" s="388">
        <f>BP61/BJ61-1</f>
        <v>0.34219269102990024</v>
      </c>
      <c r="BQ62" s="388">
        <f>BQ61/BK61-1</f>
        <v>0.25320512820512819</v>
      </c>
      <c r="BR62" s="424">
        <f>BR61/BL61-1</f>
        <v>-0.23093681917211317</v>
      </c>
      <c r="BS62" s="436">
        <f>BS61/BM61-1</f>
        <v>8.084486525855783E-2</v>
      </c>
      <c r="BT62" s="363"/>
      <c r="BU62" s="378">
        <f>BU61/BO61-1</f>
        <v>-0.21726190476190477</v>
      </c>
      <c r="BV62" s="388">
        <f>BV61/BP61-1</f>
        <v>-0.26237623762376239</v>
      </c>
      <c r="BW62" s="388">
        <f>BW61/BQ61-1</f>
        <v>-0.1867007672634271</v>
      </c>
      <c r="BX62" s="424">
        <f>BX61/BR61-1</f>
        <v>0.18413597733711029</v>
      </c>
      <c r="BY62" s="436">
        <f>BY61/BS61-1</f>
        <v>-0.12601078167115909</v>
      </c>
      <c r="BZ62" s="363"/>
      <c r="CA62" s="1907">
        <f>CA61/BU61-1</f>
        <v>3.8022813688212143E-3</v>
      </c>
      <c r="CB62" s="388">
        <f>CB61/BV61-1</f>
        <v>-7.0469798657718186E-2</v>
      </c>
      <c r="CC62" s="388">
        <f>CC61/BW61-1</f>
        <v>8.8050314465408785E-2</v>
      </c>
      <c r="CD62" s="424">
        <f>CD61/BX61-1</f>
        <v>-8.612440191387527E-2</v>
      </c>
      <c r="CE62" s="436">
        <f>CE61/BY61-1</f>
        <v>-2.1588280647648284E-2</v>
      </c>
      <c r="CF62" s="363"/>
      <c r="CG62" s="1907">
        <f>CG61/CA61-1</f>
        <v>0.48484848484848508</v>
      </c>
      <c r="CH62" s="424">
        <f>CH61/CB61-1</f>
        <v>0.92418772563176899</v>
      </c>
      <c r="CI62" s="424">
        <f>CI61/CC61-1</f>
        <v>0.3063583815028903</v>
      </c>
      <c r="CJ62" s="453"/>
      <c r="CK62" s="401"/>
      <c r="CL62" s="363"/>
      <c r="CM62" s="378"/>
      <c r="CN62" s="388"/>
      <c r="CO62" s="388"/>
      <c r="CP62" s="453"/>
      <c r="CQ62" s="401"/>
      <c r="CS62" s="378"/>
      <c r="CT62" s="388"/>
      <c r="CU62" s="388"/>
      <c r="CV62" s="453"/>
      <c r="CW62" s="401"/>
      <c r="CY62" s="378"/>
      <c r="CZ62" s="388"/>
      <c r="DA62" s="388"/>
      <c r="DB62" s="453"/>
      <c r="DC62" s="401"/>
      <c r="DE62" s="378"/>
      <c r="DF62" s="388"/>
      <c r="DG62" s="388"/>
      <c r="DH62" s="453"/>
      <c r="DI62" s="401"/>
    </row>
    <row r="63" spans="1:113" s="355" customFormat="1" ht="11.25" hidden="1" customHeight="1" outlineLevel="1">
      <c r="A63" s="418" t="s">
        <v>253</v>
      </c>
      <c r="B63" s="363"/>
      <c r="C63" s="357"/>
      <c r="D63" s="363"/>
      <c r="E63" s="357"/>
      <c r="F63" s="363"/>
      <c r="G63" s="357"/>
      <c r="H63" s="363"/>
      <c r="I63" s="357"/>
      <c r="J63" s="363"/>
      <c r="K63" s="357"/>
      <c r="L63" s="363"/>
      <c r="M63" s="357"/>
      <c r="N63" s="363"/>
      <c r="O63" s="357"/>
      <c r="P63" s="363"/>
      <c r="Q63" s="357"/>
      <c r="R63" s="363"/>
      <c r="S63" s="362"/>
      <c r="T63" s="363"/>
      <c r="U63" s="363"/>
      <c r="V63" s="363"/>
      <c r="W63" s="357"/>
      <c r="X63" s="363"/>
      <c r="Y63" s="362"/>
      <c r="Z63" s="363"/>
      <c r="AA63" s="363"/>
      <c r="AB63" s="363"/>
      <c r="AC63" s="405">
        <v>3.6</v>
      </c>
      <c r="AD63" s="363"/>
      <c r="AE63" s="386">
        <f>2-AF63</f>
        <v>1</v>
      </c>
      <c r="AF63" s="399">
        <v>1</v>
      </c>
      <c r="AG63" s="399">
        <v>1</v>
      </c>
      <c r="AH63" s="399">
        <f>3.5-AE63-AF63-AG63</f>
        <v>0.5</v>
      </c>
      <c r="AI63" s="394">
        <f>SUM(AE63:AH63)</f>
        <v>3.5</v>
      </c>
      <c r="AJ63" s="363"/>
      <c r="AK63" s="386">
        <v>0.5</v>
      </c>
      <c r="AL63" s="399">
        <v>0.4</v>
      </c>
      <c r="AM63" s="399">
        <v>0.7</v>
      </c>
      <c r="AN63" s="399">
        <f>2.2-AK63-AL63-AM63</f>
        <v>0.60000000000000031</v>
      </c>
      <c r="AO63" s="394">
        <f>SUM(AK63:AN63)</f>
        <v>2.2000000000000002</v>
      </c>
      <c r="AP63" s="363"/>
      <c r="AQ63" s="386">
        <v>0.8</v>
      </c>
      <c r="AR63" s="399">
        <v>0.5</v>
      </c>
      <c r="AS63" s="399">
        <v>1.5</v>
      </c>
      <c r="AT63" s="399">
        <f>4.6-AQ63-AR63-AS63</f>
        <v>1.7999999999999998</v>
      </c>
      <c r="AU63" s="394">
        <f>SUM(AQ63:AT63)</f>
        <v>4.5999999999999996</v>
      </c>
      <c r="AV63" s="363"/>
      <c r="AW63" s="386">
        <v>2.2000000000000002</v>
      </c>
      <c r="AX63" s="399">
        <v>2.1</v>
      </c>
      <c r="AY63" s="399">
        <v>1.9</v>
      </c>
      <c r="AZ63" s="399">
        <f>8.1-AW63-AX63-AY63</f>
        <v>1.8999999999999995</v>
      </c>
      <c r="BA63" s="394">
        <f>SUM(AW63:AZ63)</f>
        <v>8.1000000000000014</v>
      </c>
      <c r="BB63" s="395"/>
      <c r="BC63" s="386">
        <v>2.1</v>
      </c>
      <c r="BD63" s="399">
        <v>2.1</v>
      </c>
      <c r="BE63" s="399">
        <v>18</v>
      </c>
      <c r="BF63" s="1310">
        <f>24.5-BE63-BD63-BC63</f>
        <v>2.3000000000000003</v>
      </c>
      <c r="BG63" s="155">
        <f>SUM(BC63:BF63)</f>
        <v>24.5</v>
      </c>
      <c r="BH63" s="363"/>
      <c r="BI63" s="386">
        <v>1.1000000000000001</v>
      </c>
      <c r="BJ63" s="399">
        <v>7</v>
      </c>
      <c r="BK63" s="399">
        <v>1.3</v>
      </c>
      <c r="BL63" s="1310">
        <f>10.1-BK63-BJ63-BI63</f>
        <v>0.69999999999999885</v>
      </c>
      <c r="BM63" s="155">
        <f>SUM(BI63:BL63)</f>
        <v>10.1</v>
      </c>
      <c r="BN63" s="363"/>
      <c r="BO63" s="386">
        <v>1.2</v>
      </c>
      <c r="BP63" s="399">
        <v>1</v>
      </c>
      <c r="BQ63" s="399">
        <v>0.9</v>
      </c>
      <c r="BR63" s="1310">
        <f>4.5-BQ63-BP63-BO63</f>
        <v>1.4000000000000001</v>
      </c>
      <c r="BS63" s="155">
        <f>SUM(BO63:BR63)</f>
        <v>4.5</v>
      </c>
      <c r="BT63" s="363"/>
      <c r="BU63" s="386">
        <v>1.2</v>
      </c>
      <c r="BV63" s="399">
        <v>1</v>
      </c>
      <c r="BW63" s="399">
        <v>1.1000000000000001</v>
      </c>
      <c r="BX63" s="2032">
        <f>4-BW63-BV63-BU63</f>
        <v>0.7</v>
      </c>
      <c r="BY63" s="155">
        <f>SUM(BU63:BX63)</f>
        <v>4</v>
      </c>
      <c r="BZ63" s="363"/>
      <c r="CA63" s="1904">
        <v>0.8</v>
      </c>
      <c r="CB63" s="399">
        <v>0.8</v>
      </c>
      <c r="CC63" s="399">
        <v>0.9</v>
      </c>
      <c r="CD63" s="2032">
        <f>3.3-CC63-CB63-CA63</f>
        <v>0.79999999999999982</v>
      </c>
      <c r="CE63" s="155">
        <f>SUM(CA63:CD63)</f>
        <v>3.3</v>
      </c>
      <c r="CF63" s="363"/>
      <c r="CG63" s="1904">
        <v>0.9</v>
      </c>
      <c r="CH63" s="1266">
        <v>0.7</v>
      </c>
      <c r="CI63" s="1266">
        <v>0.9</v>
      </c>
      <c r="CJ63" s="452"/>
      <c r="CK63" s="394"/>
      <c r="CL63" s="363"/>
      <c r="CM63" s="197"/>
      <c r="CN63" s="452"/>
      <c r="CO63" s="452"/>
      <c r="CP63" s="452"/>
      <c r="CQ63" s="394"/>
      <c r="CS63" s="197"/>
      <c r="CT63" s="452"/>
      <c r="CU63" s="452"/>
      <c r="CV63" s="452"/>
      <c r="CW63" s="394"/>
      <c r="CY63" s="197"/>
      <c r="CZ63" s="452"/>
      <c r="DA63" s="452"/>
      <c r="DB63" s="452"/>
      <c r="DC63" s="394"/>
      <c r="DE63" s="197"/>
      <c r="DF63" s="452"/>
      <c r="DG63" s="452"/>
      <c r="DH63" s="452"/>
      <c r="DI63" s="394"/>
    </row>
    <row r="64" spans="1:113" s="355" customFormat="1" ht="11.25" hidden="1" customHeight="1" outlineLevel="1">
      <c r="A64" s="417" t="s">
        <v>247</v>
      </c>
      <c r="B64" s="363"/>
      <c r="C64" s="357"/>
      <c r="D64" s="363"/>
      <c r="E64" s="357"/>
      <c r="F64" s="363"/>
      <c r="G64" s="357"/>
      <c r="H64" s="363"/>
      <c r="I64" s="357"/>
      <c r="J64" s="363"/>
      <c r="K64" s="357"/>
      <c r="L64" s="363"/>
      <c r="M64" s="357"/>
      <c r="N64" s="363"/>
      <c r="O64" s="357"/>
      <c r="P64" s="363"/>
      <c r="Q64" s="357"/>
      <c r="R64" s="363"/>
      <c r="S64" s="362"/>
      <c r="T64" s="363"/>
      <c r="U64" s="363"/>
      <c r="V64" s="363"/>
      <c r="W64" s="357"/>
      <c r="X64" s="363"/>
      <c r="Y64" s="362"/>
      <c r="Z64" s="363"/>
      <c r="AA64" s="363"/>
      <c r="AB64" s="363"/>
      <c r="AC64" s="401"/>
      <c r="AD64" s="363"/>
      <c r="AE64" s="410"/>
      <c r="AF64" s="411"/>
      <c r="AG64" s="411"/>
      <c r="AH64" s="411"/>
      <c r="AI64" s="401">
        <f>AI63/AC63-1</f>
        <v>-2.777777777777779E-2</v>
      </c>
      <c r="AJ64" s="363"/>
      <c r="AK64" s="378">
        <f>AK63/AE63-1</f>
        <v>-0.5</v>
      </c>
      <c r="AL64" s="388">
        <f>AL63/AF63-1</f>
        <v>-0.6</v>
      </c>
      <c r="AM64" s="388">
        <f>AM63/AG63-1</f>
        <v>-0.30000000000000004</v>
      </c>
      <c r="AN64" s="388">
        <f>AN63/AH63-1</f>
        <v>0.20000000000000062</v>
      </c>
      <c r="AO64" s="401">
        <f>AO63/AI63-1</f>
        <v>-0.37142857142857133</v>
      </c>
      <c r="AP64" s="363"/>
      <c r="AQ64" s="378">
        <f>AQ63/AK63-1</f>
        <v>0.60000000000000009</v>
      </c>
      <c r="AR64" s="388">
        <f>AR63/AL63-1</f>
        <v>0.25</v>
      </c>
      <c r="AS64" s="388">
        <f>AS63/AM63-1</f>
        <v>1.1428571428571428</v>
      </c>
      <c r="AT64" s="388">
        <f>AT63/AN63-1</f>
        <v>1.9999999999999982</v>
      </c>
      <c r="AU64" s="401">
        <f>AU63/AO63-1</f>
        <v>1.0909090909090904</v>
      </c>
      <c r="AV64" s="363"/>
      <c r="AW64" s="378">
        <f>AW63/AQ63-1</f>
        <v>1.75</v>
      </c>
      <c r="AX64" s="388">
        <f>AX63/AR63-1</f>
        <v>3.2</v>
      </c>
      <c r="AY64" s="388">
        <f>AY63/AS63-1</f>
        <v>0.26666666666666661</v>
      </c>
      <c r="AZ64" s="388">
        <f>AZ63/AT63-1</f>
        <v>5.5555555555555358E-2</v>
      </c>
      <c r="BA64" s="401">
        <f>BA63/AU63-1</f>
        <v>0.7608695652173918</v>
      </c>
      <c r="BB64" s="363"/>
      <c r="BC64" s="378">
        <f>BC63/AW63-1</f>
        <v>-4.5454545454545525E-2</v>
      </c>
      <c r="BD64" s="388">
        <f>BD63/AX63-1</f>
        <v>0</v>
      </c>
      <c r="BE64" s="388">
        <f>BE63/AY63-1</f>
        <v>8.4736842105263168</v>
      </c>
      <c r="BF64" s="424">
        <f>BF63/AZ63-1</f>
        <v>0.21052631578947412</v>
      </c>
      <c r="BG64" s="436">
        <f>BG63/BA63-1</f>
        <v>2.024691358024691</v>
      </c>
      <c r="BH64" s="363"/>
      <c r="BI64" s="378">
        <f>BI63/BC63-1</f>
        <v>-0.47619047619047616</v>
      </c>
      <c r="BJ64" s="388">
        <f>BJ63/BD63-1</f>
        <v>2.333333333333333</v>
      </c>
      <c r="BK64" s="388">
        <f>BK63/BE63-1</f>
        <v>-0.92777777777777781</v>
      </c>
      <c r="BL64" s="424">
        <f>BL63/BF63-1</f>
        <v>-0.69565217391304401</v>
      </c>
      <c r="BM64" s="436">
        <f>BM63/BG63-1</f>
        <v>-0.58775510204081627</v>
      </c>
      <c r="BN64" s="363"/>
      <c r="BO64" s="378">
        <f>BO63/BI63-1</f>
        <v>9.0909090909090828E-2</v>
      </c>
      <c r="BP64" s="388">
        <f>BP63/BJ63-1</f>
        <v>-0.85714285714285721</v>
      </c>
      <c r="BQ64" s="388">
        <f>BQ63/BK63-1</f>
        <v>-0.30769230769230771</v>
      </c>
      <c r="BR64" s="424">
        <f>BR63/BL63-1</f>
        <v>1.0000000000000036</v>
      </c>
      <c r="BS64" s="436">
        <f>BS63/BM63-1</f>
        <v>-0.5544554455445545</v>
      </c>
      <c r="BT64" s="363"/>
      <c r="BU64" s="378">
        <f>BU63/BO63-1</f>
        <v>0</v>
      </c>
      <c r="BV64" s="388">
        <f>BV63/BP63-1</f>
        <v>0</v>
      </c>
      <c r="BW64" s="388">
        <f>BW63/BQ63-1</f>
        <v>0.22222222222222232</v>
      </c>
      <c r="BX64" s="424">
        <f>BX63/BR63-1</f>
        <v>-0.5</v>
      </c>
      <c r="BY64" s="436">
        <f>BY63/BS63-1</f>
        <v>-0.11111111111111116</v>
      </c>
      <c r="BZ64" s="363"/>
      <c r="CA64" s="1907">
        <f>CA63/BU63-1</f>
        <v>-0.33333333333333326</v>
      </c>
      <c r="CB64" s="388">
        <f>CB63/BV63-1</f>
        <v>-0.19999999999999996</v>
      </c>
      <c r="CC64" s="388">
        <f>CC63/BW63-1</f>
        <v>-0.18181818181818188</v>
      </c>
      <c r="CD64" s="424">
        <f>CD63/BX63-1</f>
        <v>0.14285714285714257</v>
      </c>
      <c r="CE64" s="436">
        <f>CE63/BY63-1</f>
        <v>-0.17500000000000004</v>
      </c>
      <c r="CF64" s="363"/>
      <c r="CG64" s="1907">
        <f>CG63/CA63-1</f>
        <v>0.125</v>
      </c>
      <c r="CH64" s="424">
        <f>CH63/CB63-1</f>
        <v>-0.12500000000000011</v>
      </c>
      <c r="CI64" s="424">
        <f>CI63/CC63-1</f>
        <v>0</v>
      </c>
      <c r="CJ64" s="391"/>
      <c r="CK64" s="401"/>
      <c r="CL64" s="363"/>
      <c r="CM64" s="775"/>
      <c r="CN64" s="391"/>
      <c r="CO64" s="391"/>
      <c r="CP64" s="391"/>
      <c r="CQ64" s="401"/>
      <c r="CS64" s="775"/>
      <c r="CT64" s="391"/>
      <c r="CU64" s="391"/>
      <c r="CV64" s="391"/>
      <c r="CW64" s="401"/>
      <c r="CY64" s="775"/>
      <c r="CZ64" s="391"/>
      <c r="DA64" s="391"/>
      <c r="DB64" s="391"/>
      <c r="DC64" s="401"/>
      <c r="DE64" s="775"/>
      <c r="DF64" s="391"/>
      <c r="DG64" s="391"/>
      <c r="DH64" s="391"/>
      <c r="DI64" s="401"/>
    </row>
    <row r="65" spans="1:153" s="355" customFormat="1" ht="11.25" customHeight="1" collapsed="1">
      <c r="A65" s="1547" t="s">
        <v>238</v>
      </c>
      <c r="B65" s="363"/>
      <c r="C65" s="357"/>
      <c r="D65" s="363"/>
      <c r="E65" s="357"/>
      <c r="F65" s="363"/>
      <c r="G65" s="357"/>
      <c r="H65" s="363"/>
      <c r="I65" s="357"/>
      <c r="J65" s="363"/>
      <c r="K65" s="357"/>
      <c r="L65" s="363"/>
      <c r="M65" s="357"/>
      <c r="N65" s="363"/>
      <c r="O65" s="357"/>
      <c r="P65" s="363"/>
      <c r="Q65" s="357"/>
      <c r="R65" s="363"/>
      <c r="S65" s="362"/>
      <c r="T65" s="363"/>
      <c r="U65" s="363"/>
      <c r="V65" s="363"/>
      <c r="W65" s="357"/>
      <c r="X65" s="363"/>
      <c r="Y65" s="362"/>
      <c r="Z65" s="363"/>
      <c r="AA65" s="363"/>
      <c r="AB65" s="363"/>
      <c r="AC65" s="402">
        <f>AC61+AC63</f>
        <v>37.700000000000003</v>
      </c>
      <c r="AD65" s="363"/>
      <c r="AE65" s="382">
        <f>AE61+AE63</f>
        <v>9.8999999999999986</v>
      </c>
      <c r="AF65" s="389">
        <f>AF61+AF63</f>
        <v>12.5</v>
      </c>
      <c r="AG65" s="389">
        <f>AG61+AG63</f>
        <v>10.199999999999999</v>
      </c>
      <c r="AH65" s="389">
        <f>AH61+AH63</f>
        <v>10.900000000000002</v>
      </c>
      <c r="AI65" s="402">
        <f>AI61+AI63</f>
        <v>43.5</v>
      </c>
      <c r="AJ65" s="363"/>
      <c r="AK65" s="382">
        <f>AK61+AK63</f>
        <v>8.1</v>
      </c>
      <c r="AL65" s="389">
        <f>AL61+AL63</f>
        <v>13.700000000000001</v>
      </c>
      <c r="AM65" s="389">
        <f>AM61+AM63</f>
        <v>14.2</v>
      </c>
      <c r="AN65" s="389">
        <f>AN61+AN63</f>
        <v>23.800000000000004</v>
      </c>
      <c r="AO65" s="402">
        <f>AO61+AO63</f>
        <v>59.800000000000004</v>
      </c>
      <c r="AP65" s="363"/>
      <c r="AQ65" s="382">
        <f>AQ61+AQ63</f>
        <v>20.7</v>
      </c>
      <c r="AR65" s="389">
        <f>AR61+AR63</f>
        <v>18.100000000000001</v>
      </c>
      <c r="AS65" s="389">
        <f>AS61+AS63</f>
        <v>22.4</v>
      </c>
      <c r="AT65" s="389">
        <f>AT61+AT63</f>
        <v>29.3</v>
      </c>
      <c r="AU65" s="402">
        <f>AU61+AU63</f>
        <v>90.5</v>
      </c>
      <c r="AV65" s="363"/>
      <c r="AW65" s="382">
        <f>AW61+AW63</f>
        <v>24</v>
      </c>
      <c r="AX65" s="389">
        <f>AX61+AX63</f>
        <v>28.1</v>
      </c>
      <c r="AY65" s="389">
        <f>AY61+AY63</f>
        <v>27.7</v>
      </c>
      <c r="AZ65" s="389">
        <f>AZ61+AZ63</f>
        <v>33.6</v>
      </c>
      <c r="BA65" s="402">
        <f>BA61+BA63</f>
        <v>113.4</v>
      </c>
      <c r="BB65" s="395"/>
      <c r="BC65" s="382">
        <f>BC61+BC63</f>
        <v>30</v>
      </c>
      <c r="BD65" s="389">
        <f>BD61+BD63</f>
        <v>26</v>
      </c>
      <c r="BE65" s="389">
        <f>BE61+BE63</f>
        <v>42.4</v>
      </c>
      <c r="BF65" s="451">
        <f>BF61+BF63</f>
        <v>37.800000000000011</v>
      </c>
      <c r="BG65" s="1311">
        <f>SUM(BC65:BF65)</f>
        <v>136.20000000000002</v>
      </c>
      <c r="BH65" s="363"/>
      <c r="BI65" s="382">
        <f>BI61+BI63</f>
        <v>31.200000000000003</v>
      </c>
      <c r="BJ65" s="389">
        <f>BJ61+BJ63</f>
        <v>37.1</v>
      </c>
      <c r="BK65" s="389">
        <f>BK61+BK63</f>
        <v>32.5</v>
      </c>
      <c r="BL65" s="451">
        <f>BL61+BL63</f>
        <v>46.599999999999994</v>
      </c>
      <c r="BM65" s="1311">
        <f>SUM(BI65:BL65)</f>
        <v>147.4</v>
      </c>
      <c r="BN65" s="363"/>
      <c r="BO65" s="382">
        <f>BO61+BO63</f>
        <v>34.800000000000004</v>
      </c>
      <c r="BP65" s="389">
        <f>BP61+BP63</f>
        <v>41.4</v>
      </c>
      <c r="BQ65" s="389">
        <f>BQ61+BQ63</f>
        <v>40</v>
      </c>
      <c r="BR65" s="451">
        <f>BR61+BR63</f>
        <v>36.700000000000003</v>
      </c>
      <c r="BS65" s="1311">
        <f>SUM(BO65:BR65)</f>
        <v>152.9</v>
      </c>
      <c r="BT65" s="363"/>
      <c r="BU65" s="382">
        <f>BU61+BU63</f>
        <v>27.5</v>
      </c>
      <c r="BV65" s="389">
        <f>BV61+BV63</f>
        <v>30.8</v>
      </c>
      <c r="BW65" s="451">
        <f>BW61+BW63</f>
        <v>32.9</v>
      </c>
      <c r="BX65" s="451">
        <f>BX61+BX63</f>
        <v>42.5</v>
      </c>
      <c r="BY65" s="1311">
        <f>SUM(BU65:BX65)</f>
        <v>133.69999999999999</v>
      </c>
      <c r="BZ65" s="363"/>
      <c r="CA65" s="382">
        <f>CA61+CA63</f>
        <v>27.2</v>
      </c>
      <c r="CB65" s="389">
        <f>CB61+CB63</f>
        <v>28.5</v>
      </c>
      <c r="CC65" s="451">
        <f>CC61+CC63</f>
        <v>35.5</v>
      </c>
      <c r="CD65" s="451">
        <f>CD61+CD63</f>
        <v>39.000000000000007</v>
      </c>
      <c r="CE65" s="1311">
        <f>SUM(CA65:CD65)</f>
        <v>130.20000000000002</v>
      </c>
      <c r="CF65" s="363"/>
      <c r="CG65" s="382">
        <f>CG61+CG63</f>
        <v>40.1</v>
      </c>
      <c r="CH65" s="451">
        <f>CH61+CH63</f>
        <v>54</v>
      </c>
      <c r="CI65" s="451">
        <f>CI61+CI63</f>
        <v>46.1</v>
      </c>
      <c r="CJ65" s="389">
        <f>CD65*(1+CJ66)</f>
        <v>51.052000000000014</v>
      </c>
      <c r="CK65" s="408">
        <f>SUM(CG65:CJ65)</f>
        <v>191.25200000000001</v>
      </c>
      <c r="CL65" s="363"/>
      <c r="CM65" s="382">
        <f>CG65*(1+CM66)</f>
        <v>43.976897731161294</v>
      </c>
      <c r="CN65" s="389">
        <f>CH65*(1+CN66)</f>
        <v>50.223649512579776</v>
      </c>
      <c r="CO65" s="389">
        <f>CI65*(1+CO66)</f>
        <v>50.937864064554411</v>
      </c>
      <c r="CP65" s="389">
        <f>CJ65*(1+CP66)</f>
        <v>49.841478596529996</v>
      </c>
      <c r="CQ65" s="408">
        <f>SUM(CM65:CP65)</f>
        <v>194.97988990482548</v>
      </c>
      <c r="CR65" s="363"/>
      <c r="CS65" s="382">
        <f>CM65*(1+CS66)</f>
        <v>40.018976935356783</v>
      </c>
      <c r="CT65" s="389">
        <f>CN65*(1+CT66)</f>
        <v>53.73930497846036</v>
      </c>
      <c r="CU65" s="389">
        <f>CO65*(1+CU66)</f>
        <v>44.825320376807881</v>
      </c>
      <c r="CV65" s="389">
        <f>CP65*(1+CV66)</f>
        <v>52.333552526356499</v>
      </c>
      <c r="CW65" s="408">
        <f>SUM(CS65:CV65)</f>
        <v>190.91715481698154</v>
      </c>
      <c r="CX65" s="363"/>
      <c r="CY65" s="382">
        <f>CS65*(1+CY66)</f>
        <v>41.21954624341749</v>
      </c>
      <c r="CZ65" s="389">
        <f>CT65*(1+CZ66)</f>
        <v>47.290588381045119</v>
      </c>
      <c r="DA65" s="389">
        <f>CU65*(1+DA66)</f>
        <v>48.411346006952513</v>
      </c>
      <c r="DB65" s="389">
        <f>CV65*(1+DB66)</f>
        <v>49.716874900038668</v>
      </c>
      <c r="DC65" s="408">
        <f>SUM(CY65:DB65)</f>
        <v>186.63835553145381</v>
      </c>
      <c r="DD65" s="363"/>
      <c r="DE65" s="382">
        <f>CY65*(1+DE66)</f>
        <v>37.50978708150992</v>
      </c>
      <c r="DF65" s="389">
        <f>CZ65*(1+DF66)</f>
        <v>50.600929567718282</v>
      </c>
      <c r="DG65" s="389">
        <f>DA65*(1+DG66)</f>
        <v>42.601984486118212</v>
      </c>
      <c r="DH65" s="389">
        <f>DB65*(1+DH66)</f>
        <v>52.202718645040605</v>
      </c>
      <c r="DI65" s="408">
        <f>SUM(DE65:DH65)</f>
        <v>182.91541978038703</v>
      </c>
    </row>
    <row r="66" spans="1:153" s="355" customFormat="1" ht="11.25" customHeight="1">
      <c r="A66" s="417" t="s">
        <v>247</v>
      </c>
      <c r="B66" s="363"/>
      <c r="C66" s="357"/>
      <c r="D66" s="363"/>
      <c r="E66" s="357"/>
      <c r="F66" s="363"/>
      <c r="G66" s="357"/>
      <c r="H66" s="363"/>
      <c r="I66" s="357"/>
      <c r="J66" s="363"/>
      <c r="K66" s="357"/>
      <c r="L66" s="363"/>
      <c r="M66" s="357"/>
      <c r="N66" s="363"/>
      <c r="O66" s="357"/>
      <c r="P66" s="363"/>
      <c r="Q66" s="357"/>
      <c r="R66" s="363"/>
      <c r="S66" s="362"/>
      <c r="T66" s="363"/>
      <c r="U66" s="363"/>
      <c r="V66" s="363"/>
      <c r="W66" s="357"/>
      <c r="X66" s="363"/>
      <c r="Y66" s="362"/>
      <c r="Z66" s="363"/>
      <c r="AA66" s="363"/>
      <c r="AB66" s="363"/>
      <c r="AC66" s="401"/>
      <c r="AD66" s="363"/>
      <c r="AE66" s="410" t="s">
        <v>26</v>
      </c>
      <c r="AF66" s="411" t="s">
        <v>26</v>
      </c>
      <c r="AG66" s="411" t="s">
        <v>26</v>
      </c>
      <c r="AH66" s="411" t="s">
        <v>26</v>
      </c>
      <c r="AI66" s="401">
        <f>AI65/AC65-1</f>
        <v>0.15384615384615374</v>
      </c>
      <c r="AJ66" s="363"/>
      <c r="AK66" s="410">
        <f>AK65/AE65-1</f>
        <v>-0.18181818181818177</v>
      </c>
      <c r="AL66" s="388">
        <f>AL65/AF65-1</f>
        <v>9.6000000000000085E-2</v>
      </c>
      <c r="AM66" s="388">
        <f>AM65/AG65-1</f>
        <v>0.39215686274509798</v>
      </c>
      <c r="AN66" s="388">
        <f>AN65/AH65-1</f>
        <v>1.1834862385321099</v>
      </c>
      <c r="AO66" s="401">
        <f>AO65/AI65-1</f>
        <v>0.37471264367816093</v>
      </c>
      <c r="AP66" s="363"/>
      <c r="AQ66" s="378">
        <f>AQ65/AK65-1</f>
        <v>1.5555555555555554</v>
      </c>
      <c r="AR66" s="388">
        <f>AR65/AL65-1</f>
        <v>0.32116788321167888</v>
      </c>
      <c r="AS66" s="388">
        <f>AS65/AM65-1</f>
        <v>0.57746478873239426</v>
      </c>
      <c r="AT66" s="388">
        <f>AT65/AN65-1</f>
        <v>0.23109243697478976</v>
      </c>
      <c r="AU66" s="401">
        <f>AU65/AO65-1</f>
        <v>0.51337792642140467</v>
      </c>
      <c r="AV66" s="363"/>
      <c r="AW66" s="378">
        <f>AW65/AQ65-1</f>
        <v>0.15942028985507251</v>
      </c>
      <c r="AX66" s="388">
        <f>AX65/AR65-1</f>
        <v>0.55248618784530379</v>
      </c>
      <c r="AY66" s="388">
        <f>AY65/AS65-1</f>
        <v>0.23660714285714279</v>
      </c>
      <c r="AZ66" s="388">
        <f>AZ65/AT65-1</f>
        <v>0.14675767918088733</v>
      </c>
      <c r="BA66" s="401">
        <f>BA65/AU65-1</f>
        <v>0.25303867403314917</v>
      </c>
      <c r="BB66" s="363"/>
      <c r="BC66" s="378">
        <f>BC65/AW65-1</f>
        <v>0.25</v>
      </c>
      <c r="BD66" s="388">
        <f>BD65/AX65-1</f>
        <v>-7.4733096085409345E-2</v>
      </c>
      <c r="BE66" s="388">
        <f>BE65/AY65-1</f>
        <v>0.53068592057761732</v>
      </c>
      <c r="BF66" s="423">
        <f>BF65/AZ65-1</f>
        <v>0.12500000000000022</v>
      </c>
      <c r="BG66" s="436">
        <f>BG65/BA65-1</f>
        <v>0.20105820105820116</v>
      </c>
      <c r="BH66" s="363"/>
      <c r="BI66" s="378">
        <f>BI65/BC65-1</f>
        <v>4.0000000000000036E-2</v>
      </c>
      <c r="BJ66" s="388">
        <f>BJ65/BD65-1</f>
        <v>0.42692307692307696</v>
      </c>
      <c r="BK66" s="388">
        <f>BK65/BE65-1</f>
        <v>-0.23349056603773577</v>
      </c>
      <c r="BL66" s="423">
        <f>BL65/BF65-1</f>
        <v>0.23280423280423235</v>
      </c>
      <c r="BM66" s="401">
        <f>BM65/BG65-1</f>
        <v>8.2232011747430223E-2</v>
      </c>
      <c r="BN66" s="363"/>
      <c r="BO66" s="378">
        <f>BO65/BI65-1</f>
        <v>0.11538461538461542</v>
      </c>
      <c r="BP66" s="388">
        <f>BP65/BJ65-1</f>
        <v>0.11590296495956864</v>
      </c>
      <c r="BQ66" s="388">
        <f>BQ65/BK65-1</f>
        <v>0.23076923076923084</v>
      </c>
      <c r="BR66" s="423">
        <f>BR65/BL65-1</f>
        <v>-0.21244635193133032</v>
      </c>
      <c r="BS66" s="401">
        <f>BS65/BM65-1</f>
        <v>3.7313432835820892E-2</v>
      </c>
      <c r="BT66" s="363"/>
      <c r="BU66" s="378">
        <f>BU65/BO65-1</f>
        <v>-0.20977011494252884</v>
      </c>
      <c r="BV66" s="388">
        <f>BV67+BV68</f>
        <v>-0.24766666666666665</v>
      </c>
      <c r="BW66" s="424">
        <f>BW65/BQ65-1</f>
        <v>-0.17749999999999999</v>
      </c>
      <c r="BX66" s="423">
        <f>BX65/BR65-1</f>
        <v>0.15803814713896447</v>
      </c>
      <c r="BY66" s="436">
        <f>BY65/BS65-1</f>
        <v>-0.1255722694571616</v>
      </c>
      <c r="BZ66" s="363"/>
      <c r="CA66" s="378">
        <f>CA65/BU65-1</f>
        <v>-1.0909090909090979E-2</v>
      </c>
      <c r="CB66" s="424">
        <f>CB65/BV65-1</f>
        <v>-7.4675324675324672E-2</v>
      </c>
      <c r="CC66" s="424">
        <f>CC65/BW65-1</f>
        <v>7.9027355623100259E-2</v>
      </c>
      <c r="CD66" s="391">
        <f>CD65/BX65-1</f>
        <v>-8.2352941176470407E-2</v>
      </c>
      <c r="CE66" s="401">
        <f>CE65/BY65-1</f>
        <v>-2.6178010471203939E-2</v>
      </c>
      <c r="CF66" s="363"/>
      <c r="CG66" s="380">
        <f>CG67+CG68</f>
        <v>0.47865000000000002</v>
      </c>
      <c r="CH66" s="423">
        <f>CH67+CH68</f>
        <v>0.89000000000000035</v>
      </c>
      <c r="CI66" s="423">
        <f>CI67+CI68</f>
        <v>0.26502816901408449</v>
      </c>
      <c r="CJ66" s="391">
        <f>CJ67+CJ68</f>
        <v>0.30902564102564101</v>
      </c>
      <c r="CK66" s="401">
        <f>CK65/CE65-1</f>
        <v>0.4689093701996927</v>
      </c>
      <c r="CL66" s="363"/>
      <c r="CM66" s="380">
        <f>CM67+CM68</f>
        <v>9.6680741425468633E-2</v>
      </c>
      <c r="CN66" s="391">
        <f>CN67+CN68</f>
        <v>-6.9932416433707845E-2</v>
      </c>
      <c r="CO66" s="391">
        <f>CO67+CO68</f>
        <v>0.10494282135692851</v>
      </c>
      <c r="CP66" s="391">
        <f>CP67+CP68</f>
        <v>-2.3711537324101209E-2</v>
      </c>
      <c r="CQ66" s="401">
        <f>CQ65/CK65-1</f>
        <v>1.9492030958240925E-2</v>
      </c>
      <c r="CR66" s="363"/>
      <c r="CS66" s="380">
        <f>CS67+CS68</f>
        <v>-0.09</v>
      </c>
      <c r="CT66" s="391">
        <f>CT67+CT68</f>
        <v>7.0000000000000007E-2</v>
      </c>
      <c r="CU66" s="391">
        <f>CU67+CU68</f>
        <v>-0.12</v>
      </c>
      <c r="CV66" s="391">
        <f>CV67+CV68</f>
        <v>0.05</v>
      </c>
      <c r="CW66" s="401">
        <f>CW65/CQ65-1</f>
        <v>-2.0836687772400886E-2</v>
      </c>
      <c r="CX66" s="363"/>
      <c r="CY66" s="380">
        <f>CY67+CY68</f>
        <v>0.03</v>
      </c>
      <c r="CZ66" s="391">
        <f>CZ67+CZ68</f>
        <v>-0.12</v>
      </c>
      <c r="DA66" s="391">
        <f>DA67+DA68</f>
        <v>0.08</v>
      </c>
      <c r="DB66" s="391">
        <f>DB67+DB68</f>
        <v>-0.05</v>
      </c>
      <c r="DC66" s="401">
        <f>DC65/CW65-1</f>
        <v>-2.2411811498183609E-2</v>
      </c>
      <c r="DD66" s="363"/>
      <c r="DE66" s="380">
        <f>DE67+DE68</f>
        <v>-0.09</v>
      </c>
      <c r="DF66" s="391">
        <f>DF67+DF68</f>
        <v>7.0000000000000007E-2</v>
      </c>
      <c r="DG66" s="391">
        <f>DG67+DG68</f>
        <v>-0.12</v>
      </c>
      <c r="DH66" s="391">
        <f>DH67+DH68</f>
        <v>0.05</v>
      </c>
      <c r="DI66" s="401">
        <f>DI65/DC65-1</f>
        <v>-1.9947324013146694E-2</v>
      </c>
    </row>
    <row r="67" spans="1:153" s="355" customFormat="1" ht="11.25" customHeight="1">
      <c r="A67" s="417" t="s">
        <v>248</v>
      </c>
      <c r="B67" s="363"/>
      <c r="C67" s="357"/>
      <c r="D67" s="363"/>
      <c r="E67" s="357"/>
      <c r="F67" s="363"/>
      <c r="G67" s="357"/>
      <c r="H67" s="363"/>
      <c r="I67" s="357"/>
      <c r="J67" s="363"/>
      <c r="K67" s="357"/>
      <c r="L67" s="363"/>
      <c r="M67" s="357"/>
      <c r="N67" s="363"/>
      <c r="O67" s="357"/>
      <c r="P67" s="363"/>
      <c r="Q67" s="357"/>
      <c r="R67" s="363"/>
      <c r="S67" s="362"/>
      <c r="T67" s="363"/>
      <c r="U67" s="363"/>
      <c r="V67" s="363"/>
      <c r="W67" s="357"/>
      <c r="X67" s="363"/>
      <c r="Y67" s="362"/>
      <c r="Z67" s="363"/>
      <c r="AA67" s="363"/>
      <c r="AB67" s="363"/>
      <c r="AC67" s="406"/>
      <c r="AD67" s="363"/>
      <c r="AE67" s="410" t="s">
        <v>26</v>
      </c>
      <c r="AF67" s="411" t="s">
        <v>26</v>
      </c>
      <c r="AG67" s="411" t="s">
        <v>26</v>
      </c>
      <c r="AH67" s="411" t="s">
        <v>26</v>
      </c>
      <c r="AI67" s="406">
        <f>AI66-AI68</f>
        <v>7.1618037135278423E-2</v>
      </c>
      <c r="AJ67" s="363"/>
      <c r="AK67" s="410">
        <f>AK66-AK68</f>
        <v>-5.0505050505050442E-2</v>
      </c>
      <c r="AL67" s="391">
        <f>AL66-AL68</f>
        <v>0.25600000000000012</v>
      </c>
      <c r="AM67" s="391">
        <f>AM66-AM68</f>
        <v>0.46078431372549011</v>
      </c>
      <c r="AN67" s="391">
        <f>AN66-AN68</f>
        <v>0.96330275229357776</v>
      </c>
      <c r="AO67" s="406">
        <f>AO66-AO68</f>
        <v>0.41149425287356323</v>
      </c>
      <c r="AP67" s="363"/>
      <c r="AQ67" s="380">
        <f>AQ66-AQ68</f>
        <v>1.4074074074074072</v>
      </c>
      <c r="AR67" s="391">
        <f>AR66-AR68</f>
        <v>0.4087591240875913</v>
      </c>
      <c r="AS67" s="391">
        <f>AS66-AS68</f>
        <v>0.73943661971830976</v>
      </c>
      <c r="AT67" s="391">
        <f>AT66-AT68</f>
        <v>0.34033613445378136</v>
      </c>
      <c r="AU67" s="406">
        <f>AU66-AU68</f>
        <v>0.59531772575250841</v>
      </c>
      <c r="AV67" s="363"/>
      <c r="AW67" s="380">
        <f>AW66-AW68</f>
        <v>0.16908212560386476</v>
      </c>
      <c r="AX67" s="391">
        <f>AX66-AX68</f>
        <v>0.38121546961325958</v>
      </c>
      <c r="AY67" s="391">
        <f>AY66-AY68</f>
        <v>0.12946428571428564</v>
      </c>
      <c r="AZ67" s="391">
        <f>AZ66-AZ68</f>
        <v>0.15699658703071667</v>
      </c>
      <c r="BA67" s="406">
        <f>BA66-BA68</f>
        <v>0.19779005524861878</v>
      </c>
      <c r="BB67" s="363"/>
      <c r="BC67" s="380">
        <f>BC66-BC68</f>
        <v>0.3041666666666667</v>
      </c>
      <c r="BD67" s="391">
        <f>BD66-BD68</f>
        <v>3.2028469750889577E-2</v>
      </c>
      <c r="BE67" s="391">
        <f>BE66-BE68</f>
        <v>0.72563176895306858</v>
      </c>
      <c r="BF67" s="423">
        <f>BF66-BF68</f>
        <v>0.16666666666666688</v>
      </c>
      <c r="BG67" s="436">
        <f>((AW65*BC67)+(AX65*BD67)+(AY65*BE67)+(AZ65*BF67))/BA65</f>
        <v>0.29894179894179895</v>
      </c>
      <c r="BH67" s="363"/>
      <c r="BI67" s="380">
        <f>BI66-BI68</f>
        <v>3.3333333333333368E-2</v>
      </c>
      <c r="BJ67" s="391">
        <f>BJ66-BJ68</f>
        <v>0.40384615384615391</v>
      </c>
      <c r="BK67" s="391">
        <f>BK66-BK68</f>
        <v>-0.2735849056603773</v>
      </c>
      <c r="BL67" s="423">
        <f>BL66-BL68</f>
        <v>0.17460317460317415</v>
      </c>
      <c r="BM67" s="406">
        <f>BM66-BM68</f>
        <v>4.7723935389133602E-2</v>
      </c>
      <c r="BN67" s="363"/>
      <c r="BO67" s="380">
        <f>BO66-BO68</f>
        <v>7.3717948717948761E-2</v>
      </c>
      <c r="BP67" s="391">
        <f>BP66-BP68</f>
        <v>6.19946091644204E-2</v>
      </c>
      <c r="BQ67" s="391">
        <f>BQ66-BQ68</f>
        <v>0.22769230769230775</v>
      </c>
      <c r="BR67" s="423">
        <f>BR66-BR68</f>
        <v>-0.14163090128755351</v>
      </c>
      <c r="BS67" s="406">
        <f>BS66-BS68</f>
        <v>3.6635006784260502E-2</v>
      </c>
      <c r="BT67" s="363"/>
      <c r="BU67" s="380">
        <f>BU66-BU68</f>
        <v>-4.8850574712643979E-2</v>
      </c>
      <c r="BV67" s="391">
        <f>BV70+BV69</f>
        <v>-8.1000000000000003E-2</v>
      </c>
      <c r="BW67" s="423">
        <f>BW66-BW68</f>
        <v>-2.5999999999999995E-2</v>
      </c>
      <c r="BX67" s="423">
        <f>BX66-BX68</f>
        <v>0.317</v>
      </c>
      <c r="BY67" s="749">
        <f>BY66-BY68</f>
        <v>3.8385259501887009E-2</v>
      </c>
      <c r="BZ67" s="363"/>
      <c r="CA67" s="1901">
        <f>+CA69+CA70</f>
        <v>2E-3</v>
      </c>
      <c r="CB67" s="423">
        <f>CB66-CB68</f>
        <v>-7.4675324675324672E-2</v>
      </c>
      <c r="CC67" s="1342">
        <f>CC66-CC68</f>
        <v>7.7027355623100258E-2</v>
      </c>
      <c r="CD67" s="423">
        <f>CD66-CD68</f>
        <v>-6.9352941176470409E-2</v>
      </c>
      <c r="CE67" s="749">
        <f>CE66-CE68</f>
        <v>-2.0878077257177007E-2</v>
      </c>
      <c r="CF67" s="363"/>
      <c r="CG67" s="380">
        <f>CG70+CG69</f>
        <v>0.49865000000000004</v>
      </c>
      <c r="CH67" s="423">
        <f>CH70+CH69</f>
        <v>0.90800000000000036</v>
      </c>
      <c r="CI67" s="423">
        <f>CI70+CI69</f>
        <v>0.2410281690140845</v>
      </c>
      <c r="CJ67" s="391">
        <f>CJ70+CJ69</f>
        <v>0.25702564102564102</v>
      </c>
      <c r="CK67" s="401">
        <f>((CA65*CG67)+(CB65*CH67)+(CC65*CI67)+(CD65*CJ67))/CE65</f>
        <v>0.44563579109062984</v>
      </c>
      <c r="CL67" s="363"/>
      <c r="CM67" s="380">
        <f>CM70+CM69</f>
        <v>0.03</v>
      </c>
      <c r="CN67" s="391">
        <f>CN70+CN69</f>
        <v>-0.12</v>
      </c>
      <c r="CO67" s="391">
        <f>CO70+CO69</f>
        <v>0.08</v>
      </c>
      <c r="CP67" s="391">
        <f>CP70+CP69</f>
        <v>-0.05</v>
      </c>
      <c r="CQ67" s="401">
        <f>((CG65*CM67)+(CH65*CN67)+(CI65*CO67)+(CJ65*CP67))/CK65</f>
        <v>-2.1655198377010437E-2</v>
      </c>
      <c r="CR67" s="363"/>
      <c r="CS67" s="380">
        <f>CS70+CS69</f>
        <v>-0.09</v>
      </c>
      <c r="CT67" s="391">
        <f>CT70+CT69</f>
        <v>7.0000000000000007E-2</v>
      </c>
      <c r="CU67" s="391">
        <f>CU70+CU69</f>
        <v>-0.12</v>
      </c>
      <c r="CV67" s="391">
        <f>CV70+CV69</f>
        <v>0.05</v>
      </c>
      <c r="CW67" s="401">
        <f>((CM65*CS67)+(CN65*CT67)+(CO65*CU67)+(CP65*CV67))/CQ65</f>
        <v>-2.0836687772400948E-2</v>
      </c>
      <c r="CX67" s="363"/>
      <c r="CY67" s="380">
        <f>CY70+CY69</f>
        <v>0.03</v>
      </c>
      <c r="CZ67" s="391">
        <f>CZ70+CZ69</f>
        <v>-0.12</v>
      </c>
      <c r="DA67" s="391">
        <f>DA70+DA69</f>
        <v>0.08</v>
      </c>
      <c r="DB67" s="391">
        <f>DB70+DB69</f>
        <v>-0.05</v>
      </c>
      <c r="DC67" s="401">
        <f>((CS65*CY67)+(CT65*CZ67)+(CU65*DA67)+(CV65*DB67))/CW65</f>
        <v>-2.2411811498183647E-2</v>
      </c>
      <c r="DD67" s="363"/>
      <c r="DE67" s="380">
        <f>DE70+DE69</f>
        <v>-0.09</v>
      </c>
      <c r="DF67" s="391">
        <f>DF70+DF69</f>
        <v>7.0000000000000007E-2</v>
      </c>
      <c r="DG67" s="391">
        <f>DG70+DG69</f>
        <v>-0.12</v>
      </c>
      <c r="DH67" s="391">
        <f>DH70+DH69</f>
        <v>0.05</v>
      </c>
      <c r="DI67" s="401">
        <f>((CY65*DE67)+(CZ65*DF67)+(DA65*DG67)+(DB65*DH67))/DC65</f>
        <v>-1.9947324013146719E-2</v>
      </c>
    </row>
    <row r="68" spans="1:153" s="355" customFormat="1" ht="11.25" customHeight="1">
      <c r="A68" s="417" t="s">
        <v>249</v>
      </c>
      <c r="B68" s="363"/>
      <c r="C68" s="357"/>
      <c r="D68" s="363"/>
      <c r="E68" s="357"/>
      <c r="F68" s="363"/>
      <c r="G68" s="357"/>
      <c r="H68" s="363"/>
      <c r="I68" s="357"/>
      <c r="J68" s="363"/>
      <c r="K68" s="357"/>
      <c r="L68" s="363"/>
      <c r="M68" s="357"/>
      <c r="N68" s="363"/>
      <c r="O68" s="357"/>
      <c r="P68" s="363"/>
      <c r="Q68" s="357"/>
      <c r="R68" s="363"/>
      <c r="S68" s="362"/>
      <c r="T68" s="363"/>
      <c r="U68" s="363"/>
      <c r="V68" s="363"/>
      <c r="W68" s="357"/>
      <c r="X68" s="363"/>
      <c r="Y68" s="362"/>
      <c r="Z68" s="363"/>
      <c r="AA68" s="363"/>
      <c r="AB68" s="363"/>
      <c r="AC68" s="575"/>
      <c r="AD68" s="363"/>
      <c r="AE68" s="410" t="s">
        <v>26</v>
      </c>
      <c r="AF68" s="411" t="s">
        <v>26</v>
      </c>
      <c r="AG68" s="411" t="s">
        <v>26</v>
      </c>
      <c r="AH68" s="411" t="s">
        <v>26</v>
      </c>
      <c r="AI68" s="575">
        <f>3.1/AC65</f>
        <v>8.2228116710875321E-2</v>
      </c>
      <c r="AJ68" s="363"/>
      <c r="AK68" s="701">
        <f>(-3.3+2)/AE65</f>
        <v>-0.13131313131313133</v>
      </c>
      <c r="AL68" s="702">
        <f>-2/AF65</f>
        <v>-0.16</v>
      </c>
      <c r="AM68" s="702">
        <f>-0.7/AG65</f>
        <v>-6.8627450980392163E-2</v>
      </c>
      <c r="AN68" s="388">
        <f>((AI65*AO68)-(AE65*AK68)-(AF65*AL68)-(AG65*AM68))/AH65</f>
        <v>0.22018348623853207</v>
      </c>
      <c r="AO68" s="575">
        <f>-1.6/AI65</f>
        <v>-3.6781609195402298E-2</v>
      </c>
      <c r="AP68" s="363"/>
      <c r="AQ68" s="653">
        <f>1.2/AK65</f>
        <v>0.14814814814814814</v>
      </c>
      <c r="AR68" s="654">
        <f>-1.2/AL65</f>
        <v>-8.7591240875912399E-2</v>
      </c>
      <c r="AS68" s="654">
        <f>-2.3/AM65</f>
        <v>-0.1619718309859155</v>
      </c>
      <c r="AT68" s="388">
        <f>((AO65*AU68)-(AK65*AQ68)-(AL65*AR68)-(AM65*AS68))/AN65</f>
        <v>-0.1092436974789916</v>
      </c>
      <c r="AU68" s="575">
        <f>-4.9/AO65</f>
        <v>-8.193979933110368E-2</v>
      </c>
      <c r="AV68" s="363"/>
      <c r="AW68" s="653">
        <f>-0.2/AQ65</f>
        <v>-9.6618357487922718E-3</v>
      </c>
      <c r="AX68" s="654">
        <f>3.1/AR65</f>
        <v>0.17127071823204418</v>
      </c>
      <c r="AY68" s="654">
        <f>2.4/AS65</f>
        <v>0.10714285714285715</v>
      </c>
      <c r="AZ68" s="388">
        <f>((AU65*BA68)-(AQ65*AW68)-(AR65*AX68)-(AS65*AY68))/AT65</f>
        <v>-1.023890784982933E-2</v>
      </c>
      <c r="BA68" s="575">
        <f>5/AU65</f>
        <v>5.5248618784530384E-2</v>
      </c>
      <c r="BB68" s="363"/>
      <c r="BC68" s="653">
        <f>-1.3/AW65</f>
        <v>-5.4166666666666669E-2</v>
      </c>
      <c r="BD68" s="654">
        <f>-3/AX65</f>
        <v>-0.10676156583629892</v>
      </c>
      <c r="BE68" s="654">
        <f>-5.4/AY65</f>
        <v>-0.19494584837545129</v>
      </c>
      <c r="BF68" s="424">
        <f>-1.4/AZ65</f>
        <v>-4.1666666666666664E-2</v>
      </c>
      <c r="BG68" s="1142">
        <f>-11.1/BA65</f>
        <v>-9.7883597883597878E-2</v>
      </c>
      <c r="BH68" s="353"/>
      <c r="BI68" s="1451">
        <f>0.2/BC65</f>
        <v>6.6666666666666671E-3</v>
      </c>
      <c r="BJ68" s="422">
        <f>0.6/BD65</f>
        <v>2.3076923076923075E-2</v>
      </c>
      <c r="BK68" s="422">
        <f>1.7/BE65</f>
        <v>4.0094339622641507E-2</v>
      </c>
      <c r="BL68" s="1549">
        <f>(4.7-0.2-0.6-1.7)/BF65</f>
        <v>5.8201058201058191E-2</v>
      </c>
      <c r="BM68" s="1142">
        <f>4.7/BG65</f>
        <v>3.450807635829662E-2</v>
      </c>
      <c r="BN68" s="363"/>
      <c r="BO68" s="653">
        <f>1.3/BI65</f>
        <v>4.1666666666666664E-2</v>
      </c>
      <c r="BP68" s="654">
        <f>2/BJ65</f>
        <v>5.3908355795148244E-2</v>
      </c>
      <c r="BQ68" s="654">
        <f>((-1.5)-(-1.6))/BK65</f>
        <v>3.0769230769230795E-3</v>
      </c>
      <c r="BR68" s="1350">
        <f>(0.1-(1.3+2+0.1))/BL65</f>
        <v>-7.0815450643776826E-2</v>
      </c>
      <c r="BS68" s="1142">
        <f>((-25.4)-(-25.5))/BM65</f>
        <v>6.7842605156038952E-4</v>
      </c>
      <c r="BT68" s="363"/>
      <c r="BU68" s="653">
        <f>((-46.8)-(-41.2))/BO65</f>
        <v>-0.16091954022988486</v>
      </c>
      <c r="BV68" s="654">
        <f>((-52.6)-(-45.7))/BP65</f>
        <v>-0.16666666666666663</v>
      </c>
      <c r="BW68" s="422">
        <f>BW66-BW70</f>
        <v>-0.1515</v>
      </c>
      <c r="BX68" s="422">
        <f>BX66-BX70</f>
        <v>-0.15896185286103554</v>
      </c>
      <c r="BY68" s="1142">
        <f>BY66-BY70-BY69</f>
        <v>-0.16395752895904861</v>
      </c>
      <c r="BZ68" s="363"/>
      <c r="CA68" s="1899">
        <f>+CA66-CA67</f>
        <v>-1.2909090909090979E-2</v>
      </c>
      <c r="CB68" s="1917">
        <v>0</v>
      </c>
      <c r="CC68" s="1321">
        <f>CC78</f>
        <v>2E-3</v>
      </c>
      <c r="CD68" s="727">
        <f>CD78</f>
        <v>-1.2999999999999999E-2</v>
      </c>
      <c r="CE68" s="826">
        <f>CE78</f>
        <v>-5.2999332140269313E-3</v>
      </c>
      <c r="CF68" s="363"/>
      <c r="CG68" s="827">
        <f>CG78</f>
        <v>-0.02</v>
      </c>
      <c r="CH68" s="1321">
        <f>CH78</f>
        <v>-1.7999999999999999E-2</v>
      </c>
      <c r="CI68" s="2046">
        <f>CI78</f>
        <v>2.4E-2</v>
      </c>
      <c r="CJ68" s="1917">
        <f>CJ78</f>
        <v>5.1999999999999998E-2</v>
      </c>
      <c r="CK68" s="1927">
        <f>CK78</f>
        <v>1.2232731334946935E-2</v>
      </c>
      <c r="CL68" s="363"/>
      <c r="CM68" s="1899">
        <f>CM78</f>
        <v>6.6680741425468634E-2</v>
      </c>
      <c r="CN68" s="1917">
        <f>CN78</f>
        <v>5.0067583566292144E-2</v>
      </c>
      <c r="CO68" s="1917">
        <f>CO78</f>
        <v>2.4942821356928498E-2</v>
      </c>
      <c r="CP68" s="1917">
        <f>CP78</f>
        <v>2.6288462675898794E-2</v>
      </c>
      <c r="CQ68" s="1927">
        <f>CQ78</f>
        <v>4.0347749324725082E-2</v>
      </c>
      <c r="CR68" s="363"/>
      <c r="CS68" s="1899">
        <f>CS78</f>
        <v>0</v>
      </c>
      <c r="CT68" s="1917">
        <f>CT78</f>
        <v>0</v>
      </c>
      <c r="CU68" s="1917">
        <f>CU78</f>
        <v>0</v>
      </c>
      <c r="CV68" s="1917">
        <f>CV78</f>
        <v>0</v>
      </c>
      <c r="CW68" s="1927">
        <f>CW78</f>
        <v>0</v>
      </c>
      <c r="CX68" s="363"/>
      <c r="CY68" s="1899">
        <f>CY78</f>
        <v>0</v>
      </c>
      <c r="CZ68" s="1917">
        <f>CZ78</f>
        <v>0</v>
      </c>
      <c r="DA68" s="1917">
        <f>DA78</f>
        <v>0</v>
      </c>
      <c r="DB68" s="1917">
        <f>DB78</f>
        <v>0</v>
      </c>
      <c r="DC68" s="1927">
        <f>DC78</f>
        <v>0</v>
      </c>
      <c r="DD68" s="363"/>
      <c r="DE68" s="1899">
        <f>DE78</f>
        <v>0</v>
      </c>
      <c r="DF68" s="1917">
        <f>DF78</f>
        <v>0</v>
      </c>
      <c r="DG68" s="1917">
        <f>DG78</f>
        <v>0</v>
      </c>
      <c r="DH68" s="1917">
        <f>DH78</f>
        <v>0</v>
      </c>
      <c r="DI68" s="1927">
        <f>DI78</f>
        <v>0</v>
      </c>
      <c r="DJ68" s="353"/>
      <c r="DK68" s="353"/>
      <c r="DL68" s="353"/>
      <c r="DM68" s="353"/>
      <c r="DN68" s="353"/>
      <c r="DO68" s="353"/>
      <c r="DP68" s="353"/>
      <c r="DQ68" s="353"/>
      <c r="DR68" s="353"/>
      <c r="DS68" s="353"/>
      <c r="DT68" s="353"/>
      <c r="DU68" s="353"/>
      <c r="DV68" s="353"/>
      <c r="DW68" s="353"/>
      <c r="DX68" s="353"/>
      <c r="DY68" s="353"/>
      <c r="DZ68" s="353"/>
      <c r="EA68" s="353"/>
      <c r="EB68" s="353"/>
      <c r="EC68" s="353"/>
      <c r="ED68" s="353"/>
      <c r="EE68" s="353"/>
      <c r="EF68" s="353"/>
      <c r="EG68" s="353"/>
      <c r="EH68" s="353"/>
      <c r="EI68" s="353"/>
      <c r="EJ68" s="353"/>
      <c r="EK68" s="353"/>
      <c r="EL68" s="353"/>
      <c r="EM68" s="353"/>
      <c r="EN68" s="353"/>
      <c r="EO68" s="353"/>
      <c r="EP68" s="353"/>
      <c r="EQ68" s="353"/>
      <c r="ER68" s="353"/>
      <c r="ES68" s="353"/>
      <c r="ET68" s="353"/>
      <c r="EU68" s="353"/>
      <c r="EV68" s="353"/>
      <c r="EW68" s="353"/>
    </row>
    <row r="69" spans="1:153" s="69" customFormat="1" ht="11.25" customHeight="1">
      <c r="A69" s="417" t="s">
        <v>131</v>
      </c>
      <c r="B69" s="487"/>
      <c r="C69" s="824"/>
      <c r="D69" s="487"/>
      <c r="E69" s="824"/>
      <c r="F69" s="487"/>
      <c r="G69" s="824"/>
      <c r="H69" s="487"/>
      <c r="I69" s="824"/>
      <c r="J69" s="487"/>
      <c r="K69" s="824"/>
      <c r="L69" s="487"/>
      <c r="M69" s="824"/>
      <c r="N69" s="487"/>
      <c r="O69" s="824"/>
      <c r="P69" s="487"/>
      <c r="Q69" s="824"/>
      <c r="R69" s="487"/>
      <c r="S69" s="825"/>
      <c r="T69" s="487"/>
      <c r="U69" s="487"/>
      <c r="V69" s="487"/>
      <c r="W69" s="824"/>
      <c r="X69" s="487"/>
      <c r="Y69" s="825"/>
      <c r="Z69" s="487"/>
      <c r="AA69" s="487"/>
      <c r="AB69" s="487"/>
      <c r="AC69" s="826"/>
      <c r="AD69" s="487"/>
      <c r="AE69" s="1318"/>
      <c r="AF69" s="1319"/>
      <c r="AG69" s="1319"/>
      <c r="AH69" s="1320"/>
      <c r="AI69" s="826">
        <f>+AI67-AI70</f>
        <v>-3.819628647215717E-4</v>
      </c>
      <c r="AJ69" s="487"/>
      <c r="AK69" s="1318">
        <f>+AK67-AK70</f>
        <v>-0.12650505050505045</v>
      </c>
      <c r="AL69" s="1319">
        <f>+AL67-AL70</f>
        <v>0</v>
      </c>
      <c r="AM69" s="1319">
        <f>+AM67-AM70</f>
        <v>-2.1568627450990752E-4</v>
      </c>
      <c r="AN69" s="1321">
        <f>+AN67-AN70</f>
        <v>0.3788993909490399</v>
      </c>
      <c r="AO69" s="826">
        <f>+AO67-AO70</f>
        <v>4.9425287356325009E-4</v>
      </c>
      <c r="AP69" s="487"/>
      <c r="AQ69" s="1318">
        <f>+AQ67-AQ70</f>
        <v>4.0740740740718984E-4</v>
      </c>
      <c r="AR69" s="1319">
        <f>+AR67-AR70</f>
        <v>-2.4087591240867789E-4</v>
      </c>
      <c r="AS69" s="1319">
        <f>+AS67-AS70</f>
        <v>4.3661971830977198E-4</v>
      </c>
      <c r="AT69" s="727">
        <f>+AT67-AT70</f>
        <v>1.0336134453781343E-2</v>
      </c>
      <c r="AU69" s="826">
        <f>+AU67-AU70</f>
        <v>0.11331772575250842</v>
      </c>
      <c r="AV69" s="487"/>
      <c r="AW69" s="1318">
        <f>+AW67-AW70</f>
        <v>8.2125603864752206E-5</v>
      </c>
      <c r="AX69" s="1319">
        <f>+AX67-AX70</f>
        <v>2.1546961325957792E-4</v>
      </c>
      <c r="AY69" s="1319">
        <f>+AY67-AY70</f>
        <v>4.6428571428563936E-4</v>
      </c>
      <c r="AZ69" s="727">
        <f>+AZ67-AZ70</f>
        <v>9.9658703071667243E-4</v>
      </c>
      <c r="BA69" s="826">
        <f>+BA67-BA70</f>
        <v>-2.099447513812247E-4</v>
      </c>
      <c r="BB69" s="487"/>
      <c r="BC69" s="1318">
        <f>+BC67-BC70</f>
        <v>1.6666666666670382E-4</v>
      </c>
      <c r="BD69" s="1319">
        <f>+BD67-BD70</f>
        <v>2.8469750889575929E-5</v>
      </c>
      <c r="BE69" s="1319">
        <f>+BE67-BE70</f>
        <v>-3.6823104693139985E-4</v>
      </c>
      <c r="BF69" s="96">
        <v>0</v>
      </c>
      <c r="BG69" s="1275">
        <f>+BG67-BG70</f>
        <v>-5.820105820103505E-5</v>
      </c>
      <c r="BH69" s="585"/>
      <c r="BI69" s="315">
        <f>+BI67-BI70</f>
        <v>3.3333333333336601E-4</v>
      </c>
      <c r="BJ69" s="96">
        <f>+BJ67-BJ70</f>
        <v>3.846153846153888E-3</v>
      </c>
      <c r="BK69" s="96">
        <f>+BK67-BK70</f>
        <v>-2.5849056603772791E-3</v>
      </c>
      <c r="BL69" s="96">
        <f>+BL67-BL70</f>
        <v>6.0317460317416138E-4</v>
      </c>
      <c r="BM69" s="1275">
        <f>+BM67-BM70</f>
        <v>-2.7606461086639861E-4</v>
      </c>
      <c r="BN69" s="487"/>
      <c r="BO69" s="315">
        <f>+BO67-BO70</f>
        <v>-2.8205128205123497E-4</v>
      </c>
      <c r="BP69" s="96">
        <f>+BP67-BP70</f>
        <v>-1.0053908355796004E-3</v>
      </c>
      <c r="BQ69" s="96">
        <f>+BQ67-BQ70</f>
        <v>1.6923076923077429E-3</v>
      </c>
      <c r="BR69" s="96">
        <f>+BR67-BR70</f>
        <v>-6.3090128755352581E-4</v>
      </c>
      <c r="BS69" s="1275">
        <f>+BS67-BS70</f>
        <v>-2.2545503353084181E-2</v>
      </c>
      <c r="BT69" s="487"/>
      <c r="BU69" s="315">
        <f>+BU67-BU70</f>
        <v>-7.8505747126439776E-3</v>
      </c>
      <c r="BV69" s="654">
        <v>0</v>
      </c>
      <c r="BW69" s="422">
        <v>0</v>
      </c>
      <c r="BX69" s="1549">
        <v>0</v>
      </c>
      <c r="BY69" s="1275">
        <f>SUMPRODUCT(BU69:BX69,BU65:BX65)/BY65</f>
        <v>-1.6147404981130097E-3</v>
      </c>
      <c r="BZ69" s="487"/>
      <c r="CA69" s="1316">
        <v>0</v>
      </c>
      <c r="CB69" s="1261">
        <v>1.4E-2</v>
      </c>
      <c r="CC69" s="1261">
        <v>-3.9726443768997467E-3</v>
      </c>
      <c r="CD69" s="1261">
        <f>5.6/BX65</f>
        <v>0.13176470588235292</v>
      </c>
      <c r="CE69" s="100">
        <f>SUMPRODUCT(CA69:CD69,CA65:CD65)/CE65</f>
        <v>4.1450035745252092E-2</v>
      </c>
      <c r="CF69" s="487"/>
      <c r="CG69" s="1316">
        <v>0.46965000000000001</v>
      </c>
      <c r="CH69" s="1261">
        <v>0.47600000000000031</v>
      </c>
      <c r="CI69" s="1261">
        <f>12/CC65</f>
        <v>0.3380281690140845</v>
      </c>
      <c r="CJ69" s="1261">
        <f>5.5/CD65</f>
        <v>0.141025641025641</v>
      </c>
      <c r="CK69" s="100">
        <f>SUMPRODUCT(CG69:CJ69,CG65:CJ65)/CK65</f>
        <v>0.35199477452361461</v>
      </c>
      <c r="CL69" s="487"/>
      <c r="CM69" s="1316">
        <v>0</v>
      </c>
      <c r="CN69" s="1261">
        <v>0</v>
      </c>
      <c r="CO69" s="1261">
        <v>0</v>
      </c>
      <c r="CP69" s="1261">
        <v>0</v>
      </c>
      <c r="CQ69" s="826"/>
      <c r="CR69" s="487"/>
      <c r="CS69" s="1316">
        <v>0</v>
      </c>
      <c r="CT69" s="1261">
        <v>0</v>
      </c>
      <c r="CU69" s="1261">
        <v>0</v>
      </c>
      <c r="CV69" s="1261">
        <v>0</v>
      </c>
      <c r="CW69" s="826"/>
      <c r="CX69" s="487"/>
      <c r="CY69" s="1316">
        <v>0</v>
      </c>
      <c r="CZ69" s="1261">
        <v>0</v>
      </c>
      <c r="DA69" s="1261">
        <v>0</v>
      </c>
      <c r="DB69" s="1261">
        <v>0</v>
      </c>
      <c r="DC69" s="826"/>
      <c r="DD69" s="487"/>
      <c r="DE69" s="1316">
        <v>0</v>
      </c>
      <c r="DF69" s="1261">
        <v>0</v>
      </c>
      <c r="DG69" s="1261">
        <v>0</v>
      </c>
      <c r="DH69" s="1261">
        <v>0</v>
      </c>
      <c r="DI69" s="826"/>
      <c r="DJ69" s="585"/>
      <c r="DK69" s="585"/>
      <c r="DL69" s="585"/>
      <c r="DM69" s="585"/>
      <c r="DN69" s="585"/>
      <c r="DO69" s="585"/>
      <c r="DP69" s="585"/>
      <c r="DQ69" s="585"/>
      <c r="DR69" s="585"/>
      <c r="DS69" s="585"/>
      <c r="DT69" s="585"/>
      <c r="DU69" s="585"/>
      <c r="DV69" s="585"/>
      <c r="DW69" s="585"/>
      <c r="DX69" s="585"/>
      <c r="DY69" s="585"/>
      <c r="DZ69" s="585"/>
      <c r="EA69" s="585"/>
      <c r="EB69" s="585"/>
      <c r="EC69" s="585"/>
      <c r="ED69" s="585"/>
      <c r="EE69" s="585"/>
      <c r="EF69" s="585"/>
      <c r="EG69" s="585"/>
      <c r="EH69" s="585"/>
      <c r="EI69" s="585"/>
      <c r="EJ69" s="585"/>
      <c r="EK69" s="585"/>
      <c r="EL69" s="585"/>
      <c r="EM69" s="585"/>
      <c r="EN69" s="585"/>
      <c r="EO69" s="585"/>
      <c r="EP69" s="585"/>
      <c r="EQ69" s="585"/>
      <c r="ER69" s="585"/>
      <c r="ES69" s="585"/>
      <c r="ET69" s="585"/>
      <c r="EU69" s="585"/>
      <c r="EV69" s="585"/>
      <c r="EW69" s="585"/>
    </row>
    <row r="70" spans="1:153" s="355" customFormat="1" ht="11.25" customHeight="1">
      <c r="A70" s="370" t="s">
        <v>375</v>
      </c>
      <c r="B70" s="363"/>
      <c r="C70" s="357"/>
      <c r="D70" s="363"/>
      <c r="E70" s="357"/>
      <c r="F70" s="363"/>
      <c r="G70" s="357"/>
      <c r="H70" s="363"/>
      <c r="I70" s="357"/>
      <c r="J70" s="363"/>
      <c r="K70" s="357"/>
      <c r="L70" s="363"/>
      <c r="M70" s="357"/>
      <c r="N70" s="363"/>
      <c r="O70" s="357"/>
      <c r="P70" s="363"/>
      <c r="Q70" s="357"/>
      <c r="R70" s="363"/>
      <c r="S70" s="362"/>
      <c r="T70" s="363"/>
      <c r="U70" s="363"/>
      <c r="V70" s="363"/>
      <c r="W70" s="357"/>
      <c r="X70" s="363"/>
      <c r="Y70" s="362"/>
      <c r="Z70" s="363"/>
      <c r="AA70" s="363"/>
      <c r="AB70" s="363"/>
      <c r="AC70" s="946">
        <v>0.125</v>
      </c>
      <c r="AD70" s="947"/>
      <c r="AE70" s="701">
        <v>-5.7000000000000002E-2</v>
      </c>
      <c r="AF70" s="702">
        <v>0.18</v>
      </c>
      <c r="AG70" s="702">
        <v>-9.5000000000000001E-2</v>
      </c>
      <c r="AH70" s="1261">
        <v>0.22158715596330267</v>
      </c>
      <c r="AI70" s="1142">
        <v>7.1999999999999995E-2</v>
      </c>
      <c r="AJ70" s="947"/>
      <c r="AK70" s="701">
        <v>7.5999999999999998E-2</v>
      </c>
      <c r="AL70" s="702">
        <v>0.25600000000000001</v>
      </c>
      <c r="AM70" s="702">
        <v>0.46100000000000002</v>
      </c>
      <c r="AN70" s="1302">
        <v>0.58440336134453785</v>
      </c>
      <c r="AO70" s="1303">
        <v>0.41099999999999998</v>
      </c>
      <c r="AP70" s="947"/>
      <c r="AQ70" s="701">
        <v>1.407</v>
      </c>
      <c r="AR70" s="702">
        <v>0.40899999999999997</v>
      </c>
      <c r="AS70" s="702">
        <v>0.73899999999999999</v>
      </c>
      <c r="AT70" s="702">
        <v>0.33</v>
      </c>
      <c r="AU70" s="575">
        <v>0.48199999999999998</v>
      </c>
      <c r="AV70" s="947"/>
      <c r="AW70" s="701">
        <v>0.16900000000000001</v>
      </c>
      <c r="AX70" s="702">
        <v>0.38100000000000001</v>
      </c>
      <c r="AY70" s="702">
        <v>0.129</v>
      </c>
      <c r="AZ70" s="702">
        <v>0.156</v>
      </c>
      <c r="BA70" s="575">
        <v>0.19800000000000001</v>
      </c>
      <c r="BB70" s="947"/>
      <c r="BC70" s="701">
        <v>0.30399999999999999</v>
      </c>
      <c r="BD70" s="702">
        <v>3.2000000000000001E-2</v>
      </c>
      <c r="BE70" s="702">
        <v>0.72599999999999998</v>
      </c>
      <c r="BF70" s="1261">
        <f>+BF67</f>
        <v>0.16666666666666688</v>
      </c>
      <c r="BG70" s="1142">
        <v>0.29899999999999999</v>
      </c>
      <c r="BH70" s="1551"/>
      <c r="BI70" s="1316">
        <v>3.3000000000000002E-2</v>
      </c>
      <c r="BJ70" s="1261">
        <v>0.4</v>
      </c>
      <c r="BK70" s="1261">
        <v>-0.27100000000000002</v>
      </c>
      <c r="BL70" s="1261">
        <v>0.17399999999999999</v>
      </c>
      <c r="BM70" s="575">
        <v>4.8000000000000001E-2</v>
      </c>
      <c r="BN70" s="363"/>
      <c r="BO70" s="1316">
        <v>7.3999999999999996E-2</v>
      </c>
      <c r="BP70" s="1446">
        <v>6.3E-2</v>
      </c>
      <c r="BQ70" s="654">
        <v>0.22600000000000001</v>
      </c>
      <c r="BR70" s="702">
        <v>-0.14099999999999999</v>
      </c>
      <c r="BS70" s="1275">
        <f>SUMPRODUCT(BO70:BR70,BO65:BR65)/BS65</f>
        <v>5.9180510137344683E-2</v>
      </c>
      <c r="BT70" s="363"/>
      <c r="BU70" s="1316">
        <v>-4.1000000000000002E-2</v>
      </c>
      <c r="BV70" s="1446">
        <v>-8.1000000000000003E-2</v>
      </c>
      <c r="BW70" s="1446">
        <v>-2.5999999999999999E-2</v>
      </c>
      <c r="BX70" s="1261">
        <v>0.317</v>
      </c>
      <c r="BY70" s="750">
        <v>0.04</v>
      </c>
      <c r="BZ70" s="363"/>
      <c r="CA70" s="653">
        <v>2E-3</v>
      </c>
      <c r="CB70" s="654">
        <f>+CB67-CB69</f>
        <v>-8.8675324675324671E-2</v>
      </c>
      <c r="CC70" s="1261">
        <v>8.1000000000000003E-2</v>
      </c>
      <c r="CD70" s="654">
        <v>-0.2016</v>
      </c>
      <c r="CE70" s="401">
        <f>+CE66-CE68-CE69</f>
        <v>-6.2328113002429103E-2</v>
      </c>
      <c r="CF70" s="363"/>
      <c r="CG70" s="1316">
        <v>2.9000000000000001E-2</v>
      </c>
      <c r="CH70" s="1261">
        <v>0.432</v>
      </c>
      <c r="CI70" s="1261">
        <v>-9.7000000000000003E-2</v>
      </c>
      <c r="CJ70" s="1261">
        <v>0.11600000000000001</v>
      </c>
      <c r="CK70" s="401">
        <f>+CK66-CK68-CK69</f>
        <v>0.10468186434113114</v>
      </c>
      <c r="CL70" s="363"/>
      <c r="CM70" s="1316">
        <v>0.03</v>
      </c>
      <c r="CN70" s="1261">
        <v>-0.12</v>
      </c>
      <c r="CO70" s="1261">
        <v>0.08</v>
      </c>
      <c r="CP70" s="1261">
        <v>-0.05</v>
      </c>
      <c r="CQ70" s="401">
        <f>+CQ66-CQ68-CQ69</f>
        <v>-2.0855718366484158E-2</v>
      </c>
      <c r="CR70" s="363"/>
      <c r="CS70" s="1316">
        <v>-0.09</v>
      </c>
      <c r="CT70" s="1261">
        <v>7.0000000000000007E-2</v>
      </c>
      <c r="CU70" s="1261">
        <v>-0.12</v>
      </c>
      <c r="CV70" s="1261">
        <v>0.05</v>
      </c>
      <c r="CW70" s="401">
        <f>+CW66-CW68-CW69</f>
        <v>-2.0836687772400886E-2</v>
      </c>
      <c r="CX70" s="363"/>
      <c r="CY70" s="1316">
        <v>0.03</v>
      </c>
      <c r="CZ70" s="1261">
        <v>-0.12</v>
      </c>
      <c r="DA70" s="1261">
        <v>0.08</v>
      </c>
      <c r="DB70" s="1261">
        <v>-0.05</v>
      </c>
      <c r="DC70" s="401">
        <f>+DC66-DC68-DC69</f>
        <v>-2.2411811498183609E-2</v>
      </c>
      <c r="DD70" s="363"/>
      <c r="DE70" s="1316">
        <v>-0.09</v>
      </c>
      <c r="DF70" s="1261">
        <v>7.0000000000000007E-2</v>
      </c>
      <c r="DG70" s="1261">
        <v>-0.12</v>
      </c>
      <c r="DH70" s="1261">
        <v>0.05</v>
      </c>
      <c r="DI70" s="401">
        <f>+DI66-DI68-DI69</f>
        <v>-1.9947324013146694E-2</v>
      </c>
      <c r="DJ70" s="353"/>
      <c r="DK70" s="353"/>
      <c r="DL70" s="353"/>
      <c r="DM70" s="353"/>
      <c r="DN70" s="353"/>
      <c r="DO70" s="353"/>
      <c r="DP70" s="353"/>
      <c r="DQ70" s="353"/>
      <c r="DR70" s="353"/>
      <c r="DS70" s="353"/>
      <c r="DT70" s="353"/>
      <c r="DU70" s="353"/>
      <c r="DV70" s="353"/>
      <c r="DW70" s="353"/>
      <c r="DX70" s="353"/>
      <c r="DY70" s="353"/>
      <c r="DZ70" s="353"/>
      <c r="EA70" s="353"/>
      <c r="EB70" s="353"/>
      <c r="EC70" s="353"/>
      <c r="ED70" s="353"/>
      <c r="EE70" s="353"/>
      <c r="EF70" s="353"/>
      <c r="EG70" s="353"/>
      <c r="EH70" s="353"/>
      <c r="EI70" s="353"/>
      <c r="EJ70" s="353"/>
      <c r="EK70" s="353"/>
      <c r="EL70" s="353"/>
      <c r="EM70" s="353"/>
      <c r="EN70" s="353"/>
      <c r="EO70" s="353"/>
      <c r="EP70" s="353"/>
      <c r="EQ70" s="353"/>
      <c r="ER70" s="353"/>
      <c r="ES70" s="353"/>
      <c r="ET70" s="353"/>
      <c r="EU70" s="353"/>
      <c r="EV70" s="353"/>
      <c r="EW70" s="353"/>
    </row>
    <row r="71" spans="1:153" s="355" customFormat="1" ht="11.25" customHeight="1">
      <c r="A71" s="370"/>
      <c r="B71" s="363"/>
      <c r="C71" s="357"/>
      <c r="D71" s="363"/>
      <c r="E71" s="357"/>
      <c r="F71" s="363"/>
      <c r="G71" s="357"/>
      <c r="H71" s="363"/>
      <c r="I71" s="357"/>
      <c r="J71" s="363"/>
      <c r="K71" s="357"/>
      <c r="L71" s="363"/>
      <c r="M71" s="357"/>
      <c r="N71" s="363"/>
      <c r="O71" s="357"/>
      <c r="P71" s="363"/>
      <c r="Q71" s="357"/>
      <c r="R71" s="363"/>
      <c r="S71" s="362"/>
      <c r="T71" s="363"/>
      <c r="U71" s="363"/>
      <c r="V71" s="363"/>
      <c r="W71" s="357"/>
      <c r="X71" s="363"/>
      <c r="Y71" s="362"/>
      <c r="Z71" s="363"/>
      <c r="AA71" s="363"/>
      <c r="AB71" s="363"/>
      <c r="AC71" s="946"/>
      <c r="AD71" s="947"/>
      <c r="AE71" s="701"/>
      <c r="AF71" s="702"/>
      <c r="AG71" s="702"/>
      <c r="AH71" s="1261"/>
      <c r="AI71" s="1142"/>
      <c r="AJ71" s="947"/>
      <c r="AK71" s="701"/>
      <c r="AL71" s="702"/>
      <c r="AM71" s="702"/>
      <c r="AN71" s="1302"/>
      <c r="AO71" s="1303"/>
      <c r="AP71" s="947"/>
      <c r="AQ71" s="701"/>
      <c r="AR71" s="702"/>
      <c r="AS71" s="702"/>
      <c r="AT71" s="702"/>
      <c r="AU71" s="575"/>
      <c r="AV71" s="947"/>
      <c r="AW71" s="701"/>
      <c r="AX71" s="702"/>
      <c r="AY71" s="702"/>
      <c r="AZ71" s="702"/>
      <c r="BA71" s="575"/>
      <c r="BB71" s="947"/>
      <c r="BC71" s="701"/>
      <c r="BD71" s="702"/>
      <c r="BE71" s="702"/>
      <c r="BF71" s="1261"/>
      <c r="BG71" s="1142"/>
      <c r="BH71" s="1551"/>
      <c r="BI71" s="1609"/>
      <c r="BJ71" s="1610"/>
      <c r="BK71" s="1610"/>
      <c r="BL71" s="751"/>
      <c r="BM71" s="738"/>
      <c r="BN71" s="363"/>
      <c r="BO71" s="378"/>
      <c r="BP71" s="388"/>
      <c r="BQ71" s="388"/>
      <c r="BR71" s="388"/>
      <c r="BS71" s="401"/>
      <c r="BT71" s="363"/>
      <c r="BU71" s="378"/>
      <c r="BV71" s="388"/>
      <c r="BW71" s="424"/>
      <c r="BX71" s="424"/>
      <c r="BY71" s="436"/>
      <c r="BZ71" s="363"/>
      <c r="CA71" s="378"/>
      <c r="CB71" s="388"/>
      <c r="CC71" s="388"/>
      <c r="CD71" s="388"/>
      <c r="CE71" s="401"/>
      <c r="CF71" s="363"/>
      <c r="CG71" s="378"/>
      <c r="CH71" s="424"/>
      <c r="CI71" s="424"/>
      <c r="CJ71" s="388"/>
      <c r="CK71" s="401"/>
      <c r="CL71" s="363"/>
      <c r="CM71" s="378"/>
      <c r="CN71" s="388"/>
      <c r="CO71" s="388"/>
      <c r="CP71" s="388"/>
      <c r="CQ71" s="401"/>
      <c r="CR71" s="363"/>
      <c r="CS71" s="378"/>
      <c r="CT71" s="388"/>
      <c r="CU71" s="388"/>
      <c r="CV71" s="388"/>
      <c r="CW71" s="401"/>
      <c r="CX71" s="363"/>
      <c r="CY71" s="378"/>
      <c r="CZ71" s="388"/>
      <c r="DA71" s="388"/>
      <c r="DB71" s="388"/>
      <c r="DC71" s="401"/>
      <c r="DD71" s="363"/>
      <c r="DE71" s="378"/>
      <c r="DF71" s="388"/>
      <c r="DG71" s="388"/>
      <c r="DH71" s="388"/>
      <c r="DI71" s="401"/>
      <c r="DJ71" s="353"/>
      <c r="DK71" s="353"/>
      <c r="DL71" s="353"/>
      <c r="DM71" s="353"/>
      <c r="DN71" s="353"/>
      <c r="DO71" s="353"/>
      <c r="DP71" s="353"/>
      <c r="DQ71" s="353"/>
      <c r="DR71" s="353"/>
      <c r="DS71" s="353"/>
      <c r="DT71" s="353"/>
      <c r="DU71" s="353"/>
      <c r="DV71" s="353"/>
      <c r="DW71" s="353"/>
      <c r="DX71" s="353"/>
      <c r="DY71" s="353"/>
      <c r="DZ71" s="353"/>
      <c r="EA71" s="353"/>
      <c r="EB71" s="353"/>
      <c r="EC71" s="353"/>
      <c r="ED71" s="353"/>
      <c r="EE71" s="353"/>
      <c r="EF71" s="353"/>
      <c r="EG71" s="353"/>
      <c r="EH71" s="353"/>
      <c r="EI71" s="353"/>
      <c r="EJ71" s="353"/>
      <c r="EK71" s="353"/>
      <c r="EL71" s="353"/>
      <c r="EM71" s="353"/>
      <c r="EN71" s="353"/>
      <c r="EO71" s="353"/>
      <c r="EP71" s="353"/>
      <c r="EQ71" s="353"/>
      <c r="ER71" s="353"/>
      <c r="ES71" s="353"/>
      <c r="ET71" s="353"/>
      <c r="EU71" s="353"/>
      <c r="EV71" s="353"/>
      <c r="EW71" s="353"/>
    </row>
    <row r="72" spans="1:153" s="355" customFormat="1" ht="11.25" customHeight="1">
      <c r="A72" s="372" t="s">
        <v>17</v>
      </c>
      <c r="B72" s="360"/>
      <c r="C72" s="565"/>
      <c r="D72" s="559"/>
      <c r="E72" s="565"/>
      <c r="F72" s="559"/>
      <c r="G72" s="565"/>
      <c r="H72" s="559"/>
      <c r="I72" s="565"/>
      <c r="J72" s="559"/>
      <c r="K72" s="565"/>
      <c r="L72" s="559"/>
      <c r="M72" s="565"/>
      <c r="N72" s="559"/>
      <c r="O72" s="565"/>
      <c r="P72" s="559"/>
      <c r="Q72" s="565"/>
      <c r="R72" s="559"/>
      <c r="S72" s="372"/>
      <c r="T72" s="559"/>
      <c r="U72" s="559"/>
      <c r="V72" s="559"/>
      <c r="W72" s="565"/>
      <c r="X72" s="559"/>
      <c r="Y72" s="372"/>
      <c r="Z72" s="559"/>
      <c r="AA72" s="559"/>
      <c r="AB72" s="559"/>
      <c r="AC72" s="1138">
        <v>-6.2</v>
      </c>
      <c r="AD72" s="559"/>
      <c r="AE72" s="830">
        <f>-6.1-AF72</f>
        <v>-2.0999999999999996</v>
      </c>
      <c r="AF72" s="1139">
        <v>-4</v>
      </c>
      <c r="AG72" s="1139">
        <v>-1.9</v>
      </c>
      <c r="AH72" s="831">
        <f>-10.5-AE72-AF72-AG72</f>
        <v>-2.5000000000000004</v>
      </c>
      <c r="AI72" s="683">
        <f>SUM(AE72:AH72)</f>
        <v>-10.5</v>
      </c>
      <c r="AJ72" s="559"/>
      <c r="AK72" s="1140">
        <v>-1.2</v>
      </c>
      <c r="AL72" s="1139">
        <v>-2.5</v>
      </c>
      <c r="AM72" s="1139">
        <v>-0.7</v>
      </c>
      <c r="AN72" s="831">
        <f>-8-AK72-AL72-AM72</f>
        <v>-3.5999999999999996</v>
      </c>
      <c r="AO72" s="683">
        <f>SUM(AK72:AN72)</f>
        <v>-8</v>
      </c>
      <c r="AP72" s="559"/>
      <c r="AQ72" s="1140">
        <v>-3.3</v>
      </c>
      <c r="AR72" s="1139">
        <v>-2.1</v>
      </c>
      <c r="AS72" s="1139">
        <v>-2.7</v>
      </c>
      <c r="AT72" s="831">
        <f>-10.7-AQ72-AR72-AS72</f>
        <v>-2.5999999999999988</v>
      </c>
      <c r="AU72" s="683">
        <f>SUM(AQ72:AT72)</f>
        <v>-10.7</v>
      </c>
      <c r="AV72" s="559"/>
      <c r="AW72" s="1140">
        <v>-2.8</v>
      </c>
      <c r="AX72" s="1139">
        <v>-4.8</v>
      </c>
      <c r="AY72" s="1139">
        <v>-3.9</v>
      </c>
      <c r="AZ72" s="831">
        <f>-15.8-AW72-AX72-AY72</f>
        <v>-4.2999999999999989</v>
      </c>
      <c r="BA72" s="683">
        <f>SUM(AW72:AZ72)</f>
        <v>-15.799999999999999</v>
      </c>
      <c r="BB72" s="650"/>
      <c r="BC72" s="1140">
        <v>-2.5</v>
      </c>
      <c r="BD72" s="1139">
        <v>-2.2999999999999998</v>
      </c>
      <c r="BE72" s="1139">
        <v>-3.5</v>
      </c>
      <c r="BF72" s="1611">
        <v>-2.6</v>
      </c>
      <c r="BG72" s="1612">
        <f>SUM(BC72:BF72)</f>
        <v>-10.9</v>
      </c>
      <c r="BH72" s="1352"/>
      <c r="BI72" s="1613">
        <v>-4.0999999999999996</v>
      </c>
      <c r="BJ72" s="1614">
        <v>-3.8</v>
      </c>
      <c r="BK72" s="1614">
        <v>-4.0999999999999996</v>
      </c>
      <c r="BL72" s="1615">
        <v>-5.5</v>
      </c>
      <c r="BM72" s="683">
        <f>SUM(BI72:BL72)</f>
        <v>-17.5</v>
      </c>
      <c r="BN72" s="559"/>
      <c r="BO72" s="1140">
        <v>-5</v>
      </c>
      <c r="BP72" s="1139">
        <v>-5.5</v>
      </c>
      <c r="BQ72" s="1139">
        <v>-3.6</v>
      </c>
      <c r="BR72" s="831">
        <f>-18.6-SUM(BO72:BQ72)</f>
        <v>-4.5000000000000018</v>
      </c>
      <c r="BS72" s="683">
        <f>SUM(BO72:BR72)</f>
        <v>-18.600000000000001</v>
      </c>
      <c r="BT72" s="559"/>
      <c r="BU72" s="1140">
        <v>-1.5</v>
      </c>
      <c r="BV72" s="1139">
        <v>-1</v>
      </c>
      <c r="BW72" s="1614">
        <v>-3.4</v>
      </c>
      <c r="BX72" s="1615">
        <v>-3.4</v>
      </c>
      <c r="BY72" s="1612">
        <f>SUM(BU72:BX72)</f>
        <v>-9.3000000000000007</v>
      </c>
      <c r="BZ72" s="559"/>
      <c r="CA72" s="1140">
        <v>-2.2000000000000002</v>
      </c>
      <c r="CB72" s="1139">
        <v>-2.5</v>
      </c>
      <c r="CC72" s="1614">
        <v>-3.1</v>
      </c>
      <c r="CD72" s="2013">
        <f>-11.5-SUM(CA72:CC72)</f>
        <v>-3.6999999999999993</v>
      </c>
      <c r="CE72" s="683">
        <f>SUM(CA72:CD72)</f>
        <v>-11.5</v>
      </c>
      <c r="CF72" s="559"/>
      <c r="CG72" s="1140">
        <v>-1.6</v>
      </c>
      <c r="CH72" s="2224">
        <v>-1.6</v>
      </c>
      <c r="CI72" s="1614">
        <v>-1.1000000000000001</v>
      </c>
      <c r="CJ72" s="2013">
        <v>-4.8</v>
      </c>
      <c r="CK72" s="683">
        <f>SUM(CG72:CJ72)</f>
        <v>-9.1000000000000014</v>
      </c>
      <c r="CL72" s="559"/>
      <c r="CM72" s="649">
        <f>SUM(CM53,CM65)*CM73</f>
        <v>-3.4167515493836058</v>
      </c>
      <c r="CN72" s="650">
        <f>SUM(CN53,CN65)*CN73</f>
        <v>-3.5022928693481052</v>
      </c>
      <c r="CO72" s="650">
        <f>SUM(CO53,CO65)*CO73</f>
        <v>-3.6370950984020833</v>
      </c>
      <c r="CP72" s="650">
        <f>SUM(CP53,CP65)*CP73</f>
        <v>-4.4982879982602997</v>
      </c>
      <c r="CQ72" s="683">
        <f>SUM(CM72:CP72)</f>
        <v>-15.054427515394092</v>
      </c>
      <c r="CR72" s="559"/>
      <c r="CS72" s="649">
        <f>SUM(CS53,CS65)*CS73</f>
        <v>-3.4761500353956469</v>
      </c>
      <c r="CT72" s="650">
        <f>SUM(CT53,CT65)*CT73</f>
        <v>-3.6242270689820026</v>
      </c>
      <c r="CU72" s="650">
        <f>SUM(CU53,CU65)*CU73</f>
        <v>-3.6918491223991801</v>
      </c>
      <c r="CV72" s="650">
        <f>SUM(CV53,CV65)*CV73</f>
        <v>-4.716835459672704</v>
      </c>
      <c r="CW72" s="683">
        <f>SUM(CS72:CV72)</f>
        <v>-15.509061686449535</v>
      </c>
      <c r="CX72" s="559"/>
      <c r="CY72" s="649">
        <f>SUM(CY53,CY65)*CY73</f>
        <v>-3.569874250775749</v>
      </c>
      <c r="CZ72" s="650">
        <f>SUM(CZ53,CZ65)*CZ73</f>
        <v>-3.6604419574073122</v>
      </c>
      <c r="DA72" s="650">
        <f>SUM(DA53,DA65)*DA73</f>
        <v>-3.8199731092762028</v>
      </c>
      <c r="DB72" s="650">
        <f>SUM(DB53,DB65)*DB73</f>
        <v>-4.8067606144588355</v>
      </c>
      <c r="DC72" s="683">
        <f>SUM(CY72:DB72)</f>
        <v>-15.857049931918098</v>
      </c>
      <c r="DD72" s="559"/>
      <c r="DE72" s="649">
        <f>SUM(DE53,DE65)*DE73</f>
        <v>-3.6278801288512352</v>
      </c>
      <c r="DF72" s="650">
        <f>SUM(DF53,DF65)*DF73</f>
        <v>-3.7784052537969273</v>
      </c>
      <c r="DG72" s="650">
        <f>SUM(DG53,DG65)*DG73</f>
        <v>-3.8771378979107576</v>
      </c>
      <c r="DH72" s="650">
        <f>SUM(DH53,DH65)*DH73</f>
        <v>-4.9421252382710339</v>
      </c>
      <c r="DI72" s="683">
        <f>SUM(DE72:DH72)</f>
        <v>-16.225548518829953</v>
      </c>
      <c r="DJ72" s="353"/>
      <c r="DK72" s="353"/>
      <c r="DL72" s="353"/>
      <c r="DM72" s="353"/>
      <c r="DN72" s="353"/>
      <c r="DO72" s="353"/>
      <c r="DP72" s="353"/>
    </row>
    <row r="73" spans="1:153" s="69" customFormat="1" ht="11.25" customHeight="1">
      <c r="A73" s="369" t="s">
        <v>250</v>
      </c>
      <c r="B73" s="487"/>
      <c r="C73" s="824"/>
      <c r="D73" s="487"/>
      <c r="E73" s="824"/>
      <c r="F73" s="487"/>
      <c r="G73" s="824"/>
      <c r="H73" s="487"/>
      <c r="I73" s="824"/>
      <c r="J73" s="487"/>
      <c r="K73" s="824"/>
      <c r="L73" s="487"/>
      <c r="M73" s="824"/>
      <c r="N73" s="487"/>
      <c r="O73" s="824"/>
      <c r="P73" s="487"/>
      <c r="Q73" s="824"/>
      <c r="R73" s="487"/>
      <c r="S73" s="825"/>
      <c r="T73" s="487"/>
      <c r="U73" s="487"/>
      <c r="V73" s="487"/>
      <c r="W73" s="824"/>
      <c r="X73" s="487"/>
      <c r="Y73" s="825"/>
      <c r="Z73" s="487"/>
      <c r="AA73" s="487"/>
      <c r="AB73" s="487"/>
      <c r="AC73" s="826">
        <f>AC72/AC75</f>
        <v>-6.0054242541650532E-3</v>
      </c>
      <c r="AD73" s="487"/>
      <c r="AE73" s="827">
        <f>AE72/AE75</f>
        <v>-8.8124213176668034E-3</v>
      </c>
      <c r="AF73" s="727">
        <f>AF72/AF75</f>
        <v>-1.2841091492776886E-2</v>
      </c>
      <c r="AG73" s="727">
        <f>AG72/AG75</f>
        <v>-7.8479966955803393E-3</v>
      </c>
      <c r="AH73" s="727">
        <f>AH72/AH75</f>
        <v>-7.9314720812182771E-3</v>
      </c>
      <c r="AI73" s="826">
        <f>AI72/AI75</f>
        <v>-9.4842380995393376E-3</v>
      </c>
      <c r="AJ73" s="487"/>
      <c r="AK73" s="827">
        <f>AK72/AK75</f>
        <v>-5.2060737527114967E-3</v>
      </c>
      <c r="AL73" s="727">
        <f>AL72/AL75</f>
        <v>-9.9009900990099011E-3</v>
      </c>
      <c r="AM73" s="727">
        <f>AM72/AM75</f>
        <v>-2.6405130139569972E-3</v>
      </c>
      <c r="AN73" s="727">
        <f>AN72/AN75</f>
        <v>-9.8253275109170292E-3</v>
      </c>
      <c r="AO73" s="826">
        <f>AO72/AO75</f>
        <v>-7.1781067743382681E-3</v>
      </c>
      <c r="AP73" s="487"/>
      <c r="AQ73" s="827">
        <f>AQ72/AQ75</f>
        <v>-1.1883327331652862E-2</v>
      </c>
      <c r="AR73" s="727">
        <f>AR72/AR75</f>
        <v>-6.9790628115653048E-3</v>
      </c>
      <c r="AS73" s="727">
        <f>AS72/AS75</f>
        <v>-8.7040618955512589E-3</v>
      </c>
      <c r="AT73" s="727">
        <f>AT72/AT75</f>
        <v>-6.2484979572218179E-3</v>
      </c>
      <c r="AU73" s="826">
        <f>AU72/AU75</f>
        <v>-8.1998620583952787E-3</v>
      </c>
      <c r="AV73" s="487"/>
      <c r="AW73" s="827">
        <f>AW72/AW75</f>
        <v>-7.8431372549019607E-3</v>
      </c>
      <c r="AX73" s="727">
        <f>AX72/AX75</f>
        <v>-1.1964107676969092E-2</v>
      </c>
      <c r="AY73" s="727">
        <f>AY72/AY75</f>
        <v>-9.3212237093690253E-3</v>
      </c>
      <c r="AZ73" s="727">
        <f>AZ72/AZ75</f>
        <v>-9.0507261629130652E-3</v>
      </c>
      <c r="BA73" s="826">
        <f>BA72/BA75</f>
        <v>-9.5659017981473606E-3</v>
      </c>
      <c r="BB73" s="487"/>
      <c r="BC73" s="827">
        <f>BC72/BC75</f>
        <v>-6.1637080867850092E-3</v>
      </c>
      <c r="BD73" s="727">
        <f>BD72/BD75</f>
        <v>-5.4670786783931544E-3</v>
      </c>
      <c r="BE73" s="727">
        <f>BE72/BE75</f>
        <v>-7.8159892809289873E-3</v>
      </c>
      <c r="BF73" s="727">
        <f>BF72/BF75</f>
        <v>-5.0260970423352024E-3</v>
      </c>
      <c r="BG73" s="826">
        <f>BG72/BG75</f>
        <v>-6.0846265490677688E-3</v>
      </c>
      <c r="BH73" s="487"/>
      <c r="BI73" s="827">
        <f>BI72/BI75</f>
        <v>-1.0421962379257752E-2</v>
      </c>
      <c r="BJ73" s="727">
        <f>BJ72/BJ75</f>
        <v>-8.3534842822598366E-3</v>
      </c>
      <c r="BK73" s="727">
        <f>BK72/BK75</f>
        <v>-9.339407744874715E-3</v>
      </c>
      <c r="BL73" s="727">
        <f>BL72/BL75</f>
        <v>-9.9619634124252857E-3</v>
      </c>
      <c r="BM73" s="826">
        <f>BM72/BM75</f>
        <v>-9.513971947374144E-3</v>
      </c>
      <c r="BN73" s="487"/>
      <c r="BO73" s="827">
        <f>BO72/BO75</f>
        <v>-1.1800802454566911E-2</v>
      </c>
      <c r="BP73" s="727">
        <f>BP72/BP75</f>
        <v>-1.2024486226497596E-2</v>
      </c>
      <c r="BQ73" s="727">
        <f>BQ72/BQ75</f>
        <v>-8.5755121486422118E-3</v>
      </c>
      <c r="BR73" s="727">
        <f>BR72/BR75</f>
        <v>-8.8582677165354347E-3</v>
      </c>
      <c r="BS73" s="826">
        <f>BS72/BS75</f>
        <v>-1.028249212228426E-2</v>
      </c>
      <c r="BT73" s="487"/>
      <c r="BU73" s="827">
        <f>BU72/BU75</f>
        <v>-4.2432814710042432E-3</v>
      </c>
      <c r="BV73" s="727">
        <f>BV72/BV75</f>
        <v>-2.5252525252525255E-3</v>
      </c>
      <c r="BW73" s="727">
        <f>BW72/BW75</f>
        <v>-8.5836909871244635E-3</v>
      </c>
      <c r="BX73" s="727">
        <f>BX72/BX75</f>
        <v>-7.1097418079422948E-3</v>
      </c>
      <c r="BY73" s="826">
        <f>BY72/BY75</f>
        <v>-5.7272460598671981E-3</v>
      </c>
      <c r="BZ73" s="487"/>
      <c r="CA73" s="827">
        <f>CA72/CA75</f>
        <v>-5.8604155567394791E-3</v>
      </c>
      <c r="CB73" s="727">
        <f>CB72/CB75</f>
        <v>-6.7258541834813012E-3</v>
      </c>
      <c r="CC73" s="1321">
        <f>CC72/CC75</f>
        <v>-7.8700177710078704E-3</v>
      </c>
      <c r="CD73" s="1321">
        <f>CD72/CD75</f>
        <v>-7.8673187327237947E-3</v>
      </c>
      <c r="CE73" s="826">
        <f>CE72/CE75</f>
        <v>-7.137094271706077E-3</v>
      </c>
      <c r="CF73" s="487"/>
      <c r="CG73" s="827">
        <f>CG72/CG75</f>
        <v>-4.156923876331515E-3</v>
      </c>
      <c r="CH73" s="1321">
        <f>CH72/CH75</f>
        <v>-3.8563509279344425E-3</v>
      </c>
      <c r="CI73" s="1321">
        <f>CI72/CI75</f>
        <v>-2.5252525252525255E-3</v>
      </c>
      <c r="CJ73" s="1321">
        <f>CJ72/CJ75</f>
        <v>-9.0486869672017269E-3</v>
      </c>
      <c r="CK73" s="826">
        <f>CK72/CK75</f>
        <v>-5.1532856030794862E-3</v>
      </c>
      <c r="CL73" s="487"/>
      <c r="CM73" s="653">
        <v>-8.0000000000000002E-3</v>
      </c>
      <c r="CN73" s="654">
        <v>-8.0000000000000002E-3</v>
      </c>
      <c r="CO73" s="654">
        <v>-8.0000000000000002E-3</v>
      </c>
      <c r="CP73" s="1141">
        <v>-8.0000000000000002E-3</v>
      </c>
      <c r="CQ73" s="826">
        <f>CQ72/CQ75</f>
        <v>-8.0645161290322561E-3</v>
      </c>
      <c r="CR73" s="487"/>
      <c r="CS73" s="653">
        <v>-8.0000000000000002E-3</v>
      </c>
      <c r="CT73" s="654">
        <v>-8.0000000000000002E-3</v>
      </c>
      <c r="CU73" s="654">
        <v>-8.0000000000000002E-3</v>
      </c>
      <c r="CV73" s="1141">
        <v>-8.0000000000000002E-3</v>
      </c>
      <c r="CW73" s="826">
        <f>CW72/CW75</f>
        <v>-8.0645161290322578E-3</v>
      </c>
      <c r="CX73" s="487"/>
      <c r="CY73" s="653">
        <v>-8.0000000000000002E-3</v>
      </c>
      <c r="CZ73" s="654">
        <v>-8.0000000000000002E-3</v>
      </c>
      <c r="DA73" s="654">
        <v>-8.0000000000000002E-3</v>
      </c>
      <c r="DB73" s="1141">
        <v>-8.0000000000000002E-3</v>
      </c>
      <c r="DC73" s="826">
        <f>DC72/DC75</f>
        <v>-8.0645161290322561E-3</v>
      </c>
      <c r="DD73" s="487"/>
      <c r="DE73" s="653">
        <v>-8.0000000000000002E-3</v>
      </c>
      <c r="DF73" s="654">
        <v>-8.0000000000000002E-3</v>
      </c>
      <c r="DG73" s="654">
        <v>-8.0000000000000002E-3</v>
      </c>
      <c r="DH73" s="1141">
        <v>-8.0000000000000002E-3</v>
      </c>
      <c r="DI73" s="826">
        <f>DI72/DI75</f>
        <v>-8.0645161290322578E-3</v>
      </c>
    </row>
    <row r="74" spans="1:153" s="69" customFormat="1" ht="11.25" customHeight="1">
      <c r="A74" s="369"/>
      <c r="B74" s="487"/>
      <c r="C74" s="824"/>
      <c r="D74" s="487"/>
      <c r="E74" s="824"/>
      <c r="F74" s="487"/>
      <c r="G74" s="824"/>
      <c r="H74" s="487"/>
      <c r="I74" s="824"/>
      <c r="J74" s="487"/>
      <c r="K74" s="824"/>
      <c r="L74" s="487"/>
      <c r="M74" s="824"/>
      <c r="N74" s="487"/>
      <c r="O74" s="824"/>
      <c r="P74" s="487"/>
      <c r="Q74" s="824"/>
      <c r="R74" s="487"/>
      <c r="S74" s="825"/>
      <c r="T74" s="487"/>
      <c r="U74" s="487"/>
      <c r="V74" s="487"/>
      <c r="W74" s="824"/>
      <c r="X74" s="487"/>
      <c r="Y74" s="825"/>
      <c r="Z74" s="487"/>
      <c r="AA74" s="487"/>
      <c r="AB74" s="487"/>
      <c r="AC74" s="826"/>
      <c r="AD74" s="487"/>
      <c r="AE74" s="827"/>
      <c r="AF74" s="727"/>
      <c r="AG74" s="727"/>
      <c r="AH74" s="727"/>
      <c r="AI74" s="826"/>
      <c r="AJ74" s="487"/>
      <c r="AK74" s="827"/>
      <c r="AL74" s="727"/>
      <c r="AM74" s="727"/>
      <c r="AN74" s="727"/>
      <c r="AO74" s="826"/>
      <c r="AP74" s="487"/>
      <c r="AQ74" s="827"/>
      <c r="AR74" s="727"/>
      <c r="AS74" s="727"/>
      <c r="AT74" s="727"/>
      <c r="AU74" s="826"/>
      <c r="AV74" s="487"/>
      <c r="AW74" s="827"/>
      <c r="AX74" s="727"/>
      <c r="AY74" s="727"/>
      <c r="AZ74" s="727"/>
      <c r="BA74" s="826"/>
      <c r="BB74" s="487"/>
      <c r="BC74" s="827"/>
      <c r="BD74" s="727"/>
      <c r="BE74" s="727"/>
      <c r="BF74" s="727"/>
      <c r="BG74" s="826"/>
      <c r="BH74" s="487"/>
      <c r="BI74" s="827"/>
      <c r="BJ74" s="727"/>
      <c r="BK74" s="828"/>
      <c r="BL74" s="828"/>
      <c r="BM74" s="826"/>
      <c r="BN74" s="487"/>
      <c r="BO74" s="829"/>
      <c r="BP74" s="828"/>
      <c r="BQ74" s="828"/>
      <c r="BR74" s="828"/>
      <c r="BS74" s="826"/>
      <c r="BT74" s="487"/>
      <c r="BU74" s="829"/>
      <c r="BV74" s="828"/>
      <c r="BW74" s="828"/>
      <c r="BX74" s="828"/>
      <c r="BY74" s="826"/>
      <c r="BZ74" s="487"/>
      <c r="CA74" s="829"/>
      <c r="CB74" s="828"/>
      <c r="CC74" s="828"/>
      <c r="CD74" s="828"/>
      <c r="CE74" s="826"/>
      <c r="CF74" s="487"/>
      <c r="CG74" s="829"/>
      <c r="CH74" s="1775"/>
      <c r="CI74" s="1775"/>
      <c r="CJ74" s="828"/>
      <c r="CK74" s="826"/>
      <c r="CL74" s="487"/>
      <c r="CM74" s="829"/>
      <c r="CN74" s="828"/>
      <c r="CO74" s="828"/>
      <c r="CP74" s="828"/>
      <c r="CQ74" s="826"/>
      <c r="CR74" s="487"/>
      <c r="CS74" s="829"/>
      <c r="CT74" s="828"/>
      <c r="CU74" s="828"/>
      <c r="CV74" s="828"/>
      <c r="CW74" s="826"/>
      <c r="CX74" s="487"/>
      <c r="CY74" s="829"/>
      <c r="CZ74" s="828"/>
      <c r="DA74" s="828"/>
      <c r="DB74" s="828"/>
      <c r="DC74" s="826"/>
      <c r="DD74" s="487"/>
      <c r="DE74" s="829"/>
      <c r="DF74" s="828"/>
      <c r="DG74" s="828"/>
      <c r="DH74" s="828"/>
      <c r="DI74" s="826"/>
    </row>
    <row r="75" spans="1:153" s="355" customFormat="1" ht="11.25" customHeight="1">
      <c r="A75" s="832" t="s">
        <v>238</v>
      </c>
      <c r="B75" s="833"/>
      <c r="C75" s="834"/>
      <c r="D75" s="833"/>
      <c r="E75" s="834"/>
      <c r="F75" s="833"/>
      <c r="G75" s="834"/>
      <c r="H75" s="833"/>
      <c r="I75" s="834"/>
      <c r="J75" s="833"/>
      <c r="K75" s="834"/>
      <c r="L75" s="833"/>
      <c r="M75" s="834"/>
      <c r="N75" s="833"/>
      <c r="O75" s="834"/>
      <c r="P75" s="833"/>
      <c r="Q75" s="834"/>
      <c r="R75" s="833"/>
      <c r="S75" s="835"/>
      <c r="T75" s="833"/>
      <c r="U75" s="833"/>
      <c r="V75" s="833"/>
      <c r="W75" s="834"/>
      <c r="X75" s="833"/>
      <c r="Y75" s="1146">
        <f>IS!Y9</f>
        <v>207.536</v>
      </c>
      <c r="Z75" s="1147">
        <f>IS!Z9</f>
        <v>238.34199999999998</v>
      </c>
      <c r="AA75" s="1147">
        <f>IS!AA9</f>
        <v>241.76</v>
      </c>
      <c r="AB75" s="1147">
        <f>IS!AB9</f>
        <v>344.76200000000006</v>
      </c>
      <c r="AC75" s="836">
        <f>AC53+AC65+AC72</f>
        <v>1032.3999999999999</v>
      </c>
      <c r="AD75" s="833"/>
      <c r="AE75" s="837">
        <f>AE53+AE65+AE72</f>
        <v>238.30000000000004</v>
      </c>
      <c r="AF75" s="838">
        <f>AF53+AF65+AF72</f>
        <v>311.5</v>
      </c>
      <c r="AG75" s="838">
        <f>AG53+AG65+AG72</f>
        <v>242.1</v>
      </c>
      <c r="AH75" s="838">
        <f>AH53+AH65+AH72</f>
        <v>315.19999999999993</v>
      </c>
      <c r="AI75" s="836">
        <f>AI53+AI65+AI72</f>
        <v>1107.0999999999999</v>
      </c>
      <c r="AJ75" s="833"/>
      <c r="AK75" s="837">
        <f>AK53+AK65+AK72</f>
        <v>230.5</v>
      </c>
      <c r="AL75" s="838">
        <f>AL53+AL65+AL72</f>
        <v>252.5</v>
      </c>
      <c r="AM75" s="838">
        <f>AM53+AM65+AM72</f>
        <v>265.10000000000002</v>
      </c>
      <c r="AN75" s="838">
        <f>AN53+AN65+AN72</f>
        <v>366.40000000000003</v>
      </c>
      <c r="AO75" s="836">
        <f>AO53+AO65+AO72</f>
        <v>1114.5</v>
      </c>
      <c r="AP75" s="834"/>
      <c r="AQ75" s="837">
        <f>AQ53+AQ65+AQ72</f>
        <v>277.7</v>
      </c>
      <c r="AR75" s="838">
        <f>AR53+AR65+AR72</f>
        <v>300.89999999999998</v>
      </c>
      <c r="AS75" s="838">
        <f>AS53+AS65+AS72</f>
        <v>310.2</v>
      </c>
      <c r="AT75" s="838">
        <f>AT53+AT65+AT72</f>
        <v>416.10000000000008</v>
      </c>
      <c r="AU75" s="836">
        <f>AU53+AU65+AU72</f>
        <v>1304.9000000000001</v>
      </c>
      <c r="AV75" s="834"/>
      <c r="AW75" s="837">
        <f>AW53+AW65+AW72</f>
        <v>357</v>
      </c>
      <c r="AX75" s="838">
        <f>AX53+AX65+AX72</f>
        <v>401.2</v>
      </c>
      <c r="AY75" s="838">
        <f>AY53+AY65+AY72</f>
        <v>418.4</v>
      </c>
      <c r="AZ75" s="838">
        <f>AZ53+AZ65+AZ72</f>
        <v>475.10000000000014</v>
      </c>
      <c r="BA75" s="836">
        <f>BA53+BA65+BA72</f>
        <v>1651.7000000000003</v>
      </c>
      <c r="BB75" s="834"/>
      <c r="BC75" s="837">
        <f>BC53+BC65+BC72</f>
        <v>405.6</v>
      </c>
      <c r="BD75" s="838">
        <f>BD53+BD65+BD72</f>
        <v>420.7</v>
      </c>
      <c r="BE75" s="838">
        <f>BE53+BE65+BE72</f>
        <v>447.79999999999995</v>
      </c>
      <c r="BF75" s="838">
        <f>BF53+BF65+BF72</f>
        <v>517.29999999999995</v>
      </c>
      <c r="BG75" s="836">
        <f>BG53+BG65+BG72</f>
        <v>1791.3999999999999</v>
      </c>
      <c r="BH75" s="834"/>
      <c r="BI75" s="837">
        <f>BI53+BI65+BI72</f>
        <v>393.4</v>
      </c>
      <c r="BJ75" s="838">
        <f>BJ53+BJ65+BJ72</f>
        <v>454.90000000000003</v>
      </c>
      <c r="BK75" s="838">
        <f>BK53+BK65+BK72</f>
        <v>439</v>
      </c>
      <c r="BL75" s="838">
        <f>BL53+BL65+BL72</f>
        <v>552.1</v>
      </c>
      <c r="BM75" s="836">
        <f>BM53+BM65+BM72</f>
        <v>1839.4</v>
      </c>
      <c r="BN75" s="833"/>
      <c r="BO75" s="837">
        <f>BO53+BO65+BO72</f>
        <v>423.7</v>
      </c>
      <c r="BP75" s="838">
        <f>BP53+BP65+BP72</f>
        <v>457.4</v>
      </c>
      <c r="BQ75" s="838">
        <f>BQ53+BQ65+BQ72</f>
        <v>419.79999999999995</v>
      </c>
      <c r="BR75" s="838">
        <f>BR53+BR65+BR72</f>
        <v>508.00000000000011</v>
      </c>
      <c r="BS75" s="836">
        <f>BS53+BS65+BS72</f>
        <v>1808.9000000000003</v>
      </c>
      <c r="BT75" s="833"/>
      <c r="BU75" s="837">
        <f>BU53+BU65+BU72</f>
        <v>353.5</v>
      </c>
      <c r="BV75" s="838">
        <f>BV53+BV65+BV72</f>
        <v>396</v>
      </c>
      <c r="BW75" s="838">
        <f>BW53+BW65+BW72</f>
        <v>396.1</v>
      </c>
      <c r="BX75" s="838">
        <f>BX53+BX65+BX72</f>
        <v>478.21708464882067</v>
      </c>
      <c r="BY75" s="836">
        <f>BY53+BY65+BY72</f>
        <v>1623.817084648821</v>
      </c>
      <c r="BZ75" s="833"/>
      <c r="CA75" s="837">
        <f>CA53+CA65+CA72</f>
        <v>375.4</v>
      </c>
      <c r="CB75" s="838">
        <f>CB53+CB65+CB72</f>
        <v>371.70000000000005</v>
      </c>
      <c r="CC75" s="838">
        <f>CC53+CC65+CC72</f>
        <v>393.9</v>
      </c>
      <c r="CD75" s="838">
        <f>CD53+CD65+CD72</f>
        <v>470.29999999999984</v>
      </c>
      <c r="CE75" s="836">
        <f>CE53+CE65+CE72</f>
        <v>1611.2999999999997</v>
      </c>
      <c r="CF75" s="833"/>
      <c r="CG75" s="837">
        <f>CG53+CG65+CG72</f>
        <v>384.9</v>
      </c>
      <c r="CH75" s="838">
        <f>CH53+CH65+CH72</f>
        <v>414.9</v>
      </c>
      <c r="CI75" s="838">
        <f>CI53+CI65+CI72</f>
        <v>435.59999999999997</v>
      </c>
      <c r="CJ75" s="838">
        <f>CJ53+CJ65+CJ72</f>
        <v>530.46370345203604</v>
      </c>
      <c r="CK75" s="836">
        <f>CK53+CK65+CK72</f>
        <v>1765.8637034520361</v>
      </c>
      <c r="CL75" s="833"/>
      <c r="CM75" s="837">
        <f>CM53+CM65+CM72</f>
        <v>423.67719212356712</v>
      </c>
      <c r="CN75" s="838">
        <f>CN53+CN65+CN72</f>
        <v>434.28431579916509</v>
      </c>
      <c r="CO75" s="838">
        <f>CO53+CO65+CO72</f>
        <v>450.99979220185833</v>
      </c>
      <c r="CP75" s="838">
        <f>CP53+CP65+CP72</f>
        <v>557.78771178427723</v>
      </c>
      <c r="CQ75" s="836">
        <f>CQ53+CQ65+CQ72</f>
        <v>1866.7490119088677</v>
      </c>
      <c r="CR75" s="833"/>
      <c r="CS75" s="837">
        <f>CS53+CS65+CS72</f>
        <v>431.04260438906022</v>
      </c>
      <c r="CT75" s="838">
        <f>CT53+CT65+CT72</f>
        <v>449.4041565537683</v>
      </c>
      <c r="CU75" s="838">
        <f>CU53+CU65+CU72</f>
        <v>457.78929117749834</v>
      </c>
      <c r="CV75" s="838">
        <f>CV53+CV65+CV72</f>
        <v>584.88759699941534</v>
      </c>
      <c r="CW75" s="836">
        <f>CW53+CW65+CW72</f>
        <v>1923.1236491197421</v>
      </c>
      <c r="CX75" s="833"/>
      <c r="CY75" s="837">
        <f>CY53+CY65+CY72</f>
        <v>442.66440709619286</v>
      </c>
      <c r="CZ75" s="838">
        <f>CZ53+CZ65+CZ72</f>
        <v>453.8948027185067</v>
      </c>
      <c r="DA75" s="838">
        <f>DA53+DA65+DA72</f>
        <v>473.67666555024914</v>
      </c>
      <c r="DB75" s="838">
        <f>DB53+DB65+DB72</f>
        <v>596.03831619289554</v>
      </c>
      <c r="DC75" s="836">
        <f>DC53+DC65+DC72</f>
        <v>1966.2741915578445</v>
      </c>
      <c r="DD75" s="833"/>
      <c r="DE75" s="837">
        <f>DE53+DE65+DE72</f>
        <v>449.85713597755313</v>
      </c>
      <c r="DF75" s="838">
        <f>DF53+DF65+DF72</f>
        <v>468.52225147081901</v>
      </c>
      <c r="DG75" s="838">
        <f>DG53+DG65+DG72</f>
        <v>480.76509934093394</v>
      </c>
      <c r="DH75" s="838">
        <f>DH53+DH65+DH72</f>
        <v>612.82352954560815</v>
      </c>
      <c r="DI75" s="836">
        <f>DI53+DI65+DI72</f>
        <v>2011.9680163349144</v>
      </c>
    </row>
    <row r="76" spans="1:153" s="355" customFormat="1" ht="11.25" customHeight="1">
      <c r="A76" s="839" t="s">
        <v>247</v>
      </c>
      <c r="B76" s="840"/>
      <c r="C76" s="841"/>
      <c r="D76" s="840"/>
      <c r="E76" s="841"/>
      <c r="F76" s="840"/>
      <c r="G76" s="841"/>
      <c r="H76" s="840"/>
      <c r="I76" s="841"/>
      <c r="J76" s="840"/>
      <c r="K76" s="841"/>
      <c r="L76" s="840"/>
      <c r="M76" s="841"/>
      <c r="N76" s="840"/>
      <c r="O76" s="841"/>
      <c r="P76" s="840"/>
      <c r="Q76" s="841"/>
      <c r="R76" s="840"/>
      <c r="S76" s="842"/>
      <c r="T76" s="840"/>
      <c r="U76" s="840"/>
      <c r="V76" s="840"/>
      <c r="W76" s="841"/>
      <c r="X76" s="840"/>
      <c r="Y76" s="842"/>
      <c r="Z76" s="840"/>
      <c r="AA76" s="840"/>
      <c r="AB76" s="840"/>
      <c r="AC76" s="843"/>
      <c r="AD76" s="840"/>
      <c r="AE76" s="845">
        <f>AE75/Y75-1</f>
        <v>0.1482345231670652</v>
      </c>
      <c r="AF76" s="846">
        <f>AF75/Z75-1</f>
        <v>0.30694548170276326</v>
      </c>
      <c r="AG76" s="846">
        <f>AG75/AA75-1</f>
        <v>1.406353408338834E-3</v>
      </c>
      <c r="AH76" s="846">
        <f>AH75/AB75-1</f>
        <v>-8.5746108909914964E-2</v>
      </c>
      <c r="AI76" s="843">
        <f>AI75/AC75-1</f>
        <v>7.2355676094536969E-2</v>
      </c>
      <c r="AJ76" s="840"/>
      <c r="AK76" s="845">
        <f>AK75/AE75-1</f>
        <v>-3.2731850608476831E-2</v>
      </c>
      <c r="AL76" s="846">
        <f>AL75/AF75-1</f>
        <v>-0.1894060995184591</v>
      </c>
      <c r="AM76" s="846">
        <f>AM75/AG75-1</f>
        <v>9.5002065262288493E-2</v>
      </c>
      <c r="AN76" s="846">
        <f>AN75/AH75-1</f>
        <v>0.16243654822335052</v>
      </c>
      <c r="AO76" s="843">
        <f>AO75/AI75-1</f>
        <v>6.6841297082469442E-3</v>
      </c>
      <c r="AP76" s="841"/>
      <c r="AQ76" s="845">
        <f>AQ75/AK75-1</f>
        <v>0.20477223427331892</v>
      </c>
      <c r="AR76" s="846">
        <f>AR75/AL75-1</f>
        <v>0.19168316831683163</v>
      </c>
      <c r="AS76" s="846">
        <f>AS75/AM75-1</f>
        <v>0.17012448132780067</v>
      </c>
      <c r="AT76" s="846">
        <f>AT75/AN75-1</f>
        <v>0.13564410480349354</v>
      </c>
      <c r="AU76" s="843">
        <f>AU75/AO75-1</f>
        <v>0.17083894122925081</v>
      </c>
      <c r="AV76" s="841"/>
      <c r="AW76" s="845">
        <f>AW75/AQ75-1</f>
        <v>0.28555995678790058</v>
      </c>
      <c r="AX76" s="846">
        <f>AX75/AR75-1</f>
        <v>0.33333333333333348</v>
      </c>
      <c r="AY76" s="846">
        <f>AY75/AS75-1</f>
        <v>0.34880722114764673</v>
      </c>
      <c r="AZ76" s="846">
        <f>AZ75/AT75-1</f>
        <v>0.14179283826003375</v>
      </c>
      <c r="BA76" s="843">
        <f>BA75/AU75-1</f>
        <v>0.26576749176182091</v>
      </c>
      <c r="BB76" s="841"/>
      <c r="BC76" s="845">
        <f>BC75/AW75-1</f>
        <v>0.13613445378151257</v>
      </c>
      <c r="BD76" s="846">
        <f>BD75/AX75-1</f>
        <v>4.8604187437687019E-2</v>
      </c>
      <c r="BE76" s="846">
        <f>BE75/AY75-1</f>
        <v>7.0267686424474229E-2</v>
      </c>
      <c r="BF76" s="846">
        <f>BF75/AZ75-1</f>
        <v>8.8823405598820848E-2</v>
      </c>
      <c r="BG76" s="843">
        <f>BG75/BA75-1</f>
        <v>8.4579524126657146E-2</v>
      </c>
      <c r="BH76" s="841"/>
      <c r="BI76" s="845">
        <f>BI75/BC75-1</f>
        <v>-3.0078895463510946E-2</v>
      </c>
      <c r="BJ76" s="846">
        <f>BJ75/BD75-1</f>
        <v>8.1293082956976681E-2</v>
      </c>
      <c r="BK76" s="846">
        <f>BK75/BE75-1</f>
        <v>-1.9651630192049963E-2</v>
      </c>
      <c r="BL76" s="846">
        <f>BL75/BF75-1</f>
        <v>6.7272375797409856E-2</v>
      </c>
      <c r="BM76" s="843">
        <f>BM75/BG75-1</f>
        <v>2.6794685720665568E-2</v>
      </c>
      <c r="BN76" s="840"/>
      <c r="BO76" s="845">
        <f>BO75/BI75-1</f>
        <v>7.7020843924758609E-2</v>
      </c>
      <c r="BP76" s="846">
        <f>BP75/BJ75-1</f>
        <v>5.4957133435917793E-3</v>
      </c>
      <c r="BQ76" s="846">
        <f>BQ75/BK75-1</f>
        <v>-4.373576309795002E-2</v>
      </c>
      <c r="BR76" s="846">
        <f>BR75/BL75-1</f>
        <v>-7.9876833906900702E-2</v>
      </c>
      <c r="BS76" s="843">
        <f>BS75/BM75-1</f>
        <v>-1.6581493965423411E-2</v>
      </c>
      <c r="BT76" s="840"/>
      <c r="BU76" s="845">
        <f>BU75/BO75-1</f>
        <v>-0.16568326646211939</v>
      </c>
      <c r="BV76" s="846">
        <f>BV75/BP75-1</f>
        <v>-0.13423699169217307</v>
      </c>
      <c r="BW76" s="846">
        <f>BW75/BQ75-1</f>
        <v>-5.6455454978561082E-2</v>
      </c>
      <c r="BX76" s="846">
        <f>BX75/BR75-1</f>
        <v>-5.8627786124368919E-2</v>
      </c>
      <c r="BY76" s="843">
        <f>BY75/BS75-1</f>
        <v>-0.10231793650902721</v>
      </c>
      <c r="BZ76" s="840"/>
      <c r="CA76" s="845">
        <f>CA75/BU75-1</f>
        <v>6.1951909476661848E-2</v>
      </c>
      <c r="CB76" s="846">
        <f>CB75/BV75-1</f>
        <v>-6.1363636363636287E-2</v>
      </c>
      <c r="CC76" s="846">
        <f>CC75/BW75-1</f>
        <v>-5.554152991668837E-3</v>
      </c>
      <c r="CD76" s="846">
        <f>CD75/BX75-1</f>
        <v>-1.6555419919041081E-2</v>
      </c>
      <c r="CE76" s="843">
        <f>CE75/BY75-1</f>
        <v>-7.7084326597834929E-3</v>
      </c>
      <c r="CF76" s="840"/>
      <c r="CG76" s="845">
        <f>CG75/CA75-1</f>
        <v>2.5306339904102249E-2</v>
      </c>
      <c r="CH76" s="846">
        <f>CH75/CB75-1</f>
        <v>0.11622276029055678</v>
      </c>
      <c r="CI76" s="846">
        <f>CI75/CC75-1</f>
        <v>0.10586443259710587</v>
      </c>
      <c r="CJ76" s="846">
        <f>CJ75/CD75-1</f>
        <v>0.12792622464817405</v>
      </c>
      <c r="CK76" s="843">
        <f>CK75/CE75-1</f>
        <v>9.5924845436626605E-2</v>
      </c>
      <c r="CL76" s="840"/>
      <c r="CM76" s="845">
        <f>CM75/CG75-1</f>
        <v>0.1007461473722191</v>
      </c>
      <c r="CN76" s="846">
        <f>CN75/CH75-1</f>
        <v>4.6720452637177834E-2</v>
      </c>
      <c r="CO76" s="846">
        <f>CO75/CI75-1</f>
        <v>3.5353058314642638E-2</v>
      </c>
      <c r="CP76" s="846">
        <f>CP75/CJ75-1</f>
        <v>5.1509666268263032E-2</v>
      </c>
      <c r="CQ76" s="843">
        <f>CQ75/CK75-1</f>
        <v>5.713085798162898E-2</v>
      </c>
      <c r="CR76" s="840"/>
      <c r="CS76" s="845">
        <f>CS75/CM75-1</f>
        <v>1.7384490839773559E-2</v>
      </c>
      <c r="CT76" s="846">
        <f>CT75/CN75-1</f>
        <v>3.4815534903165579E-2</v>
      </c>
      <c r="CU76" s="846">
        <f>CU75/CO75-1</f>
        <v>1.5054328390025518E-2</v>
      </c>
      <c r="CV76" s="846">
        <f>CV75/CP75-1</f>
        <v>4.8584586290812526E-2</v>
      </c>
      <c r="CW76" s="843">
        <f>CW75/CQ75-1</f>
        <v>3.0199366305397435E-2</v>
      </c>
      <c r="CX76" s="840"/>
      <c r="CY76" s="845">
        <f>CY75/CS75-1</f>
        <v>2.696207425622088E-2</v>
      </c>
      <c r="CZ76" s="846">
        <f>CZ75/CT75-1</f>
        <v>9.992444660892108E-3</v>
      </c>
      <c r="DA76" s="846">
        <f>DA75/CU75-1</f>
        <v>3.4704556613559534E-2</v>
      </c>
      <c r="DB76" s="846">
        <f>DB75/CV75-1</f>
        <v>1.9064721581865562E-2</v>
      </c>
      <c r="DC76" s="843">
        <f>DC75/CW75-1</f>
        <v>2.2437736885952964E-2</v>
      </c>
      <c r="DD76" s="840"/>
      <c r="DE76" s="845">
        <f>DE75/CY75-1</f>
        <v>1.6248717461933238E-2</v>
      </c>
      <c r="DF76" s="846">
        <f>DF75/CZ75-1</f>
        <v>3.2226517388399989E-2</v>
      </c>
      <c r="DG76" s="846">
        <f>DG75/DA75-1</f>
        <v>1.496470969801833E-2</v>
      </c>
      <c r="DH76" s="846">
        <f>DH75/DB75-1</f>
        <v>2.8161299192853262E-2</v>
      </c>
      <c r="DI76" s="843">
        <f>DI75/DC75-1</f>
        <v>2.3238785807826456E-2</v>
      </c>
    </row>
    <row r="77" spans="1:153" s="355" customFormat="1" ht="11.25" customHeight="1">
      <c r="A77" s="839" t="s">
        <v>248</v>
      </c>
      <c r="B77" s="840"/>
      <c r="C77" s="841"/>
      <c r="D77" s="840"/>
      <c r="E77" s="841"/>
      <c r="F77" s="840"/>
      <c r="G77" s="841"/>
      <c r="H77" s="840"/>
      <c r="I77" s="841"/>
      <c r="J77" s="840"/>
      <c r="K77" s="841"/>
      <c r="L77" s="840"/>
      <c r="M77" s="841"/>
      <c r="N77" s="840"/>
      <c r="O77" s="841"/>
      <c r="P77" s="840"/>
      <c r="Q77" s="841"/>
      <c r="R77" s="840"/>
      <c r="S77" s="842"/>
      <c r="T77" s="840"/>
      <c r="U77" s="840"/>
      <c r="V77" s="840"/>
      <c r="W77" s="841"/>
      <c r="X77" s="840"/>
      <c r="Y77" s="842"/>
      <c r="Z77" s="840"/>
      <c r="AA77" s="840"/>
      <c r="AB77" s="840"/>
      <c r="AC77" s="740"/>
      <c r="AD77" s="840"/>
      <c r="AE77" s="847">
        <v>0.05</v>
      </c>
      <c r="AF77" s="848">
        <v>0.19400000000000001</v>
      </c>
      <c r="AG77" s="848">
        <v>-5.5E-2</v>
      </c>
      <c r="AH77" s="849" t="s">
        <v>26</v>
      </c>
      <c r="AI77" s="740">
        <f>AI76-AI78</f>
        <v>3.4095311894614455E-2</v>
      </c>
      <c r="AJ77" s="840"/>
      <c r="AK77" s="850">
        <f>AK76-AK78</f>
        <v>4.532102391942916E-2</v>
      </c>
      <c r="AL77" s="851">
        <f>AL76-AL78</f>
        <v>-0.1110754414125201</v>
      </c>
      <c r="AM77" s="851">
        <f>AM76-AM78</f>
        <v>0.11400247831474615</v>
      </c>
      <c r="AN77" s="851">
        <f>AN76-AN78</f>
        <v>5.8058375634518017E-2</v>
      </c>
      <c r="AO77" s="740">
        <f>AO76-AO78</f>
        <v>1.9962063047602015E-2</v>
      </c>
      <c r="AP77" s="841"/>
      <c r="AQ77" s="850">
        <f>AQ76-AQ78</f>
        <v>0.1236442516268981</v>
      </c>
      <c r="AR77" s="851">
        <f>AR76-AR78</f>
        <v>0.21504950495049499</v>
      </c>
      <c r="AS77" s="851">
        <f>AS76-AS78</f>
        <v>0.23840060354583159</v>
      </c>
      <c r="AT77" s="851">
        <f>AT76-AT78</f>
        <v>0.17057860262008742</v>
      </c>
      <c r="AU77" s="740">
        <f>AU76-AU78</f>
        <v>0.18707940780619114</v>
      </c>
      <c r="AV77" s="841"/>
      <c r="AW77" s="850">
        <f>AW76-AW78</f>
        <v>0.26323370543752245</v>
      </c>
      <c r="AX77" s="851">
        <f>AX76-AX78</f>
        <v>0.21003655699567975</v>
      </c>
      <c r="AY77" s="851">
        <f>AY76-AY78</f>
        <v>0.25628626692456485</v>
      </c>
      <c r="AZ77" s="851">
        <f>AZ76-AZ78</f>
        <v>0.12521028598894507</v>
      </c>
      <c r="BA77" s="740">
        <f>BA76-BA78</f>
        <v>0.20530308835926131</v>
      </c>
      <c r="BB77" s="841"/>
      <c r="BC77" s="850">
        <f>BC76-BC78</f>
        <v>0.149859943977591</v>
      </c>
      <c r="BD77" s="851">
        <f>BD76-BD78</f>
        <v>0.12013958125623139</v>
      </c>
      <c r="BE77" s="851">
        <f>BE76-BE78</f>
        <v>0.14985659655831746</v>
      </c>
      <c r="BF77" s="851">
        <f>BF76-BF78</f>
        <v>0.10966112397389975</v>
      </c>
      <c r="BG77" s="740">
        <f>BG76-BG78</f>
        <v>0.13107707210752534</v>
      </c>
      <c r="BH77" s="841"/>
      <c r="BI77" s="850">
        <f>BI76-BI78</f>
        <v>-1.5285996055226923E-2</v>
      </c>
      <c r="BJ77" s="851">
        <f>BJ76-BJ78</f>
        <v>8.9374851438079606E-2</v>
      </c>
      <c r="BK77" s="846">
        <f>BK76-BK78</f>
        <v>-2.4564537740062467E-2</v>
      </c>
      <c r="BL77" s="846">
        <f>BL76-BL78</f>
        <v>6.6305818673883854E-2</v>
      </c>
      <c r="BM77" s="843">
        <f>BM76-BM78</f>
        <v>2.9753265602322373E-2</v>
      </c>
      <c r="BN77" s="840"/>
      <c r="BO77" s="850">
        <f>BO76-BO78</f>
        <v>7.6512455516014322E-2</v>
      </c>
      <c r="BP77" s="846">
        <f>BP76-BP78</f>
        <v>-1.7146625632007254E-2</v>
      </c>
      <c r="BQ77" s="846">
        <f>BQ76-BQ78</f>
        <v>-4.0318906605922689E-2</v>
      </c>
      <c r="BR77" s="846">
        <f>BR76-BR78</f>
        <v>-1.7569280927368015E-2</v>
      </c>
      <c r="BS77" s="843">
        <f>BS76-BS78</f>
        <v>-2.7726432532346554E-3</v>
      </c>
      <c r="BT77" s="840"/>
      <c r="BU77" s="850">
        <f>BU76-BU78</f>
        <v>-5.5227755487373117E-2</v>
      </c>
      <c r="BV77" s="846">
        <f>BV76-BV78</f>
        <v>-1.9239177962396062E-2</v>
      </c>
      <c r="BW77" s="846">
        <f>BW76-BW78</f>
        <v>5.2644116245831485E-2</v>
      </c>
      <c r="BX77" s="846">
        <f>BX76-BX78</f>
        <v>1.8537568206339727E-2</v>
      </c>
      <c r="BY77" s="843">
        <f>BY76-BY78</f>
        <v>-3.7753073756389977E-4</v>
      </c>
      <c r="BZ77" s="840"/>
      <c r="CA77" s="845">
        <f>CA76-CA78</f>
        <v>7.0951909476661842E-2</v>
      </c>
      <c r="CB77" s="846">
        <f>CB76-CB78</f>
        <v>-6.1363636363636287E-2</v>
      </c>
      <c r="CC77" s="846">
        <f>CC76-CC78</f>
        <v>-7.5541529916688371E-3</v>
      </c>
      <c r="CD77" s="846">
        <f>CD76-CD78</f>
        <v>-3.5554199190410817E-3</v>
      </c>
      <c r="CE77" s="843">
        <f>CE76-CE78</f>
        <v>-2.4084994457565616E-3</v>
      </c>
      <c r="CF77" s="840"/>
      <c r="CG77" s="845">
        <f>CG76-CG78</f>
        <v>4.5306339904102252E-2</v>
      </c>
      <c r="CH77" s="846">
        <f>CH76-CH78</f>
        <v>0.13422276029055677</v>
      </c>
      <c r="CI77" s="846">
        <f>CI76-CI78</f>
        <v>8.1864432597105879E-2</v>
      </c>
      <c r="CJ77" s="846">
        <f>CJ76-CJ78</f>
        <v>7.5926224648174057E-2</v>
      </c>
      <c r="CK77" s="843">
        <f>CK76-CK78</f>
        <v>8.3692114101679677E-2</v>
      </c>
      <c r="CL77" s="840"/>
      <c r="CM77" s="845">
        <f>CM76-CM78</f>
        <v>3.4065405946750463E-2</v>
      </c>
      <c r="CN77" s="846">
        <f>CN76-CN78</f>
        <v>-3.34713092911431E-3</v>
      </c>
      <c r="CO77" s="846">
        <f>CO76-CO78</f>
        <v>1.041023695771414E-2</v>
      </c>
      <c r="CP77" s="846">
        <f>CP76-CP78</f>
        <v>2.5221203592364239E-2</v>
      </c>
      <c r="CQ77" s="843">
        <f>CQ76-CQ78</f>
        <v>1.6783108656903897E-2</v>
      </c>
      <c r="CR77" s="840"/>
      <c r="CS77" s="845">
        <f>CS76-CS78</f>
        <v>1.7384490839773559E-2</v>
      </c>
      <c r="CT77" s="846">
        <f>CT76-CT78</f>
        <v>3.4815534903165579E-2</v>
      </c>
      <c r="CU77" s="846">
        <f>CU76-CU78</f>
        <v>1.5054328390025518E-2</v>
      </c>
      <c r="CV77" s="846">
        <f>CV76-CV78</f>
        <v>4.8584586290812526E-2</v>
      </c>
      <c r="CW77" s="843">
        <f>CW76-CW78</f>
        <v>3.0199366305397435E-2</v>
      </c>
      <c r="CX77" s="840"/>
      <c r="CY77" s="845">
        <f>CY76-CY78</f>
        <v>2.696207425622088E-2</v>
      </c>
      <c r="CZ77" s="846">
        <f>CZ76-CZ78</f>
        <v>9.992444660892108E-3</v>
      </c>
      <c r="DA77" s="846">
        <f>DA76-DA78</f>
        <v>3.4704556613559534E-2</v>
      </c>
      <c r="DB77" s="846">
        <f>DB76-DB78</f>
        <v>1.9064721581865562E-2</v>
      </c>
      <c r="DC77" s="843">
        <f>DC76-DC78</f>
        <v>2.2437736885952964E-2</v>
      </c>
      <c r="DD77" s="840"/>
      <c r="DE77" s="845">
        <f>DE76-DE78</f>
        <v>1.6248717461933238E-2</v>
      </c>
      <c r="DF77" s="846">
        <f>DF76-DF78</f>
        <v>3.2226517388399989E-2</v>
      </c>
      <c r="DG77" s="846">
        <f>DG76-DG78</f>
        <v>1.496470969801833E-2</v>
      </c>
      <c r="DH77" s="846">
        <f>DH76-DH78</f>
        <v>2.8161299192853262E-2</v>
      </c>
      <c r="DI77" s="843">
        <f>DI76-DI78</f>
        <v>2.3238785807826456E-2</v>
      </c>
    </row>
    <row r="78" spans="1:153" s="355" customFormat="1" ht="11.25" customHeight="1">
      <c r="A78" s="839" t="s">
        <v>249</v>
      </c>
      <c r="B78" s="840"/>
      <c r="C78" s="841"/>
      <c r="D78" s="840"/>
      <c r="E78" s="841"/>
      <c r="F78" s="840"/>
      <c r="G78" s="841"/>
      <c r="H78" s="840"/>
      <c r="I78" s="841"/>
      <c r="J78" s="840"/>
      <c r="K78" s="841"/>
      <c r="L78" s="840"/>
      <c r="M78" s="841"/>
      <c r="N78" s="840"/>
      <c r="O78" s="841"/>
      <c r="P78" s="840"/>
      <c r="Q78" s="841"/>
      <c r="R78" s="840"/>
      <c r="S78" s="842"/>
      <c r="T78" s="840"/>
      <c r="U78" s="840"/>
      <c r="V78" s="887"/>
      <c r="W78" s="887"/>
      <c r="X78" s="840"/>
      <c r="Y78" s="842"/>
      <c r="Z78" s="840"/>
      <c r="AA78" s="840"/>
      <c r="AB78" s="840"/>
      <c r="AC78" s="1258"/>
      <c r="AD78" s="840"/>
      <c r="AE78" s="1257">
        <f>AE76-AE77</f>
        <v>9.8234523167065199E-2</v>
      </c>
      <c r="AF78" s="844">
        <f>AF76-AF77</f>
        <v>0.11294548170276325</v>
      </c>
      <c r="AG78" s="844">
        <f>AG76-AG77</f>
        <v>5.6406353408338834E-2</v>
      </c>
      <c r="AH78" s="844" t="s">
        <v>26</v>
      </c>
      <c r="AI78" s="1258">
        <f>39.5/AC75</f>
        <v>3.8260364199922514E-2</v>
      </c>
      <c r="AJ78" s="840"/>
      <c r="AK78" s="1259">
        <f>(-43+24.4)/AE75</f>
        <v>-7.8052874527905991E-2</v>
      </c>
      <c r="AL78" s="863">
        <f>-24.4/AF75</f>
        <v>-7.8330658105939005E-2</v>
      </c>
      <c r="AM78" s="863">
        <f>-4.6/AG75</f>
        <v>-1.900041305245766E-2</v>
      </c>
      <c r="AN78" s="846">
        <f>((AI75*AO78)-(AE75*AK78)-(AF75*AL78)-(AG75*AM78))/AH75</f>
        <v>0.1043781725888325</v>
      </c>
      <c r="AO78" s="1258">
        <f>-14.7/AI75</f>
        <v>-1.3277933339355072E-2</v>
      </c>
      <c r="AP78" s="841"/>
      <c r="AQ78" s="1260">
        <f>18.7/AK75</f>
        <v>8.1127982646420821E-2</v>
      </c>
      <c r="AR78" s="863">
        <f>-5.9/AL75</f>
        <v>-2.3366336633663366E-2</v>
      </c>
      <c r="AS78" s="863">
        <f>-18.1/AM75</f>
        <v>-6.8276122218030935E-2</v>
      </c>
      <c r="AT78" s="846">
        <f>((AO75*AU78)-(AK75*AQ78)-(AL75*AR78)-(AM75*AS78))/AN75</f>
        <v>-3.4934497816593878E-2</v>
      </c>
      <c r="AU78" s="1258">
        <f>-18.1/AO75</f>
        <v>-1.6240466576940334E-2</v>
      </c>
      <c r="AV78" s="841"/>
      <c r="AW78" s="1260">
        <f>6.2/AQ75</f>
        <v>2.2326251350378107E-2</v>
      </c>
      <c r="AX78" s="863">
        <f>37.1/AR75</f>
        <v>0.12329677633765372</v>
      </c>
      <c r="AY78" s="863">
        <f>28.7/AS75</f>
        <v>9.2520954223081889E-2</v>
      </c>
      <c r="AZ78" s="846">
        <f>((AU75*BA78)-(AQ75*AW78)-(AR75*AX78)-(AS75*AY78))/AT75</f>
        <v>1.6582552271088683E-2</v>
      </c>
      <c r="BA78" s="1258">
        <f>78.9/AU75</f>
        <v>6.0464403402559583E-2</v>
      </c>
      <c r="BB78" s="841"/>
      <c r="BC78" s="1260">
        <f>-4.9/AW75</f>
        <v>-1.3725490196078433E-2</v>
      </c>
      <c r="BD78" s="863">
        <f>-28.7/AX75</f>
        <v>-7.1535393818544374E-2</v>
      </c>
      <c r="BE78" s="863">
        <f>-33.3/AY75</f>
        <v>-7.9588910133843213E-2</v>
      </c>
      <c r="BF78" s="846">
        <f>((BA75*BG78)-(AW75*BC78)-(AX75*BD78)-(AY75*BE78))/AZ75</f>
        <v>-2.0837718375078907E-2</v>
      </c>
      <c r="BG78" s="1258">
        <f>-76.8/BA75</f>
        <v>-4.6497547980868185E-2</v>
      </c>
      <c r="BH78" s="841"/>
      <c r="BI78" s="1260">
        <f>-6/BC75</f>
        <v>-1.4792899408284023E-2</v>
      </c>
      <c r="BJ78" s="863">
        <f>-3.4/BD75</f>
        <v>-8.0817684811029245E-3</v>
      </c>
      <c r="BK78" s="863">
        <f>2.2/BE75</f>
        <v>4.9129075480125062E-3</v>
      </c>
      <c r="BL78" s="863">
        <f>0.5/BF75</f>
        <v>9.6655712352600046E-4</v>
      </c>
      <c r="BM78" s="1258">
        <f>-5.3/BG75</f>
        <v>-2.9585798816568047E-3</v>
      </c>
      <c r="BN78" s="841"/>
      <c r="BO78" s="1260">
        <f>(1.3-1.1)/BI75</f>
        <v>5.0838840874428053E-4</v>
      </c>
      <c r="BP78" s="863">
        <f>10.3/BJ75</f>
        <v>2.2642338975599034E-2</v>
      </c>
      <c r="BQ78" s="863">
        <f>-1.5/BK75</f>
        <v>-3.4168564920273349E-3</v>
      </c>
      <c r="BR78" s="863">
        <f>(-25.4-((1.3-1.1)+10.3-1.5))/BL75</f>
        <v>-6.2307552979532686E-2</v>
      </c>
      <c r="BS78" s="1258">
        <f>-25.4/BM75</f>
        <v>-1.3808850712188755E-2</v>
      </c>
      <c r="BT78" s="841"/>
      <c r="BU78" s="1260">
        <f>-46.8/BO75</f>
        <v>-0.11045551097474628</v>
      </c>
      <c r="BV78" s="863">
        <f>-52.6/BP75</f>
        <v>-0.11499781372977701</v>
      </c>
      <c r="BW78" s="863">
        <f>-45.8/BQ75</f>
        <v>-0.10909957122439257</v>
      </c>
      <c r="BX78" s="863">
        <f>-39.2/BR75</f>
        <v>-7.7165354330708646E-2</v>
      </c>
      <c r="BY78" s="1258">
        <f>-184.4/BS75</f>
        <v>-0.10194040577146331</v>
      </c>
      <c r="BZ78" s="841"/>
      <c r="CA78" s="1900">
        <v>-8.9999999999999993E-3</v>
      </c>
      <c r="CB78" s="1918">
        <v>0</v>
      </c>
      <c r="CC78" s="1918">
        <v>2E-3</v>
      </c>
      <c r="CD78" s="1918">
        <v>-1.2999999999999999E-2</v>
      </c>
      <c r="CE78" s="843">
        <f>(CA78*BU75+CB78*BV75+CC78*BW75+CD78*BX75)/BY75</f>
        <v>-5.2999332140269313E-3</v>
      </c>
      <c r="CF78" s="841"/>
      <c r="CG78" s="1900">
        <v>-0.02</v>
      </c>
      <c r="CH78" s="2225">
        <v>-1.7999999999999999E-2</v>
      </c>
      <c r="CI78" s="1918">
        <v>2.4E-2</v>
      </c>
      <c r="CJ78" s="1918">
        <v>5.1999999999999998E-2</v>
      </c>
      <c r="CK78" s="843">
        <f>(CG78*CA75+CH78*CB75+CI78*CC75+CJ78*CD75)/CE75</f>
        <v>1.2232731334946935E-2</v>
      </c>
      <c r="CL78" s="841"/>
      <c r="CM78" s="1255">
        <v>6.6680741425468634E-2</v>
      </c>
      <c r="CN78" s="1255">
        <v>5.0067583566292144E-2</v>
      </c>
      <c r="CO78" s="1255">
        <v>2.4942821356928498E-2</v>
      </c>
      <c r="CP78" s="1255">
        <v>2.6288462675898794E-2</v>
      </c>
      <c r="CQ78" s="843">
        <f>(CM78*CG75+CN78*CH75+CO78*CI75+CP78*CJ75)/CK75</f>
        <v>4.0347749324725082E-2</v>
      </c>
      <c r="CR78" s="841"/>
      <c r="CS78" s="1255">
        <v>0</v>
      </c>
      <c r="CT78" s="1255">
        <v>0</v>
      </c>
      <c r="CU78" s="1255">
        <v>0</v>
      </c>
      <c r="CV78" s="1255">
        <v>0</v>
      </c>
      <c r="CW78" s="843">
        <f>(CS78*CM75+CT78*CN75+CU78*CO75+CV78*CP75)/CQ75</f>
        <v>0</v>
      </c>
      <c r="CX78" s="841"/>
      <c r="CY78" s="1255">
        <v>0</v>
      </c>
      <c r="CZ78" s="1255">
        <v>0</v>
      </c>
      <c r="DA78" s="1255">
        <v>0</v>
      </c>
      <c r="DB78" s="1255">
        <v>0</v>
      </c>
      <c r="DC78" s="843">
        <f>(CY78*CS75+CZ78*CT75+DA78*CU75+DB78*CV75)/CW75</f>
        <v>0</v>
      </c>
      <c r="DD78" s="841"/>
      <c r="DE78" s="1255">
        <v>0</v>
      </c>
      <c r="DF78" s="1255">
        <v>0</v>
      </c>
      <c r="DG78" s="1255">
        <v>0</v>
      </c>
      <c r="DH78" s="1255">
        <v>0</v>
      </c>
      <c r="DI78" s="843">
        <f>(DE78*CY75+DF78*CZ75+DG78*DA75+DH78*DB75)/DC75</f>
        <v>0</v>
      </c>
    </row>
    <row r="79" spans="1:153" s="355" customFormat="1" ht="11.25" customHeight="1">
      <c r="A79" s="839" t="s">
        <v>578</v>
      </c>
      <c r="B79" s="840"/>
      <c r="C79" s="841"/>
      <c r="D79" s="840"/>
      <c r="E79" s="841"/>
      <c r="F79" s="840"/>
      <c r="G79" s="841"/>
      <c r="H79" s="840"/>
      <c r="I79" s="841"/>
      <c r="J79" s="840"/>
      <c r="K79" s="841"/>
      <c r="L79" s="840"/>
      <c r="M79" s="841"/>
      <c r="N79" s="840"/>
      <c r="O79" s="841"/>
      <c r="P79" s="840"/>
      <c r="Q79" s="841"/>
      <c r="R79" s="840"/>
      <c r="S79" s="842"/>
      <c r="T79" s="840"/>
      <c r="U79" s="840"/>
      <c r="V79" s="887"/>
      <c r="W79" s="887"/>
      <c r="X79" s="840"/>
      <c r="Y79" s="840"/>
      <c r="Z79" s="840"/>
      <c r="AA79" s="840"/>
      <c r="AB79" s="840"/>
      <c r="AC79" s="863"/>
      <c r="AD79" s="840"/>
      <c r="AE79" s="885">
        <f>+AE77-AE80</f>
        <v>0</v>
      </c>
      <c r="AF79" s="844">
        <f>+AF77-AF80</f>
        <v>0</v>
      </c>
      <c r="AG79" s="844">
        <f>+AG77-AG80</f>
        <v>0</v>
      </c>
      <c r="AH79" s="844" t="e">
        <f>+AH77-AH80</f>
        <v>#VALUE!</v>
      </c>
      <c r="AI79" s="1308">
        <f>+AI77-AI80</f>
        <v>1.6760105124095231E-4</v>
      </c>
      <c r="AJ79" s="840"/>
      <c r="AK79" s="885">
        <f>+AK77-AK80</f>
        <v>3.2102391942916142E-4</v>
      </c>
      <c r="AL79" s="844">
        <f>+AL77-AL80</f>
        <v>-7.5441412520096951E-5</v>
      </c>
      <c r="AM79" s="844">
        <f>+AM77-AM80</f>
        <v>2.4783147461460153E-6</v>
      </c>
      <c r="AN79" s="844">
        <f>+AN77-AN80</f>
        <v>-1.9416243654819809E-3</v>
      </c>
      <c r="AO79" s="1308">
        <f>+AO77-AO80</f>
        <v>-3.7936952397985696E-5</v>
      </c>
      <c r="AP79" s="840"/>
      <c r="AQ79" s="885">
        <f>+AQ77-AQ80</f>
        <v>-3.5574837310189955E-4</v>
      </c>
      <c r="AR79" s="844">
        <f>+AR77-AR80</f>
        <v>1.504950495049498E-2</v>
      </c>
      <c r="AS79" s="844">
        <f>+AS77-AS80</f>
        <v>6.4400603545831603E-2</v>
      </c>
      <c r="AT79" s="844">
        <f>+AT77-AT80</f>
        <v>5.7860262008740948E-4</v>
      </c>
      <c r="AU79" s="1308">
        <f>+AU77-AU80</f>
        <v>6.0079407806191143E-2</v>
      </c>
      <c r="AV79" s="840"/>
      <c r="AW79" s="885">
        <f>+AW77-AW80</f>
        <v>0.21823370543752246</v>
      </c>
      <c r="AX79" s="844">
        <f>+AX77-AX80</f>
        <v>0.13503655699567974</v>
      </c>
      <c r="AY79" s="844">
        <f>+AY77-AY80</f>
        <v>0.14728626692456487</v>
      </c>
      <c r="AZ79" s="844">
        <f>+AZ77-AZ80</f>
        <v>3.2102859889450719E-3</v>
      </c>
      <c r="BA79" s="1308">
        <f>+BA77-BA80</f>
        <v>0.11330308835926131</v>
      </c>
      <c r="BB79" s="840"/>
      <c r="BC79" s="885">
        <f>+BC77-BC80</f>
        <v>1.2859943977590993E-2</v>
      </c>
      <c r="BD79" s="844">
        <f>+BD77-BD80</f>
        <v>1.6139581256231397E-2</v>
      </c>
      <c r="BE79" s="844">
        <f>+BE77-BE80</f>
        <v>1.1856596558317445E-2</v>
      </c>
      <c r="BF79" s="844">
        <f>+BF77-BF80</f>
        <v>7.6611239738997583E-3</v>
      </c>
      <c r="BG79" s="1308">
        <f>+BG77-BG80</f>
        <v>1.2077072107525344E-2</v>
      </c>
      <c r="BH79" s="840"/>
      <c r="BI79" s="885">
        <f>+BI77-BI80</f>
        <v>-4.285996055226924E-3</v>
      </c>
      <c r="BJ79" s="844">
        <f>+BJ77-BJ80</f>
        <v>-5.6251485619203956E-3</v>
      </c>
      <c r="BK79" s="844">
        <f>+BK77-BK80</f>
        <v>-5.6453774006246654E-4</v>
      </c>
      <c r="BL79" s="863">
        <f>2/BF75</f>
        <v>3.8662284941040018E-3</v>
      </c>
      <c r="BM79" s="1258">
        <f>-3.8/BG75</f>
        <v>-2.1212459528860109E-3</v>
      </c>
      <c r="BN79" s="841"/>
      <c r="BO79" s="885">
        <f>+BO77-BO80</f>
        <v>1.0512455516014318E-2</v>
      </c>
      <c r="BP79" s="844">
        <f>+BP77-BP80</f>
        <v>6.8533743679927463E-3</v>
      </c>
      <c r="BQ79" s="844">
        <f>+BQ77-BQ80</f>
        <v>7.6810933940773124E-3</v>
      </c>
      <c r="BR79" s="844">
        <f>+BR77-BR80</f>
        <v>-1.2569280927368014E-2</v>
      </c>
      <c r="BS79" s="1459">
        <f>+BS77-BS80</f>
        <v>1.2273567467653446E-3</v>
      </c>
      <c r="BT79" s="841"/>
      <c r="BU79" s="885">
        <f>+BU77-BU80</f>
        <v>-2.5227755487373119E-2</v>
      </c>
      <c r="BV79" s="844">
        <f>+BV77-BV80</f>
        <v>-2.6239177962396061E-2</v>
      </c>
      <c r="BW79" s="844">
        <f>+BW77-BW80</f>
        <v>-2.8355883754168518E-2</v>
      </c>
      <c r="BX79" s="844">
        <f>+BX77-BX80</f>
        <v>-6.462431793660274E-3</v>
      </c>
      <c r="BY79" s="1459">
        <f>+BY77-BY80</f>
        <v>-2.1377530737563901E-2</v>
      </c>
      <c r="BZ79" s="841"/>
      <c r="CA79" s="863">
        <v>1.4999999999999999E-2</v>
      </c>
      <c r="CB79" s="1918">
        <v>3.1E-2</v>
      </c>
      <c r="CC79" s="863">
        <v>1.6E-2</v>
      </c>
      <c r="CD79" s="863">
        <v>1.9E-2</v>
      </c>
      <c r="CE79" s="1308">
        <f>SUMPRODUCT(CA79:CD79,CA75:CD75)/CE75</f>
        <v>2.0102898280891207E-2</v>
      </c>
      <c r="CF79" s="841"/>
      <c r="CG79" s="2360">
        <f>((CA53/CA75*CG57)+(CA65/CA75*CG69))</f>
        <v>5.3075332978156635E-2</v>
      </c>
      <c r="CH79" s="2226">
        <v>5.8000000000000003E-2</v>
      </c>
      <c r="CI79" s="2360">
        <f>((CC53/CC75*CI57)+(CC65/CC75*CI69))</f>
        <v>4.8362528560548367E-2</v>
      </c>
      <c r="CJ79" s="2360">
        <f>((CD53/CD75*CJ57)+(CD65/CD75*CJ69))</f>
        <v>3.5615564533276647E-2</v>
      </c>
      <c r="CK79" s="1308">
        <f>SUMPRODUCT(CG79:CJ79,CG75:CJ75)/CK75</f>
        <v>4.7824969278223876E-2</v>
      </c>
      <c r="CL79" s="841"/>
      <c r="CM79" s="2360">
        <f t="shared" ref="CM79:CP79" si="32">((CG53/CG75*CM57)+(CG65/CG75*CM69))</f>
        <v>0</v>
      </c>
      <c r="CN79" s="2360">
        <f t="shared" si="32"/>
        <v>0</v>
      </c>
      <c r="CO79" s="2360">
        <f t="shared" si="32"/>
        <v>0</v>
      </c>
      <c r="CP79" s="2360">
        <f t="shared" si="32"/>
        <v>1.8851431181670264E-2</v>
      </c>
      <c r="CQ79" s="1308">
        <f>SUMPRODUCT(CM79:CP79,CM75:CP75)/CQ75</f>
        <v>5.6328390134945273E-3</v>
      </c>
      <c r="CR79" s="841"/>
      <c r="CS79" s="2360">
        <f t="shared" ref="CS79" si="33">((CM53/CM75*CS57)+(CM65/CM75*CS69))</f>
        <v>0</v>
      </c>
      <c r="CT79" s="2360">
        <f t="shared" ref="CT79" si="34">((CN53/CN75*CT57)+(CN65/CN75*CT69))</f>
        <v>0</v>
      </c>
      <c r="CU79" s="2360">
        <f t="shared" ref="CU79" si="35">((CO53/CO75*CU57)+(CO65/CO75*CU69))</f>
        <v>0</v>
      </c>
      <c r="CV79" s="2360">
        <f>((CP53/CP75*CV57)+(CP65/CP75*CV69))</f>
        <v>1.7927967555992828E-2</v>
      </c>
      <c r="CW79" s="1308">
        <f>SUMPRODUCT(CS79:CV79,CS75:CV75)/CW75</f>
        <v>5.4525073661840411E-3</v>
      </c>
      <c r="CX79" s="841"/>
      <c r="CY79" s="2360">
        <f t="shared" ref="CY79" si="36">((CS53/CS75*CY57)+(CS65/CS75*CY69))</f>
        <v>0</v>
      </c>
      <c r="CZ79" s="2360">
        <f t="shared" ref="CZ79" si="37">((CT53/CT75*CZ57)+(CT65/CT75*CZ69))</f>
        <v>0</v>
      </c>
      <c r="DA79" s="2360">
        <f t="shared" ref="DA79" si="38">((CU53/CU75*DA57)+(CU65/CU75*DA69))</f>
        <v>0</v>
      </c>
      <c r="DB79" s="2360">
        <f t="shared" ref="DB79" si="39">((CV53/CV75*DB57)+(CV65/CV75*DB69))</f>
        <v>0</v>
      </c>
      <c r="DC79" s="1308">
        <f>SUMPRODUCT(CY79:DB79,CY75:DB75)/DC75</f>
        <v>0</v>
      </c>
      <c r="DD79" s="841"/>
      <c r="DE79" s="2360">
        <f t="shared" ref="DE79" si="40">((CY53/CY75*DE57)+(CY65/CY75*DE69))</f>
        <v>0</v>
      </c>
      <c r="DF79" s="2360">
        <f t="shared" ref="DF79" si="41">((CZ53/CZ75*DF57)+(CZ65/CZ75*DF69))</f>
        <v>0</v>
      </c>
      <c r="DG79" s="2360">
        <f t="shared" ref="DG79" si="42">((DA53/DA75*DG57)+(DA65/DA75*DG69))</f>
        <v>0</v>
      </c>
      <c r="DH79" s="2360">
        <f t="shared" ref="DH79" si="43">((DB53/DB75*DH57)+(DB65/DB75*DH69))</f>
        <v>0</v>
      </c>
      <c r="DI79" s="1308">
        <f>SUMPRODUCT(DE79:DH79,DE75:DH75)/DI75</f>
        <v>0</v>
      </c>
    </row>
    <row r="80" spans="1:153" s="355" customFormat="1" ht="11.25" customHeight="1">
      <c r="A80" s="852" t="s">
        <v>374</v>
      </c>
      <c r="B80" s="853"/>
      <c r="C80" s="854"/>
      <c r="D80" s="853"/>
      <c r="E80" s="854"/>
      <c r="F80" s="853"/>
      <c r="G80" s="854"/>
      <c r="H80" s="853"/>
      <c r="I80" s="854"/>
      <c r="J80" s="853"/>
      <c r="K80" s="854"/>
      <c r="L80" s="853"/>
      <c r="M80" s="854"/>
      <c r="N80" s="853"/>
      <c r="O80" s="854"/>
      <c r="P80" s="853"/>
      <c r="Q80" s="854"/>
      <c r="R80" s="972"/>
      <c r="S80" s="1162">
        <v>0.04</v>
      </c>
      <c r="T80" s="970">
        <v>9.6000000000000002E-2</v>
      </c>
      <c r="U80" s="970">
        <v>0.19800000000000001</v>
      </c>
      <c r="V80" s="1256">
        <v>0.22</v>
      </c>
      <c r="W80" s="973">
        <v>0.13</v>
      </c>
      <c r="X80" s="972"/>
      <c r="Y80" s="1162">
        <v>0.106</v>
      </c>
      <c r="Z80" s="970">
        <v>0.17</v>
      </c>
      <c r="AA80" s="970">
        <v>0.2</v>
      </c>
      <c r="AB80" s="970">
        <v>0.26</v>
      </c>
      <c r="AC80" s="971">
        <v>0.155</v>
      </c>
      <c r="AD80" s="972"/>
      <c r="AE80" s="1162">
        <v>0.05</v>
      </c>
      <c r="AF80" s="970">
        <v>0.19400000000000001</v>
      </c>
      <c r="AG80" s="970">
        <v>-5.5E-2</v>
      </c>
      <c r="AH80" s="970">
        <v>-0.03</v>
      </c>
      <c r="AI80" s="971">
        <f>(74.7-39.5)*7.2%/74.7</f>
        <v>3.3927710843373503E-2</v>
      </c>
      <c r="AJ80" s="972"/>
      <c r="AK80" s="857">
        <v>4.4999999999999998E-2</v>
      </c>
      <c r="AL80" s="858">
        <v>-0.111</v>
      </c>
      <c r="AM80" s="858">
        <v>0.114</v>
      </c>
      <c r="AN80" s="859">
        <v>0.06</v>
      </c>
      <c r="AO80" s="855">
        <v>0.02</v>
      </c>
      <c r="AP80" s="971"/>
      <c r="AQ80" s="857">
        <v>0.124</v>
      </c>
      <c r="AR80" s="858">
        <v>0.2</v>
      </c>
      <c r="AS80" s="858">
        <v>0.17399999999999999</v>
      </c>
      <c r="AT80" s="858">
        <v>0.17</v>
      </c>
      <c r="AU80" s="855">
        <v>0.127</v>
      </c>
      <c r="AV80" s="971"/>
      <c r="AW80" s="857">
        <v>4.4999999999999998E-2</v>
      </c>
      <c r="AX80" s="858">
        <v>7.4999999999999997E-2</v>
      </c>
      <c r="AY80" s="858">
        <v>0.109</v>
      </c>
      <c r="AZ80" s="858">
        <v>0.122</v>
      </c>
      <c r="BA80" s="855">
        <v>9.1999999999999998E-2</v>
      </c>
      <c r="BB80" s="971"/>
      <c r="BC80" s="857">
        <v>0.13700000000000001</v>
      </c>
      <c r="BD80" s="858">
        <v>0.104</v>
      </c>
      <c r="BE80" s="858">
        <v>0.13800000000000001</v>
      </c>
      <c r="BF80" s="858">
        <v>0.10199999999999999</v>
      </c>
      <c r="BG80" s="855">
        <v>0.11899999999999999</v>
      </c>
      <c r="BH80" s="971"/>
      <c r="BI80" s="857">
        <v>-1.0999999999999999E-2</v>
      </c>
      <c r="BJ80" s="858">
        <v>9.5000000000000001E-2</v>
      </c>
      <c r="BK80" s="858">
        <v>-2.4E-2</v>
      </c>
      <c r="BL80" s="858">
        <v>6.2E-2</v>
      </c>
      <c r="BM80" s="855">
        <v>3.2000000000000001E-2</v>
      </c>
      <c r="BN80" s="854"/>
      <c r="BO80" s="857">
        <v>6.6000000000000003E-2</v>
      </c>
      <c r="BP80" s="858">
        <v>-2.4E-2</v>
      </c>
      <c r="BQ80" s="858">
        <v>-4.8000000000000001E-2</v>
      </c>
      <c r="BR80" s="858">
        <v>-5.0000000000000001E-3</v>
      </c>
      <c r="BS80" s="855">
        <v>-4.0000000000000001E-3</v>
      </c>
      <c r="BT80" s="854"/>
      <c r="BU80" s="857">
        <v>-0.03</v>
      </c>
      <c r="BV80" s="858">
        <v>7.0000000000000001E-3</v>
      </c>
      <c r="BW80" s="858">
        <v>8.1000000000000003E-2</v>
      </c>
      <c r="BX80" s="858">
        <v>2.5000000000000001E-2</v>
      </c>
      <c r="BY80" s="855">
        <v>2.1000000000000001E-2</v>
      </c>
      <c r="BZ80" s="854"/>
      <c r="CA80" s="859">
        <f>+CA77-CA79</f>
        <v>5.5951909476661843E-2</v>
      </c>
      <c r="CB80" s="859">
        <f>+CB77-CB79</f>
        <v>-9.2363636363636287E-2</v>
      </c>
      <c r="CC80" s="859">
        <f>+CC77-CC79</f>
        <v>-2.3554152991668839E-2</v>
      </c>
      <c r="CD80" s="859">
        <f>+CD77-CD79</f>
        <v>-2.255541991904108E-2</v>
      </c>
      <c r="CE80" s="861">
        <f>+CE77-CE79</f>
        <v>-2.2511397726647769E-2</v>
      </c>
      <c r="CF80" s="854"/>
      <c r="CG80" s="859">
        <f>+CG77-CG79</f>
        <v>-7.7689930740543825E-3</v>
      </c>
      <c r="CH80" s="2227">
        <f>+CH77-CH79</f>
        <v>7.6222760290556774E-2</v>
      </c>
      <c r="CI80" s="859">
        <f t="shared" ref="CI80:CJ80" si="44">+CI77-CI79</f>
        <v>3.3501904036557513E-2</v>
      </c>
      <c r="CJ80" s="859">
        <f t="shared" si="44"/>
        <v>4.0310660114897409E-2</v>
      </c>
      <c r="CK80" s="861">
        <f>+CK77-CK79</f>
        <v>3.58671448234558E-2</v>
      </c>
      <c r="CL80" s="854"/>
      <c r="CM80" s="859">
        <f>+CM77-CM79</f>
        <v>3.4065405946750463E-2</v>
      </c>
      <c r="CN80" s="859">
        <f>+CN77-CN79</f>
        <v>-3.34713092911431E-3</v>
      </c>
      <c r="CO80" s="859">
        <f>+CO77-CO79</f>
        <v>1.041023695771414E-2</v>
      </c>
      <c r="CP80" s="859">
        <f>+CP77-CP79</f>
        <v>6.3697724106939746E-3</v>
      </c>
      <c r="CQ80" s="861">
        <f>+CQ77-CQ79</f>
        <v>1.115026964340937E-2</v>
      </c>
      <c r="CR80" s="854"/>
      <c r="CS80" s="859">
        <f>+CS77-CS79</f>
        <v>1.7384490839773559E-2</v>
      </c>
      <c r="CT80" s="859">
        <f>+CT77-CT79</f>
        <v>3.4815534903165579E-2</v>
      </c>
      <c r="CU80" s="859">
        <f>+CU77-CU79</f>
        <v>1.5054328390025518E-2</v>
      </c>
      <c r="CV80" s="859">
        <f>+CV77-CV79</f>
        <v>3.0656618734819698E-2</v>
      </c>
      <c r="CW80" s="861">
        <f>+CW77-CW79</f>
        <v>2.4746858939213395E-2</v>
      </c>
      <c r="CX80" s="854"/>
      <c r="CY80" s="859">
        <f>+CY77-CY79</f>
        <v>2.696207425622088E-2</v>
      </c>
      <c r="CZ80" s="859">
        <f>+CZ77-CZ79</f>
        <v>9.992444660892108E-3</v>
      </c>
      <c r="DA80" s="859">
        <f>+DA77-DA79</f>
        <v>3.4704556613559534E-2</v>
      </c>
      <c r="DB80" s="859">
        <f>+DB77-DB79</f>
        <v>1.9064721581865562E-2</v>
      </c>
      <c r="DC80" s="861">
        <f>+DC77-DC79</f>
        <v>2.2437736885952964E-2</v>
      </c>
      <c r="DD80" s="854"/>
      <c r="DE80" s="859">
        <f>+DE77-DE79</f>
        <v>1.6248717461933238E-2</v>
      </c>
      <c r="DF80" s="859">
        <f>+DF77-DF79</f>
        <v>3.2226517388399989E-2</v>
      </c>
      <c r="DG80" s="859">
        <f>+DG77-DG79</f>
        <v>1.496470969801833E-2</v>
      </c>
      <c r="DH80" s="859">
        <f>+DH77-DH79</f>
        <v>2.8161299192853262E-2</v>
      </c>
      <c r="DI80" s="861">
        <f>+DI77-DI79</f>
        <v>2.3238785807826456E-2</v>
      </c>
    </row>
    <row r="81" spans="1:113" s="355" customFormat="1" ht="11.25" customHeight="1">
      <c r="A81" s="527" t="s">
        <v>68</v>
      </c>
      <c r="B81" s="353"/>
      <c r="C81" s="353"/>
      <c r="D81" s="353"/>
      <c r="E81" s="353"/>
      <c r="F81" s="353"/>
      <c r="G81" s="353"/>
      <c r="H81" s="353"/>
      <c r="I81" s="353"/>
      <c r="J81" s="353"/>
      <c r="K81" s="353"/>
      <c r="L81" s="353"/>
      <c r="M81" s="353"/>
      <c r="N81" s="353"/>
      <c r="O81" s="353"/>
      <c r="P81" s="353"/>
      <c r="Q81" s="353"/>
      <c r="R81" s="353"/>
      <c r="S81" s="353"/>
      <c r="T81" s="353"/>
      <c r="U81" s="353"/>
      <c r="V81" s="353"/>
      <c r="W81" s="353"/>
      <c r="X81" s="353"/>
      <c r="Y81" s="353"/>
      <c r="Z81" s="353"/>
      <c r="AA81" s="353"/>
      <c r="AB81" s="353"/>
      <c r="AC81" s="629">
        <f>ROUND(AC75-IS!AC9,3)</f>
        <v>0</v>
      </c>
      <c r="AD81" s="585"/>
      <c r="AE81" s="629">
        <f>ROUND(AE75-IS!AE9,3)</f>
        <v>0</v>
      </c>
      <c r="AF81" s="629">
        <f>ROUND(AF75-IS!AF9,3)</f>
        <v>0</v>
      </c>
      <c r="AG81" s="629">
        <f>ROUND(AG75-IS!AG9,3)</f>
        <v>0</v>
      </c>
      <c r="AH81" s="629">
        <f>ROUND(AH75-IS!AH9,3)</f>
        <v>0</v>
      </c>
      <c r="AI81" s="629">
        <f>ROUND(AI75-IS!AI9,3)</f>
        <v>0</v>
      </c>
      <c r="AJ81" s="585"/>
      <c r="AK81" s="629">
        <f>ROUND(AK75-IS!AK9,3)</f>
        <v>0</v>
      </c>
      <c r="AL81" s="629">
        <f>ROUND(AL75-IS!AL9,3)</f>
        <v>0</v>
      </c>
      <c r="AM81" s="629">
        <f>ROUND(AM75-IS!AM9,3)</f>
        <v>0</v>
      </c>
      <c r="AN81" s="629">
        <f>ROUND(AN75-IS!AN9,3)</f>
        <v>0</v>
      </c>
      <c r="AO81" s="629">
        <f>ROUND(AO75-IS!AO9,3)</f>
        <v>0</v>
      </c>
      <c r="AP81" s="585"/>
      <c r="AQ81" s="629">
        <f>ROUND(AQ75-IS!AQ9,3)</f>
        <v>0</v>
      </c>
      <c r="AR81" s="629">
        <f>ROUND(AR75-IS!AR9,3)</f>
        <v>0</v>
      </c>
      <c r="AS81" s="629">
        <f>ROUND(AS75-IS!AS9,3)</f>
        <v>0</v>
      </c>
      <c r="AT81" s="629">
        <f>ROUND(AT75-IS!AT9,3)</f>
        <v>0</v>
      </c>
      <c r="AU81" s="629">
        <f>ROUND(AU75-IS!AU9,3)</f>
        <v>0</v>
      </c>
      <c r="AV81" s="585"/>
      <c r="AW81" s="629">
        <f>ROUND(AW75-IS!AW9,3)</f>
        <v>0</v>
      </c>
      <c r="AX81" s="629">
        <f>ROUND(AX75-IS!AX9,3)</f>
        <v>0</v>
      </c>
      <c r="AY81" s="629">
        <f>ROUND(AY75-IS!AY9,3)</f>
        <v>0</v>
      </c>
      <c r="AZ81" s="629">
        <f>ROUND(AZ75-IS!AZ9,3)</f>
        <v>0</v>
      </c>
      <c r="BA81" s="629">
        <f>ROUND(BA75-IS!BA9,3)</f>
        <v>0</v>
      </c>
      <c r="BB81" s="585"/>
      <c r="BC81" s="629">
        <f>ROUND(BC75-IS!BC9,3)</f>
        <v>0</v>
      </c>
      <c r="BD81" s="629">
        <f>ROUND(BD75-IS!BD9,3)</f>
        <v>0</v>
      </c>
      <c r="BE81" s="629">
        <f>ROUND(BE75-IS!BE9,3)</f>
        <v>0</v>
      </c>
      <c r="BF81" s="629">
        <f>ROUND(BF75-IS!BF9,3)</f>
        <v>0</v>
      </c>
      <c r="BG81" s="629">
        <f>ROUND(BG75-IS!BG9,3)</f>
        <v>0</v>
      </c>
      <c r="BH81" s="353"/>
      <c r="BI81" s="629">
        <f>ROUND(BI75-IS!BI9,3)</f>
        <v>0</v>
      </c>
      <c r="BJ81" s="629">
        <f>ROUND(BJ75-IS!BJ9,3)</f>
        <v>0</v>
      </c>
      <c r="BK81" s="629">
        <f>ROUND(BK75-IS!BK9,3)</f>
        <v>0</v>
      </c>
      <c r="BL81" s="629">
        <f>ROUND(BL75-IS!BL9,3)</f>
        <v>0</v>
      </c>
      <c r="BM81" s="629">
        <f>ROUND(BM75-IS!BM9,3)</f>
        <v>0</v>
      </c>
      <c r="BN81" s="353"/>
      <c r="BO81" s="629">
        <f>ROUND(BO75-IS!BO9,3)</f>
        <v>0</v>
      </c>
      <c r="BP81" s="629">
        <f>ROUND(BP75-IS!BP9,3)</f>
        <v>0</v>
      </c>
      <c r="BQ81" s="629">
        <f>ROUND(BQ75-IS!BQ9,3)</f>
        <v>0</v>
      </c>
      <c r="BR81" s="629">
        <f>ROUND(BR75-IS!BR9,3)</f>
        <v>0</v>
      </c>
      <c r="BS81" s="629">
        <f>ROUND(BS75-IS!BS9,3)</f>
        <v>0</v>
      </c>
      <c r="BT81" s="353"/>
      <c r="BU81" s="629">
        <f>ROUND(BU75-IS!BU9,3)</f>
        <v>0</v>
      </c>
      <c r="BV81" s="629">
        <f>ROUND(BV75-IS!BV9,3)</f>
        <v>0</v>
      </c>
      <c r="BW81" s="629">
        <f>ROUND(BW75-IS!BW9,2)</f>
        <v>0</v>
      </c>
      <c r="BX81" s="629">
        <f>ROUND(BX75-IS!BX9,1)</f>
        <v>0</v>
      </c>
      <c r="BY81" s="629">
        <f>ROUND(BY75-IS!BY9,1)</f>
        <v>0</v>
      </c>
      <c r="BZ81" s="353"/>
      <c r="CA81" s="629">
        <f>ROUND(CA75-IS!CA9,1)</f>
        <v>0</v>
      </c>
      <c r="CB81" s="629">
        <f>ROUND(CB75-IS!CB9,3)</f>
        <v>0</v>
      </c>
      <c r="CC81" s="1984">
        <f>ROUND(CC75-IS!CC9,3)</f>
        <v>0</v>
      </c>
      <c r="CD81" s="2015">
        <f>ROUND(CD75-IS!CD9,3)</f>
        <v>0</v>
      </c>
      <c r="CE81" s="2015">
        <f>ROUND(CE75-IS!CE9,1)</f>
        <v>0</v>
      </c>
      <c r="CF81" s="353"/>
      <c r="CG81" s="2015">
        <f>ROUND(CG75-IS!CG9,1)</f>
        <v>0</v>
      </c>
      <c r="CH81" s="2015">
        <f>ROUND(CH75-IS!CH9,1)</f>
        <v>0</v>
      </c>
      <c r="CI81" s="2015">
        <f>ROUND(CI75-IS!CI9,1)</f>
        <v>0</v>
      </c>
      <c r="CJ81" s="2015">
        <f>ROUND(CJ75-IS!CJ9,1)</f>
        <v>0</v>
      </c>
      <c r="CK81" s="2015">
        <f>ROUND(CK75-IS!CK9,1)</f>
        <v>0</v>
      </c>
      <c r="CL81" s="353"/>
      <c r="CM81" s="2015">
        <f>ROUND(CM75-IS!CM9,1)</f>
        <v>0</v>
      </c>
      <c r="CN81" s="2015">
        <f>ROUND(CN75-IS!CN9,1)</f>
        <v>0</v>
      </c>
      <c r="CO81" s="2015">
        <f>ROUND(CO75-IS!CO9,1)</f>
        <v>0</v>
      </c>
      <c r="CP81" s="2015">
        <f>ROUND(CP75-IS!CP9,1)</f>
        <v>0</v>
      </c>
      <c r="CQ81" s="2015">
        <f>ROUND(CQ75-IS!CQ9,1)</f>
        <v>0</v>
      </c>
      <c r="CR81" s="353"/>
      <c r="CS81" s="2015">
        <f>ROUND(CS75-IS!CS9,1)</f>
        <v>0</v>
      </c>
      <c r="CT81" s="2015">
        <f>ROUND(CT75-IS!CT9,1)</f>
        <v>0</v>
      </c>
      <c r="CU81" s="2015">
        <f>ROUND(CU75-IS!CU9,1)</f>
        <v>0</v>
      </c>
      <c r="CV81" s="2015">
        <f>ROUND(CV75-IS!CV9,1)</f>
        <v>0</v>
      </c>
      <c r="CW81" s="2015">
        <f>ROUND(CW75-IS!CW9,1)</f>
        <v>0</v>
      </c>
      <c r="CX81" s="353"/>
      <c r="CY81" s="2015">
        <f>ROUND(CY75-IS!CY9,1)</f>
        <v>0</v>
      </c>
      <c r="CZ81" s="2015">
        <f>ROUND(CZ75-IS!CZ9,1)</f>
        <v>0</v>
      </c>
      <c r="DA81" s="2015">
        <f>ROUND(DA75-IS!DA9,1)</f>
        <v>0</v>
      </c>
      <c r="DB81" s="2015">
        <f>ROUND(DB75-IS!DB9,1)</f>
        <v>0</v>
      </c>
      <c r="DC81" s="2015">
        <f>ROUND(DC75-IS!DC9,1)</f>
        <v>0</v>
      </c>
      <c r="DD81" s="353"/>
      <c r="DE81" s="2015">
        <f>ROUND(DE75-IS!DE9,1)</f>
        <v>0</v>
      </c>
      <c r="DF81" s="2015">
        <f>ROUND(DF75-IS!DF9,1)</f>
        <v>0</v>
      </c>
      <c r="DG81" s="2015">
        <f>ROUND(DG75-IS!DG9,1)</f>
        <v>0</v>
      </c>
      <c r="DH81" s="2015">
        <f>ROUND(DH75-IS!DH9,1)</f>
        <v>0</v>
      </c>
      <c r="DI81" s="2015">
        <f>ROUND(DI75-IS!DI9,1)</f>
        <v>0</v>
      </c>
    </row>
    <row r="82" spans="1:113" s="355" customFormat="1" ht="11.25" customHeight="1">
      <c r="A82" s="421"/>
      <c r="B82" s="353"/>
      <c r="C82" s="353"/>
      <c r="D82" s="353"/>
      <c r="E82" s="353"/>
      <c r="F82" s="353"/>
      <c r="G82" s="353"/>
      <c r="H82" s="353"/>
      <c r="I82" s="353"/>
      <c r="J82" s="353"/>
      <c r="K82" s="353"/>
      <c r="L82" s="353"/>
      <c r="M82" s="353"/>
      <c r="N82" s="353"/>
      <c r="O82" s="353"/>
      <c r="P82" s="353"/>
      <c r="Q82" s="353"/>
      <c r="R82" s="353"/>
      <c r="S82" s="353"/>
      <c r="T82" s="353"/>
      <c r="U82" s="353"/>
      <c r="V82" s="353"/>
      <c r="W82" s="353"/>
      <c r="X82" s="353"/>
      <c r="Y82" s="353"/>
      <c r="Z82" s="353"/>
      <c r="AA82" s="353"/>
      <c r="AB82" s="353"/>
      <c r="AC82" s="422"/>
      <c r="AD82" s="353"/>
      <c r="AE82" s="423">
        <f>+AE76-AE78+AE79</f>
        <v>0.05</v>
      </c>
      <c r="AF82" s="423">
        <f>+AF76-AF78+AF79</f>
        <v>0.19400000000000001</v>
      </c>
      <c r="AG82" s="423">
        <f>+AG76-AG78+AG79</f>
        <v>-5.5E-2</v>
      </c>
      <c r="AH82" s="423"/>
      <c r="AI82" s="423">
        <f>+AI76-AI78+AI79</f>
        <v>3.4262912945855407E-2</v>
      </c>
      <c r="AJ82" s="353"/>
      <c r="AK82" s="423">
        <f t="shared" ref="AK82:BE82" si="45">+AK76-AK78-AK79</f>
        <v>4.4999999999999998E-2</v>
      </c>
      <c r="AL82" s="423">
        <f t="shared" si="45"/>
        <v>-0.111</v>
      </c>
      <c r="AM82" s="423">
        <f t="shared" si="45"/>
        <v>0.114</v>
      </c>
      <c r="AN82" s="423">
        <f t="shared" si="45"/>
        <v>0.06</v>
      </c>
      <c r="AO82" s="423">
        <f t="shared" si="45"/>
        <v>0.02</v>
      </c>
      <c r="AP82" s="423">
        <f t="shared" si="45"/>
        <v>0</v>
      </c>
      <c r="AQ82" s="423">
        <f t="shared" si="45"/>
        <v>0.124</v>
      </c>
      <c r="AR82" s="423">
        <f t="shared" si="45"/>
        <v>0.2</v>
      </c>
      <c r="AS82" s="423">
        <f t="shared" si="45"/>
        <v>0.17399999999999999</v>
      </c>
      <c r="AT82" s="423">
        <f t="shared" si="45"/>
        <v>0.17</v>
      </c>
      <c r="AU82" s="423">
        <f t="shared" si="45"/>
        <v>0.127</v>
      </c>
      <c r="AV82" s="423">
        <f t="shared" si="45"/>
        <v>0</v>
      </c>
      <c r="AW82" s="423">
        <f t="shared" si="45"/>
        <v>4.4999999999999984E-2</v>
      </c>
      <c r="AX82" s="423">
        <f t="shared" si="45"/>
        <v>7.5000000000000011E-2</v>
      </c>
      <c r="AY82" s="423">
        <f t="shared" si="45"/>
        <v>0.10899999999999999</v>
      </c>
      <c r="AZ82" s="423">
        <f t="shared" si="45"/>
        <v>0.122</v>
      </c>
      <c r="BA82" s="423">
        <f t="shared" si="45"/>
        <v>9.1999999999999998E-2</v>
      </c>
      <c r="BB82" s="423">
        <f t="shared" si="45"/>
        <v>0</v>
      </c>
      <c r="BC82" s="423">
        <f t="shared" si="45"/>
        <v>0.13700000000000001</v>
      </c>
      <c r="BD82" s="423">
        <f t="shared" si="45"/>
        <v>0.104</v>
      </c>
      <c r="BE82" s="423">
        <f t="shared" si="45"/>
        <v>0.13800000000000001</v>
      </c>
      <c r="BF82" s="423">
        <f>+BF76-BF78-BF79</f>
        <v>0.10199999999999999</v>
      </c>
      <c r="BG82" s="423"/>
      <c r="BH82" s="423"/>
      <c r="BI82" s="423"/>
      <c r="BJ82" s="423"/>
      <c r="BK82" s="423"/>
      <c r="BL82" s="423"/>
      <c r="BM82" s="423"/>
      <c r="BN82" s="353"/>
      <c r="BO82" s="423"/>
      <c r="BP82" s="423"/>
      <c r="BQ82" s="423"/>
      <c r="BR82" s="423"/>
      <c r="BS82" s="423"/>
      <c r="BT82" s="353"/>
      <c r="BU82" s="423"/>
      <c r="BV82" s="423"/>
      <c r="BW82" s="353"/>
      <c r="BX82" s="423"/>
      <c r="BY82" s="423"/>
      <c r="BZ82" s="353"/>
      <c r="CA82" s="353"/>
      <c r="CB82" s="353"/>
      <c r="CC82" s="353"/>
      <c r="CD82" s="353"/>
      <c r="CE82" s="353"/>
      <c r="CF82" s="353"/>
      <c r="CG82" s="423"/>
      <c r="CH82" s="423"/>
      <c r="CI82" s="423"/>
      <c r="CJ82" s="423"/>
      <c r="CK82" s="423"/>
      <c r="CL82" s="353"/>
      <c r="CM82" s="353"/>
      <c r="CN82" s="353"/>
      <c r="CO82" s="353"/>
      <c r="CP82" s="353"/>
      <c r="CQ82" s="353"/>
      <c r="CR82" s="353"/>
      <c r="CS82" s="353"/>
      <c r="CT82" s="353"/>
      <c r="CU82" s="353"/>
      <c r="CV82" s="353"/>
      <c r="CW82" s="353"/>
      <c r="CX82" s="353"/>
      <c r="CY82" s="353"/>
      <c r="CZ82" s="353"/>
      <c r="DA82" s="353"/>
      <c r="DB82" s="353"/>
      <c r="DC82" s="353"/>
      <c r="DD82" s="353"/>
      <c r="DE82" s="353"/>
      <c r="DF82" s="353"/>
      <c r="DG82" s="353"/>
      <c r="DH82" s="353"/>
      <c r="DI82" s="353"/>
    </row>
    <row r="83" spans="1:113" s="355" customFormat="1" ht="11.25" customHeight="1">
      <c r="A83" s="73" t="s">
        <v>362</v>
      </c>
      <c r="B83" s="74"/>
      <c r="C83" s="75"/>
      <c r="D83" s="74"/>
      <c r="E83" s="75"/>
      <c r="F83" s="74"/>
      <c r="G83" s="75"/>
      <c r="H83" s="74"/>
      <c r="I83" s="75"/>
      <c r="J83" s="74"/>
      <c r="K83" s="75"/>
      <c r="L83" s="74"/>
      <c r="M83" s="75"/>
      <c r="N83" s="74"/>
      <c r="O83" s="75"/>
      <c r="P83" s="74"/>
      <c r="Q83" s="75"/>
      <c r="R83" s="74"/>
      <c r="S83" s="74"/>
      <c r="T83" s="74"/>
      <c r="U83" s="74"/>
      <c r="V83" s="74"/>
      <c r="W83" s="74"/>
      <c r="X83" s="74"/>
      <c r="Y83" s="74"/>
      <c r="Z83" s="74"/>
      <c r="AA83" s="74"/>
      <c r="AB83" s="74"/>
      <c r="AC83" s="74"/>
      <c r="AD83" s="74"/>
      <c r="AE83" s="74"/>
      <c r="AF83" s="74"/>
      <c r="AG83" s="74"/>
      <c r="AH83" s="74"/>
      <c r="AI83" s="74"/>
      <c r="AJ83" s="74"/>
      <c r="AK83" s="74"/>
      <c r="AL83" s="74"/>
      <c r="AM83" s="74"/>
      <c r="AN83" s="74"/>
      <c r="AO83" s="74"/>
      <c r="AP83" s="74"/>
      <c r="AQ83" s="74"/>
      <c r="AR83" s="74"/>
      <c r="AS83" s="74"/>
      <c r="AT83" s="74"/>
      <c r="AU83" s="74"/>
      <c r="AV83" s="74"/>
      <c r="AW83" s="74"/>
      <c r="AX83" s="74"/>
      <c r="AY83" s="74"/>
      <c r="AZ83" s="74"/>
      <c r="BA83" s="74"/>
      <c r="BB83" s="74"/>
      <c r="BC83" s="74"/>
      <c r="BD83" s="74"/>
      <c r="BE83" s="74"/>
      <c r="BF83" s="74"/>
      <c r="BG83" s="74"/>
      <c r="BH83" s="74"/>
      <c r="BI83" s="74"/>
      <c r="BJ83" s="74"/>
      <c r="BK83" s="74"/>
      <c r="BL83" s="74"/>
      <c r="BM83" s="74"/>
      <c r="BN83" s="74"/>
      <c r="BO83" s="74"/>
      <c r="BP83" s="74"/>
      <c r="BQ83" s="74"/>
      <c r="BR83" s="74"/>
      <c r="BS83" s="76"/>
      <c r="BT83" s="74"/>
      <c r="BU83" s="74"/>
      <c r="BV83" s="74"/>
      <c r="BW83" s="74"/>
      <c r="BX83" s="74"/>
      <c r="BY83" s="76"/>
      <c r="BZ83" s="74"/>
      <c r="CA83" s="74"/>
      <c r="CB83" s="74"/>
      <c r="CC83" s="74"/>
      <c r="CD83" s="76"/>
      <c r="CE83" s="76"/>
      <c r="CF83" s="74"/>
      <c r="CG83" s="74"/>
      <c r="CH83" s="74"/>
      <c r="CI83" s="74"/>
      <c r="CJ83" s="76"/>
      <c r="CK83" s="76"/>
      <c r="CL83" s="74"/>
      <c r="CM83" s="74"/>
      <c r="CN83" s="74"/>
      <c r="CO83" s="74"/>
      <c r="CP83" s="76"/>
      <c r="CQ83" s="76"/>
      <c r="CR83" s="74"/>
      <c r="CS83" s="74"/>
      <c r="CT83" s="74"/>
      <c r="CU83" s="74"/>
      <c r="CV83" s="76"/>
      <c r="CW83" s="76"/>
      <c r="CX83" s="74"/>
      <c r="CY83" s="74"/>
      <c r="CZ83" s="74"/>
      <c r="DA83" s="74"/>
      <c r="DB83" s="76"/>
      <c r="DC83" s="76"/>
      <c r="DD83" s="74"/>
      <c r="DE83" s="74"/>
      <c r="DF83" s="74"/>
      <c r="DG83" s="74"/>
      <c r="DH83" s="76"/>
      <c r="DI83" s="76"/>
    </row>
    <row r="84" spans="1:113" s="355" customFormat="1" ht="11.25" customHeight="1">
      <c r="A84" s="1513" t="s">
        <v>251</v>
      </c>
      <c r="B84" s="1514"/>
      <c r="C84" s="1515"/>
      <c r="D84" s="1514"/>
      <c r="E84" s="1515"/>
      <c r="F84" s="1514"/>
      <c r="G84" s="1515"/>
      <c r="H84" s="1514"/>
      <c r="I84" s="1515"/>
      <c r="J84" s="1514"/>
      <c r="K84" s="1515"/>
      <c r="L84" s="1514"/>
      <c r="M84" s="1515"/>
      <c r="N84" s="1514"/>
      <c r="O84" s="1515"/>
      <c r="P84" s="1514"/>
      <c r="Q84" s="1515"/>
      <c r="R84" s="1514"/>
      <c r="S84" s="1516"/>
      <c r="T84" s="1517"/>
      <c r="U84" s="1517"/>
      <c r="V84" s="1518"/>
      <c r="W84" s="1518"/>
      <c r="X84" s="1517"/>
      <c r="Y84" s="1516"/>
      <c r="Z84" s="1517"/>
      <c r="AA84" s="1517"/>
      <c r="AB84" s="1518"/>
      <c r="AC84" s="1518"/>
      <c r="AD84" s="1517"/>
      <c r="AE84" s="1516"/>
      <c r="AF84" s="1517"/>
      <c r="AG84" s="1517"/>
      <c r="AH84" s="1518"/>
      <c r="AI84" s="1518"/>
      <c r="AJ84" s="1517"/>
      <c r="AK84" s="1516"/>
      <c r="AL84" s="1517"/>
      <c r="AM84" s="1517"/>
      <c r="AN84" s="1518"/>
      <c r="AO84" s="1518"/>
      <c r="AP84" s="1517"/>
      <c r="AQ84" s="1516"/>
      <c r="AR84" s="1517"/>
      <c r="AS84" s="1517"/>
      <c r="AT84" s="1518"/>
      <c r="AU84" s="1518"/>
      <c r="AV84" s="1517"/>
      <c r="AW84" s="1516"/>
      <c r="AX84" s="1517"/>
      <c r="AY84" s="1517"/>
      <c r="AZ84" s="1518"/>
      <c r="BA84" s="1519"/>
      <c r="BB84" s="1517"/>
      <c r="BC84" s="1516"/>
      <c r="BD84" s="1517"/>
      <c r="BE84" s="1517"/>
      <c r="BF84" s="1518"/>
      <c r="BG84" s="1519"/>
      <c r="BH84" s="1517"/>
      <c r="BI84" s="1516"/>
      <c r="BJ84" s="1517"/>
      <c r="BK84" s="1517"/>
      <c r="BL84" s="1518"/>
      <c r="BM84" s="1519"/>
      <c r="BN84" s="1517"/>
      <c r="BO84" s="1516"/>
      <c r="BP84" s="1517"/>
      <c r="BQ84" s="1517"/>
      <c r="BR84" s="1518"/>
      <c r="BS84" s="1519"/>
      <c r="BT84" s="1517"/>
      <c r="BU84" s="1516"/>
      <c r="BV84" s="1517"/>
      <c r="BW84" s="1517"/>
      <c r="BX84" s="1518"/>
      <c r="BY84" s="1519"/>
      <c r="BZ84" s="1517"/>
      <c r="CA84" s="1516"/>
      <c r="CB84" s="1517"/>
      <c r="CC84" s="1517"/>
      <c r="CD84" s="1518"/>
      <c r="CE84" s="1519"/>
      <c r="CF84" s="1517"/>
      <c r="CG84" s="1516"/>
      <c r="CH84" s="1517"/>
      <c r="CI84" s="1517"/>
      <c r="CJ84" s="1518"/>
      <c r="CK84" s="1519"/>
      <c r="CL84" s="1517"/>
      <c r="CM84" s="1516"/>
      <c r="CN84" s="1517"/>
      <c r="CO84" s="1517"/>
      <c r="CP84" s="1518"/>
      <c r="CQ84" s="1519"/>
      <c r="CR84" s="1517"/>
      <c r="CS84" s="1516"/>
      <c r="CT84" s="1517"/>
      <c r="CU84" s="1517"/>
      <c r="CV84" s="1518"/>
      <c r="CW84" s="1519"/>
      <c r="CX84" s="1517"/>
      <c r="CY84" s="1516"/>
      <c r="CZ84" s="1517"/>
      <c r="DA84" s="1517"/>
      <c r="DB84" s="1518"/>
      <c r="DC84" s="1519"/>
      <c r="DD84" s="1517"/>
      <c r="DE84" s="1516"/>
      <c r="DF84" s="1517"/>
      <c r="DG84" s="1517"/>
      <c r="DH84" s="1518"/>
      <c r="DI84" s="1519"/>
    </row>
    <row r="85" spans="1:113" s="355" customFormat="1" ht="11.25" customHeight="1">
      <c r="A85" s="368" t="s">
        <v>473</v>
      </c>
      <c r="B85" s="363"/>
      <c r="C85" s="357"/>
      <c r="D85" s="363"/>
      <c r="E85" s="357"/>
      <c r="F85" s="363"/>
      <c r="G85" s="357"/>
      <c r="H85" s="363"/>
      <c r="I85" s="357"/>
      <c r="J85" s="363"/>
      <c r="K85" s="357"/>
      <c r="L85" s="363"/>
      <c r="M85" s="357"/>
      <c r="N85" s="363"/>
      <c r="O85" s="357"/>
      <c r="P85" s="363"/>
      <c r="Q85" s="357"/>
      <c r="R85" s="363"/>
      <c r="S85" s="362"/>
      <c r="T85" s="363"/>
      <c r="U85" s="363"/>
      <c r="V85" s="363"/>
      <c r="W85" s="357"/>
      <c r="X85" s="363"/>
      <c r="Y85" s="362"/>
      <c r="Z85" s="363"/>
      <c r="AA85" s="363"/>
      <c r="AB85" s="363"/>
      <c r="AC85" s="562">
        <f>AC53/AC75</f>
        <v>0.96948857032158087</v>
      </c>
      <c r="AD85" s="556"/>
      <c r="AE85" s="563">
        <f>AE53/AE75</f>
        <v>0.96726814939152328</v>
      </c>
      <c r="AF85" s="564">
        <f>AF53/AF75</f>
        <v>0.9727126805778491</v>
      </c>
      <c r="AG85" s="564">
        <f>AG53/AG75</f>
        <v>0.96571664601404383</v>
      </c>
      <c r="AH85" s="564">
        <f>AH53/AH75</f>
        <v>0.97335025380710671</v>
      </c>
      <c r="AI85" s="562">
        <f>AI53/AI75</f>
        <v>0.97019239454430495</v>
      </c>
      <c r="AJ85" s="556"/>
      <c r="AK85" s="563">
        <f>AK53/AK75</f>
        <v>0.97006507592190883</v>
      </c>
      <c r="AL85" s="564">
        <f>AL53/AL75</f>
        <v>0.95564356435643572</v>
      </c>
      <c r="AM85" s="564">
        <f>AM53/AM75</f>
        <v>0.94907582044511496</v>
      </c>
      <c r="AN85" s="564">
        <f>AN53/AN75</f>
        <v>0.94486899563318782</v>
      </c>
      <c r="AO85" s="562">
        <f>AO53/AO75</f>
        <v>0.95352175863615973</v>
      </c>
      <c r="AP85" s="556"/>
      <c r="AQ85" s="563">
        <f>AQ53/AQ75</f>
        <v>0.93734245588764864</v>
      </c>
      <c r="AR85" s="564">
        <f>AR53/AR75</f>
        <v>0.94682618810235963</v>
      </c>
      <c r="AS85" s="564">
        <f>AS53/AS75</f>
        <v>0.93649258542875569</v>
      </c>
      <c r="AT85" s="564">
        <f>AT53/AT75</f>
        <v>0.93583273251622212</v>
      </c>
      <c r="AU85" s="562">
        <f>AU53/AU75</f>
        <v>0.93884588857383711</v>
      </c>
      <c r="AV85" s="556"/>
      <c r="AW85" s="563">
        <f>AW53/AW75</f>
        <v>0.94061624649859943</v>
      </c>
      <c r="AX85" s="564">
        <f>AX53/AX75</f>
        <v>0.94192422731804581</v>
      </c>
      <c r="AY85" s="564">
        <f>AY53/AY75</f>
        <v>0.94311663479923513</v>
      </c>
      <c r="AZ85" s="564">
        <f>AZ53/AZ75</f>
        <v>0.93832877288991789</v>
      </c>
      <c r="BA85" s="562">
        <f>BA53/BA75</f>
        <v>0.94090936610764664</v>
      </c>
      <c r="BB85" s="556"/>
      <c r="BC85" s="563">
        <f>BC53/BC75</f>
        <v>0.93219921104536485</v>
      </c>
      <c r="BD85" s="564">
        <f>BD53/BD75</f>
        <v>0.94366531970525314</v>
      </c>
      <c r="BE85" s="564">
        <f>BE53/BE75</f>
        <v>0.9131308619919607</v>
      </c>
      <c r="BF85" s="564">
        <f>BF53/BF75</f>
        <v>0.93195437850376961</v>
      </c>
      <c r="BG85" s="562">
        <f>BG53/BG75</f>
        <v>0.93005470581667971</v>
      </c>
      <c r="BH85" s="556"/>
      <c r="BI85" s="563">
        <f>BI53/BI75</f>
        <v>0.93111337061515009</v>
      </c>
      <c r="BJ85" s="564">
        <f>BJ53/BJ75</f>
        <v>0.92679709826335455</v>
      </c>
      <c r="BK85" s="564">
        <f>BK53/BK75</f>
        <v>0.9353075170842825</v>
      </c>
      <c r="BL85" s="564">
        <f>BL53/BL75</f>
        <v>0.92555696431805834</v>
      </c>
      <c r="BM85" s="562">
        <f>BM53/BM75</f>
        <v>0.92937914537349131</v>
      </c>
      <c r="BN85" s="556"/>
      <c r="BO85" s="563">
        <f>BO53/BO75</f>
        <v>0.92966721737078117</v>
      </c>
      <c r="BP85" s="564">
        <f>BP53/BP75</f>
        <v>0.92151289899431577</v>
      </c>
      <c r="BQ85" s="564">
        <f>BQ53/BQ75</f>
        <v>0.91329204383039542</v>
      </c>
      <c r="BR85" s="564">
        <f>BR53/BR75</f>
        <v>0.9366141732283465</v>
      </c>
      <c r="BS85" s="562">
        <f>BS53/BS75</f>
        <v>0.92575598429985062</v>
      </c>
      <c r="BT85" s="556"/>
      <c r="BU85" s="563">
        <f>BU53/BU75</f>
        <v>0.92644978783592646</v>
      </c>
      <c r="BV85" s="564">
        <f>BV53/BV75</f>
        <v>0.92474747474747476</v>
      </c>
      <c r="BW85" s="564">
        <f>BW53/BW75</f>
        <v>0.92552385761171418</v>
      </c>
      <c r="BX85" s="564">
        <f>BX53/BX75</f>
        <v>0.91823796920866352</v>
      </c>
      <c r="BY85" s="562">
        <f>BY53/BY75</f>
        <v>0.92339038603790535</v>
      </c>
      <c r="BZ85" s="556"/>
      <c r="CA85" s="563">
        <f>CA53/CA75</f>
        <v>0.93340436867341503</v>
      </c>
      <c r="CB85" s="564">
        <f>CB53/CB75</f>
        <v>0.93005111649179451</v>
      </c>
      <c r="CC85" s="564">
        <f>CC53/CC75</f>
        <v>0.91774562071591781</v>
      </c>
      <c r="CD85" s="564">
        <f>CD53/CD75</f>
        <v>0.92494152668509455</v>
      </c>
      <c r="CE85" s="562">
        <f>CE53/CE75</f>
        <v>0.92633277477812948</v>
      </c>
      <c r="CF85" s="556"/>
      <c r="CG85" s="563">
        <f>CG53/CG75</f>
        <v>0.89997401922577291</v>
      </c>
      <c r="CH85" s="564">
        <f>CH53/CH75</f>
        <v>0.87370450711014702</v>
      </c>
      <c r="CI85" s="564">
        <f>CI53/CI75</f>
        <v>0.89669421487603307</v>
      </c>
      <c r="CJ85" s="564">
        <f>CJ53/CJ75</f>
        <v>0.91280836049853864</v>
      </c>
      <c r="CK85" s="562">
        <f>CK53/CK75</f>
        <v>0.89684821107998525</v>
      </c>
      <c r="CL85" s="556"/>
      <c r="CM85" s="563">
        <f>CM53/CM75</f>
        <v>0.90426639211216231</v>
      </c>
      <c r="CN85" s="564">
        <f>CN53/CN75</f>
        <v>0.89241758234520729</v>
      </c>
      <c r="CO85" s="564">
        <f>CO53/CO75</f>
        <v>0.89512019787144059</v>
      </c>
      <c r="CP85" s="564">
        <f>CP53/CP75</f>
        <v>0.91870887500690213</v>
      </c>
      <c r="CQ85" s="562">
        <f>CQ53/CQ75</f>
        <v>0.90361561128914358</v>
      </c>
      <c r="CR85" s="556"/>
      <c r="CS85" s="563">
        <f>CS53/CS75</f>
        <v>0.91522223899014521</v>
      </c>
      <c r="CT85" s="564">
        <f>CT53/CT75</f>
        <v>0.88848550424236583</v>
      </c>
      <c r="CU85" s="564">
        <f>CU53/CU75</f>
        <v>0.91014758962882758</v>
      </c>
      <c r="CV85" s="564">
        <f>CV53/CV75</f>
        <v>0.91858825984519654</v>
      </c>
      <c r="CW85" s="562">
        <f>CW53/CW75</f>
        <v>0.90879000775076513</v>
      </c>
      <c r="CX85" s="556"/>
      <c r="CY85" s="563">
        <f>CY53/CY75</f>
        <v>0.9149475959912442</v>
      </c>
      <c r="CZ85" s="564">
        <f>CZ53/CZ75</f>
        <v>0.90387608282288268</v>
      </c>
      <c r="DA85" s="564">
        <f>DA53/DA75</f>
        <v>0.90586115774591414</v>
      </c>
      <c r="DB85" s="564">
        <f>DB53/DB75</f>
        <v>0.92465230327399706</v>
      </c>
      <c r="DC85" s="562">
        <f>DC53/DC75</f>
        <v>0.9131447148455788</v>
      </c>
      <c r="DD85" s="556"/>
      <c r="DE85" s="563">
        <f>DE53/DE75</f>
        <v>0.92468296211633449</v>
      </c>
      <c r="DF85" s="564">
        <f>DF53/DF75</f>
        <v>0.90006339257755053</v>
      </c>
      <c r="DG85" s="564">
        <f>DG53/DG75</f>
        <v>0.91945162691448656</v>
      </c>
      <c r="DH85" s="564">
        <f>DH53/DH75</f>
        <v>0.92288058286239105</v>
      </c>
      <c r="DI85" s="562">
        <f>DI53/DI75</f>
        <v>0.91715083445252454</v>
      </c>
    </row>
    <row r="86" spans="1:113" s="355" customFormat="1" ht="11.25" customHeight="1">
      <c r="A86" s="362" t="s">
        <v>252</v>
      </c>
      <c r="B86" s="363"/>
      <c r="C86" s="357"/>
      <c r="D86" s="363"/>
      <c r="E86" s="357"/>
      <c r="F86" s="363"/>
      <c r="G86" s="357"/>
      <c r="H86" s="363"/>
      <c r="I86" s="357"/>
      <c r="J86" s="363"/>
      <c r="K86" s="357"/>
      <c r="L86" s="363"/>
      <c r="M86" s="357"/>
      <c r="N86" s="363"/>
      <c r="O86" s="357"/>
      <c r="P86" s="363"/>
      <c r="Q86" s="357"/>
      <c r="R86" s="363"/>
      <c r="S86" s="362"/>
      <c r="T86" s="363"/>
      <c r="U86" s="363"/>
      <c r="V86" s="363"/>
      <c r="W86" s="357"/>
      <c r="X86" s="363"/>
      <c r="Y86" s="362"/>
      <c r="Z86" s="363"/>
      <c r="AA86" s="363"/>
      <c r="AB86" s="363"/>
      <c r="AC86" s="401">
        <f>AC49/AC75</f>
        <v>0.7510654784967068</v>
      </c>
      <c r="AD86" s="363"/>
      <c r="AE86" s="378">
        <f>AE49/AE75</f>
        <v>0.74150230801510697</v>
      </c>
      <c r="AF86" s="388">
        <f>AF49/AF75</f>
        <v>0.80128410914927772</v>
      </c>
      <c r="AG86" s="388">
        <f>AG49/AG75</f>
        <v>0.73068979760429575</v>
      </c>
      <c r="AH86" s="388">
        <f>AH49/AH75</f>
        <v>0.79441624365482233</v>
      </c>
      <c r="AI86" s="401">
        <f>AI49/AI75</f>
        <v>0.77102339445397894</v>
      </c>
      <c r="AJ86" s="363"/>
      <c r="AK86" s="378">
        <f>AK49/AK75</f>
        <v>0.76616052060737527</v>
      </c>
      <c r="AL86" s="388">
        <f>AL49/AL75</f>
        <v>0.75762376237623763</v>
      </c>
      <c r="AM86" s="388">
        <f>AM49/AM75</f>
        <v>0.74537910222557513</v>
      </c>
      <c r="AN86" s="388">
        <f>AN49/AN75</f>
        <v>0.77429039301310054</v>
      </c>
      <c r="AO86" s="401">
        <f>AO49/AO75</f>
        <v>0.76195603409600721</v>
      </c>
      <c r="AP86" s="363"/>
      <c r="AQ86" s="378">
        <f>AQ49/AQ75</f>
        <v>0.74324810947065179</v>
      </c>
      <c r="AR86" s="388">
        <f>AR49/AR75</f>
        <v>0.76935859089398473</v>
      </c>
      <c r="AS86" s="388">
        <f>AS49/AS75</f>
        <v>0.75596389426176658</v>
      </c>
      <c r="AT86" s="388">
        <f>AT49/AT75</f>
        <v>0.72290314828166313</v>
      </c>
      <c r="AU86" s="401">
        <f>AU49/AU75</f>
        <v>0.74580427618974632</v>
      </c>
      <c r="AV86" s="363"/>
      <c r="AW86" s="378">
        <f>AW49/AW75</f>
        <v>0.74929971988795518</v>
      </c>
      <c r="AX86" s="388">
        <f>AX49/AX75</f>
        <v>0.76994017946161508</v>
      </c>
      <c r="AY86" s="388">
        <f>AY49/AY75</f>
        <v>0.73350860420650099</v>
      </c>
      <c r="AZ86" s="388">
        <f>AZ49/AZ75</f>
        <v>0.74847400547253218</v>
      </c>
      <c r="BA86" s="401">
        <f>BA49/BA75</f>
        <v>0.75007567960283339</v>
      </c>
      <c r="BB86" s="363"/>
      <c r="BC86" s="378">
        <f>BC49/BC75</f>
        <v>0.74235700197238663</v>
      </c>
      <c r="BD86" s="388">
        <f>BD49/BD75</f>
        <v>0.78036605657237945</v>
      </c>
      <c r="BE86" s="388">
        <f>BE49/BE75</f>
        <v>0.74564537740062531</v>
      </c>
      <c r="BF86" s="388">
        <f>BF49/BF75</f>
        <v>0.75565435917262713</v>
      </c>
      <c r="BG86" s="401">
        <f>BG49/BG75</f>
        <v>0.75594507089427276</v>
      </c>
      <c r="BH86" s="363"/>
      <c r="BI86" s="378">
        <f>BI49/BI75</f>
        <v>0.7925775292323336</v>
      </c>
      <c r="BJ86" s="388">
        <f>BJ49/BJ75</f>
        <v>0.75730929874697728</v>
      </c>
      <c r="BK86" s="388">
        <f>BK49/BK75</f>
        <v>0.74738041002277911</v>
      </c>
      <c r="BL86" s="388">
        <f>BL49/BL75</f>
        <v>0.72577431624705668</v>
      </c>
      <c r="BM86" s="401">
        <f>BM49/BM75</f>
        <v>0.75301728824616709</v>
      </c>
      <c r="BN86" s="363"/>
      <c r="BO86" s="378">
        <f>BO49/BO75</f>
        <v>0.72740146329950439</v>
      </c>
      <c r="BP86" s="388">
        <f>BP49/BP75</f>
        <v>0.74289462177525145</v>
      </c>
      <c r="BQ86" s="388">
        <f>BQ49/BQ75</f>
        <v>0.69866603144354467</v>
      </c>
      <c r="BR86" s="388">
        <f>BR49/BR75</f>
        <v>0.73858267716535442</v>
      </c>
      <c r="BS86" s="401">
        <f>BS49/BS75</f>
        <v>0.72779036983802303</v>
      </c>
      <c r="BT86" s="363"/>
      <c r="BU86" s="378">
        <f>BU49/BU75</f>
        <v>0.68118811881188124</v>
      </c>
      <c r="BV86" s="388">
        <f>BV49/BV75</f>
        <v>0.6803030303030303</v>
      </c>
      <c r="BW86" s="388">
        <f>BW49/BW75</f>
        <v>0.68568543297147189</v>
      </c>
      <c r="BX86" s="388">
        <f>BX49/BX75</f>
        <v>0.70658286967755934</v>
      </c>
      <c r="BY86" s="401">
        <f>BY49/BY75</f>
        <v>0.68954810894981733</v>
      </c>
      <c r="BZ86" s="363"/>
      <c r="CA86" s="378">
        <f>CA49/CA75</f>
        <v>0.69179541822056478</v>
      </c>
      <c r="CB86" s="388">
        <f>CB49/CB75</f>
        <v>0.65052461662631145</v>
      </c>
      <c r="CC86" s="388">
        <f>CC49/CC75</f>
        <v>0.67682152830667697</v>
      </c>
      <c r="CD86" s="388">
        <f>CD49/CD75</f>
        <v>0.69041037635551772</v>
      </c>
      <c r="CE86" s="401">
        <f>CE49/CE75</f>
        <v>0.67821014088003484</v>
      </c>
      <c r="CF86" s="363"/>
      <c r="CG86" s="378">
        <f>CG49/CG75</f>
        <v>0.63704858404780462</v>
      </c>
      <c r="CH86" s="388">
        <f>CH49/CH75</f>
        <v>0.62762111352133043</v>
      </c>
      <c r="CI86" s="388">
        <f>CI49/CI75</f>
        <v>0.64715335169880628</v>
      </c>
      <c r="CJ86" s="388">
        <f>CJ49/CJ75</f>
        <v>0</v>
      </c>
      <c r="CK86" s="401">
        <f>CK49/CK75</f>
        <v>0</v>
      </c>
      <c r="CL86" s="363"/>
      <c r="CM86" s="378">
        <f>CM49/CM75</f>
        <v>0</v>
      </c>
      <c r="CN86" s="388">
        <f>CN49/CN75</f>
        <v>0</v>
      </c>
      <c r="CO86" s="388">
        <f>CO49/CO75</f>
        <v>0</v>
      </c>
      <c r="CP86" s="388">
        <f>CP49/CP75</f>
        <v>0</v>
      </c>
      <c r="CQ86" s="401">
        <f>CQ49/CQ75</f>
        <v>0</v>
      </c>
      <c r="CR86" s="363"/>
      <c r="CS86" s="378">
        <f>CS49/CS75</f>
        <v>0</v>
      </c>
      <c r="CT86" s="388">
        <f>CT49/CT75</f>
        <v>0</v>
      </c>
      <c r="CU86" s="388">
        <f>CU49/CU75</f>
        <v>0</v>
      </c>
      <c r="CV86" s="388">
        <f>CV49/CV75</f>
        <v>0</v>
      </c>
      <c r="CW86" s="401">
        <f>CW49/CW75</f>
        <v>0</v>
      </c>
      <c r="CX86" s="363"/>
      <c r="CY86" s="378">
        <f>CY49/CY75</f>
        <v>0</v>
      </c>
      <c r="CZ86" s="388">
        <f>CZ49/CZ75</f>
        <v>0</v>
      </c>
      <c r="DA86" s="388">
        <f>DA49/DA75</f>
        <v>0</v>
      </c>
      <c r="DB86" s="388">
        <f>DB49/DB75</f>
        <v>0</v>
      </c>
      <c r="DC86" s="401">
        <f>DC49/DC75</f>
        <v>0</v>
      </c>
      <c r="DD86" s="363"/>
      <c r="DE86" s="378">
        <f>DE49/DE75</f>
        <v>0</v>
      </c>
      <c r="DF86" s="388">
        <f>DF49/DF75</f>
        <v>0</v>
      </c>
      <c r="DG86" s="388">
        <f>DG49/DG75</f>
        <v>0</v>
      </c>
      <c r="DH86" s="388">
        <f>DH49/DH75</f>
        <v>0</v>
      </c>
      <c r="DI86" s="401">
        <f>DI49/DI75</f>
        <v>0</v>
      </c>
    </row>
    <row r="87" spans="1:113" s="355" customFormat="1" ht="11.25" customHeight="1">
      <c r="A87" s="362" t="s">
        <v>253</v>
      </c>
      <c r="B87" s="363"/>
      <c r="C87" s="357"/>
      <c r="D87" s="363"/>
      <c r="E87" s="357"/>
      <c r="F87" s="363"/>
      <c r="G87" s="357"/>
      <c r="H87" s="363"/>
      <c r="I87" s="357"/>
      <c r="J87" s="363"/>
      <c r="K87" s="357"/>
      <c r="L87" s="363"/>
      <c r="M87" s="357"/>
      <c r="N87" s="363"/>
      <c r="O87" s="357"/>
      <c r="P87" s="363"/>
      <c r="Q87" s="357"/>
      <c r="R87" s="363"/>
      <c r="S87" s="362"/>
      <c r="T87" s="363"/>
      <c r="U87" s="363"/>
      <c r="V87" s="363"/>
      <c r="W87" s="357"/>
      <c r="X87" s="363"/>
      <c r="Y87" s="362"/>
      <c r="Z87" s="363"/>
      <c r="AA87" s="363"/>
      <c r="AB87" s="363"/>
      <c r="AC87" s="401">
        <f>AC51/AC75</f>
        <v>0.2184230918248741</v>
      </c>
      <c r="AD87" s="363"/>
      <c r="AE87" s="378">
        <f>AE51/AE75</f>
        <v>0.22576584137641625</v>
      </c>
      <c r="AF87" s="388">
        <f>AF51/AF75</f>
        <v>0.17142857142857143</v>
      </c>
      <c r="AG87" s="388">
        <f>AG51/AG75</f>
        <v>0.23502684840974805</v>
      </c>
      <c r="AH87" s="388">
        <f>AH51/AH75</f>
        <v>0.17893401015228425</v>
      </c>
      <c r="AI87" s="401">
        <f>AI51/AI75</f>
        <v>0.19916900009032606</v>
      </c>
      <c r="AJ87" s="363"/>
      <c r="AK87" s="378">
        <f>AK51/AK75</f>
        <v>0.20390455531453361</v>
      </c>
      <c r="AL87" s="388">
        <f>AL51/AL75</f>
        <v>0.19801980198019803</v>
      </c>
      <c r="AM87" s="388">
        <f>AM51/AM75</f>
        <v>0.20369671821953977</v>
      </c>
      <c r="AN87" s="388">
        <f>AN51/AN75</f>
        <v>0.17057860262008731</v>
      </c>
      <c r="AO87" s="401">
        <f>AO51/AO75</f>
        <v>0.19156572454015253</v>
      </c>
      <c r="AP87" s="363"/>
      <c r="AQ87" s="378">
        <f>AQ51/AQ75</f>
        <v>0.19409434641699677</v>
      </c>
      <c r="AR87" s="388">
        <f>AR51/AR75</f>
        <v>0.17746759720837488</v>
      </c>
      <c r="AS87" s="388">
        <f>AS51/AS75</f>
        <v>0.18052869116698905</v>
      </c>
      <c r="AT87" s="388">
        <f>AT51/AT75</f>
        <v>0.21292958423455893</v>
      </c>
      <c r="AU87" s="401">
        <f>AU51/AU75</f>
        <v>0.19304161238409073</v>
      </c>
      <c r="AV87" s="363"/>
      <c r="AW87" s="378">
        <f>AW51/AW75</f>
        <v>0.19131652661064424</v>
      </c>
      <c r="AX87" s="388">
        <f>AX51/AX75</f>
        <v>0.17198404785643071</v>
      </c>
      <c r="AY87" s="388">
        <f>AY51/AY75</f>
        <v>0.20960803059273425</v>
      </c>
      <c r="AZ87" s="388">
        <f>AZ51/AZ75</f>
        <v>0.18985476741738572</v>
      </c>
      <c r="BA87" s="401">
        <f>BA51/BA75</f>
        <v>0.19083368650481319</v>
      </c>
      <c r="BB87" s="363"/>
      <c r="BC87" s="378">
        <f>BC51/BC75</f>
        <v>0.1898422090729783</v>
      </c>
      <c r="BD87" s="388">
        <f>BD51/BD75</f>
        <v>0.1632992631328738</v>
      </c>
      <c r="BE87" s="388">
        <f>BE51/BE75</f>
        <v>0.16748548459133544</v>
      </c>
      <c r="BF87" s="388">
        <f>BF51/BF75</f>
        <v>0.17630001933114248</v>
      </c>
      <c r="BG87" s="401">
        <f>BG51/BG75</f>
        <v>0.17410963492240705</v>
      </c>
      <c r="BH87" s="363"/>
      <c r="BI87" s="378">
        <f>BI51/BI75</f>
        <v>0.13853584138281649</v>
      </c>
      <c r="BJ87" s="388">
        <f>BJ51/BJ75</f>
        <v>0.16948779951637721</v>
      </c>
      <c r="BK87" s="388">
        <f>BK51/BK75</f>
        <v>0.18792710706150342</v>
      </c>
      <c r="BL87" s="388">
        <f>BL51/BL75</f>
        <v>0.1997826480710016</v>
      </c>
      <c r="BM87" s="401">
        <f>BM51/BM75</f>
        <v>0.17636185712732411</v>
      </c>
      <c r="BN87" s="363"/>
      <c r="BO87" s="378">
        <f>BO51/BO75</f>
        <v>0.20226575407127687</v>
      </c>
      <c r="BP87" s="388">
        <f>BP51/BP75</f>
        <v>0.17861827721906429</v>
      </c>
      <c r="BQ87" s="388">
        <f>BQ51/BQ75</f>
        <v>0.21462601238685089</v>
      </c>
      <c r="BR87" s="388">
        <f>BR51/BR75</f>
        <v>0.19803149606299209</v>
      </c>
      <c r="BS87" s="401">
        <f>BS51/BS75</f>
        <v>0.19796561446182762</v>
      </c>
      <c r="BT87" s="363"/>
      <c r="BU87" s="378">
        <f>BU51/BU75</f>
        <v>0.24526166902404528</v>
      </c>
      <c r="BV87" s="388">
        <f>BV51/BV75</f>
        <v>0.24444444444444444</v>
      </c>
      <c r="BW87" s="388">
        <f>BW51/BW75</f>
        <v>0.23983842464024235</v>
      </c>
      <c r="BX87" s="388">
        <f>BX51/BX75</f>
        <v>0.21120115370652109</v>
      </c>
      <c r="BY87" s="401">
        <f>BY51/BY75</f>
        <v>0.23370858921716145</v>
      </c>
      <c r="BZ87" s="363"/>
      <c r="CA87" s="378">
        <f>CA51/CA75</f>
        <v>0.2416089504528503</v>
      </c>
      <c r="CB87" s="388">
        <f>CB51/CB75</f>
        <v>0.27952649986548289</v>
      </c>
      <c r="CC87" s="388">
        <f>CC51/CC75</f>
        <v>0.24092409240924095</v>
      </c>
      <c r="CD87" s="388">
        <f>CD51/CD75</f>
        <v>0.23453115032957689</v>
      </c>
      <c r="CE87" s="401">
        <f>CE51/CE75</f>
        <v>0.24812263389809472</v>
      </c>
      <c r="CF87" s="363"/>
      <c r="CG87" s="378">
        <f>CG51/CG75</f>
        <v>0.26292543517796835</v>
      </c>
      <c r="CH87" s="388">
        <f>CH51/CH75</f>
        <v>0.24608339358881659</v>
      </c>
      <c r="CI87" s="388">
        <f>CI51/CI75</f>
        <v>0.24954086317722685</v>
      </c>
      <c r="CJ87" s="388">
        <f>CJ51/CJ75</f>
        <v>0</v>
      </c>
      <c r="CK87" s="401">
        <f>CK51/CK75</f>
        <v>0</v>
      </c>
      <c r="CL87" s="363"/>
      <c r="CM87" s="378">
        <f>CM51/CM75</f>
        <v>0</v>
      </c>
      <c r="CN87" s="388">
        <f>CN51/CN75</f>
        <v>0</v>
      </c>
      <c r="CO87" s="388">
        <f>CO51/CO75</f>
        <v>0</v>
      </c>
      <c r="CP87" s="388">
        <f>CP51/CP75</f>
        <v>0</v>
      </c>
      <c r="CQ87" s="401">
        <f>CQ51/CQ75</f>
        <v>0</v>
      </c>
      <c r="CR87" s="363"/>
      <c r="CS87" s="378">
        <f>CS51/CS75</f>
        <v>0</v>
      </c>
      <c r="CT87" s="388">
        <f>CT51/CT75</f>
        <v>0</v>
      </c>
      <c r="CU87" s="388">
        <f>CU51/CU75</f>
        <v>0</v>
      </c>
      <c r="CV87" s="388">
        <f>CV51/CV75</f>
        <v>0</v>
      </c>
      <c r="CW87" s="401">
        <f>CW51/CW75</f>
        <v>0</v>
      </c>
      <c r="CX87" s="363"/>
      <c r="CY87" s="378">
        <f>CY51/CY75</f>
        <v>0</v>
      </c>
      <c r="CZ87" s="388">
        <f>CZ51/CZ75</f>
        <v>0</v>
      </c>
      <c r="DA87" s="388">
        <f>DA51/DA75</f>
        <v>0</v>
      </c>
      <c r="DB87" s="388">
        <f>DB51/DB75</f>
        <v>0</v>
      </c>
      <c r="DC87" s="401">
        <f>DC51/DC75</f>
        <v>0</v>
      </c>
      <c r="DD87" s="363"/>
      <c r="DE87" s="378">
        <f>DE51/DE75</f>
        <v>0</v>
      </c>
      <c r="DF87" s="388">
        <f>DF51/DF75</f>
        <v>0</v>
      </c>
      <c r="DG87" s="388">
        <f>DG51/DG75</f>
        <v>0</v>
      </c>
      <c r="DH87" s="388">
        <f>DH51/DH75</f>
        <v>0</v>
      </c>
      <c r="DI87" s="401">
        <f>DI51/DI75</f>
        <v>0</v>
      </c>
    </row>
    <row r="88" spans="1:113" s="355" customFormat="1" ht="11.25" customHeight="1">
      <c r="A88" s="368" t="s">
        <v>470</v>
      </c>
      <c r="B88" s="363"/>
      <c r="C88" s="357"/>
      <c r="D88" s="363"/>
      <c r="E88" s="357"/>
      <c r="F88" s="363"/>
      <c r="G88" s="357"/>
      <c r="H88" s="363"/>
      <c r="I88" s="357"/>
      <c r="J88" s="363"/>
      <c r="K88" s="357"/>
      <c r="L88" s="363"/>
      <c r="M88" s="357"/>
      <c r="N88" s="363"/>
      <c r="O88" s="357"/>
      <c r="P88" s="363"/>
      <c r="Q88" s="357"/>
      <c r="R88" s="363"/>
      <c r="S88" s="362"/>
      <c r="T88" s="363"/>
      <c r="U88" s="363"/>
      <c r="V88" s="363"/>
      <c r="W88" s="357"/>
      <c r="X88" s="363"/>
      <c r="Y88" s="362"/>
      <c r="Z88" s="363"/>
      <c r="AA88" s="363"/>
      <c r="AB88" s="363"/>
      <c r="AC88" s="562">
        <f>AC65/AC75</f>
        <v>3.6516853932584276E-2</v>
      </c>
      <c r="AD88" s="556"/>
      <c r="AE88" s="563">
        <f>AE65/AE75</f>
        <v>4.1544271926143503E-2</v>
      </c>
      <c r="AF88" s="564">
        <f>AF65/AF75</f>
        <v>4.0128410914927769E-2</v>
      </c>
      <c r="AG88" s="564">
        <f>AG65/AG75</f>
        <v>4.2131350681536554E-2</v>
      </c>
      <c r="AH88" s="564">
        <f>AH65/AH75</f>
        <v>3.4581218274111689E-2</v>
      </c>
      <c r="AI88" s="562">
        <f>AI65/AI75</f>
        <v>3.92918435552344E-2</v>
      </c>
      <c r="AJ88" s="556"/>
      <c r="AK88" s="563">
        <f>AK65/AK75</f>
        <v>3.5140997830802601E-2</v>
      </c>
      <c r="AL88" s="564">
        <f>AL65/AL75</f>
        <v>5.4257425742574264E-2</v>
      </c>
      <c r="AM88" s="564">
        <f>AM65/AM75</f>
        <v>5.3564692568841936E-2</v>
      </c>
      <c r="AN88" s="564">
        <f>AN65/AN75</f>
        <v>6.4956331877729256E-2</v>
      </c>
      <c r="AO88" s="562">
        <f>AO65/AO75</f>
        <v>5.3656348138178558E-2</v>
      </c>
      <c r="AP88" s="556"/>
      <c r="AQ88" s="563">
        <f>AQ65/AQ75</f>
        <v>7.4540871444004328E-2</v>
      </c>
      <c r="AR88" s="564">
        <f>AR65/AR75</f>
        <v>6.0152874709205724E-2</v>
      </c>
      <c r="AS88" s="564">
        <f>AS65/AS75</f>
        <v>7.2211476466795613E-2</v>
      </c>
      <c r="AT88" s="564">
        <f>AT65/AT75</f>
        <v>7.0415765440999742E-2</v>
      </c>
      <c r="AU88" s="562">
        <f>AU65/AU75</f>
        <v>6.9353973484558198E-2</v>
      </c>
      <c r="AV88" s="556"/>
      <c r="AW88" s="563">
        <f>AW65/AW75</f>
        <v>6.7226890756302518E-2</v>
      </c>
      <c r="AX88" s="564">
        <f>AX65/AX75</f>
        <v>7.0039880358923237E-2</v>
      </c>
      <c r="AY88" s="564">
        <f>AY65/AY75</f>
        <v>6.6204588910133852E-2</v>
      </c>
      <c r="AZ88" s="564">
        <f>AZ65/AZ75</f>
        <v>7.0721953272995144E-2</v>
      </c>
      <c r="BA88" s="562">
        <f>BA65/BA75</f>
        <v>6.8656535690500689E-2</v>
      </c>
      <c r="BB88" s="556"/>
      <c r="BC88" s="563">
        <f>BC65/BC75</f>
        <v>7.3964497041420108E-2</v>
      </c>
      <c r="BD88" s="564">
        <f>BD65/BD75</f>
        <v>6.1801758973140004E-2</v>
      </c>
      <c r="BE88" s="564">
        <f>BE65/BE75</f>
        <v>9.4685127288968302E-2</v>
      </c>
      <c r="BF88" s="564">
        <f>BF65/BF75</f>
        <v>7.3071718538565658E-2</v>
      </c>
      <c r="BG88" s="562">
        <f>BG65/BG75</f>
        <v>7.6029920732388095E-2</v>
      </c>
      <c r="BH88" s="556"/>
      <c r="BI88" s="563">
        <f>BI65/BI75</f>
        <v>7.9308591764107789E-2</v>
      </c>
      <c r="BJ88" s="564">
        <f>BJ65/BJ75</f>
        <v>8.1556386018905247E-2</v>
      </c>
      <c r="BK88" s="564">
        <f>BK65/BK75</f>
        <v>7.4031890660592251E-2</v>
      </c>
      <c r="BL88" s="564">
        <f>BL65/BL75</f>
        <v>8.4404999094366953E-2</v>
      </c>
      <c r="BM88" s="562">
        <f>BM65/BM75</f>
        <v>8.0134826573882781E-2</v>
      </c>
      <c r="BN88" s="556"/>
      <c r="BO88" s="563">
        <f>BO65/BO75</f>
        <v>8.213358508378571E-2</v>
      </c>
      <c r="BP88" s="564">
        <f>BP65/BP75</f>
        <v>9.0511587232181903E-2</v>
      </c>
      <c r="BQ88" s="564">
        <f>BQ65/BQ75</f>
        <v>9.52834683182468E-2</v>
      </c>
      <c r="BR88" s="564">
        <f>BR65/BR75</f>
        <v>7.224409448818897E-2</v>
      </c>
      <c r="BS88" s="562">
        <f>BS65/BS75</f>
        <v>8.4526507822433511E-2</v>
      </c>
      <c r="BT88" s="556"/>
      <c r="BU88" s="563">
        <f>BU65/BU75</f>
        <v>7.7793493635077787E-2</v>
      </c>
      <c r="BV88" s="564">
        <f>BV65/BV75</f>
        <v>7.7777777777777779E-2</v>
      </c>
      <c r="BW88" s="564">
        <f>BW65/BW75</f>
        <v>8.3059833375410244E-2</v>
      </c>
      <c r="BX88" s="564">
        <f>BX65/BX75</f>
        <v>8.8871772599278698E-2</v>
      </c>
      <c r="BY88" s="562">
        <f>BY65/BY75</f>
        <v>8.233686002196175E-2</v>
      </c>
      <c r="BZ88" s="556"/>
      <c r="CA88" s="563">
        <f>CA65/CA75</f>
        <v>7.2456046883324451E-2</v>
      </c>
      <c r="CB88" s="564">
        <f>CB65/CB75</f>
        <v>7.667473769168684E-2</v>
      </c>
      <c r="CC88" s="564">
        <f>CC65/CC75</f>
        <v>9.0124397055090136E-2</v>
      </c>
      <c r="CD88" s="564">
        <f>CD65/CD75</f>
        <v>8.2925792047629218E-2</v>
      </c>
      <c r="CE88" s="562">
        <f>CE65/CE75</f>
        <v>8.0804319493576637E-2</v>
      </c>
      <c r="CF88" s="556"/>
      <c r="CG88" s="563">
        <f>CG65/CG75</f>
        <v>0.1041829046505586</v>
      </c>
      <c r="CH88" s="564">
        <f>CH65/CH75</f>
        <v>0.13015184381778744</v>
      </c>
      <c r="CI88" s="564">
        <f>CI65/CI75</f>
        <v>0.10583103764921947</v>
      </c>
      <c r="CJ88" s="564">
        <f>CJ65/CJ75</f>
        <v>9.6240326468663054E-2</v>
      </c>
      <c r="CK88" s="562">
        <f>CK65/CK75</f>
        <v>0.10830507452309426</v>
      </c>
      <c r="CL88" s="556"/>
      <c r="CM88" s="563">
        <f>CM65/CM75</f>
        <v>0.10379812401687004</v>
      </c>
      <c r="CN88" s="564">
        <f>CN65/CN75</f>
        <v>0.11564693378382497</v>
      </c>
      <c r="CO88" s="564">
        <f>CO65/CO75</f>
        <v>0.1129443182575917</v>
      </c>
      <c r="CP88" s="564">
        <f>CP65/CP75</f>
        <v>8.9355641122130069E-2</v>
      </c>
      <c r="CQ88" s="562">
        <f>CQ65/CQ75</f>
        <v>0.10444890483988865</v>
      </c>
      <c r="CR88" s="556"/>
      <c r="CS88" s="563">
        <f>CS65/CS75</f>
        <v>9.2842277138887055E-2</v>
      </c>
      <c r="CT88" s="564">
        <f>CT65/CT75</f>
        <v>0.11957901188666643</v>
      </c>
      <c r="CU88" s="564">
        <f>CU65/CU75</f>
        <v>9.7916926500204629E-2</v>
      </c>
      <c r="CV88" s="564">
        <f>CV65/CV75</f>
        <v>8.9476256283835695E-2</v>
      </c>
      <c r="CW88" s="562">
        <f>CW65/CW75</f>
        <v>9.9274508378267151E-2</v>
      </c>
      <c r="CX88" s="556"/>
      <c r="CY88" s="563">
        <f>CY65/CY75</f>
        <v>9.3116920137788051E-2</v>
      </c>
      <c r="CZ88" s="564">
        <f>CZ65/CZ75</f>
        <v>0.10418843330614971</v>
      </c>
      <c r="DA88" s="564">
        <f>DA65/DA75</f>
        <v>0.10220335838311816</v>
      </c>
      <c r="DB88" s="564">
        <f>DB65/DB75</f>
        <v>8.3412212855035348E-2</v>
      </c>
      <c r="DC88" s="562">
        <f>DC65/DC75</f>
        <v>9.4919801283453523E-2</v>
      </c>
      <c r="DD88" s="556"/>
      <c r="DE88" s="563">
        <f>DE65/DE75</f>
        <v>8.3381554012697881E-2</v>
      </c>
      <c r="DF88" s="564">
        <f>DF65/DF75</f>
        <v>0.10800112355148166</v>
      </c>
      <c r="DG88" s="564">
        <f>DG65/DG75</f>
        <v>8.8612889214545645E-2</v>
      </c>
      <c r="DH88" s="564">
        <f>DH65/DH75</f>
        <v>8.5183933266641199E-2</v>
      </c>
      <c r="DI88" s="562">
        <f>DI65/DI75</f>
        <v>9.0913681676507693E-2</v>
      </c>
    </row>
    <row r="89" spans="1:113" s="355" customFormat="1" ht="11.25" customHeight="1">
      <c r="A89" s="362" t="s">
        <v>252</v>
      </c>
      <c r="B89" s="363"/>
      <c r="C89" s="357"/>
      <c r="D89" s="363"/>
      <c r="E89" s="357"/>
      <c r="F89" s="363"/>
      <c r="G89" s="357"/>
      <c r="H89" s="363"/>
      <c r="I89" s="357"/>
      <c r="J89" s="363"/>
      <c r="K89" s="357"/>
      <c r="L89" s="363"/>
      <c r="M89" s="357"/>
      <c r="N89" s="363"/>
      <c r="O89" s="357"/>
      <c r="P89" s="363"/>
      <c r="Q89" s="357"/>
      <c r="R89" s="363"/>
      <c r="S89" s="362"/>
      <c r="T89" s="363"/>
      <c r="U89" s="363"/>
      <c r="V89" s="363"/>
      <c r="W89" s="357"/>
      <c r="X89" s="363"/>
      <c r="Y89" s="362"/>
      <c r="Z89" s="363"/>
      <c r="AA89" s="363"/>
      <c r="AB89" s="363"/>
      <c r="AC89" s="401">
        <f>AC61/AC75</f>
        <v>3.3029833397907792E-2</v>
      </c>
      <c r="AD89" s="363"/>
      <c r="AE89" s="378">
        <f>AE61/AE75</f>
        <v>3.7347880822492643E-2</v>
      </c>
      <c r="AF89" s="388">
        <f>AF61/AF75</f>
        <v>3.691813804173355E-2</v>
      </c>
      <c r="AG89" s="388">
        <f>AG61/AG75</f>
        <v>3.8000826104915321E-2</v>
      </c>
      <c r="AH89" s="388">
        <f>AH61/AH75</f>
        <v>3.2994923857868036E-2</v>
      </c>
      <c r="AI89" s="401">
        <f>AI61/AI75</f>
        <v>3.6130430855387953E-2</v>
      </c>
      <c r="AJ89" s="363"/>
      <c r="AK89" s="378">
        <f>AK61/AK75</f>
        <v>3.2971800433839481E-2</v>
      </c>
      <c r="AL89" s="388">
        <f>AL61/AL75</f>
        <v>5.2673267326732678E-2</v>
      </c>
      <c r="AM89" s="388">
        <f>AM61/AM75</f>
        <v>5.0924179554884944E-2</v>
      </c>
      <c r="AN89" s="388">
        <f>AN61/AN75</f>
        <v>6.3318777292576414E-2</v>
      </c>
      <c r="AO89" s="401">
        <f>AO61/AO75</f>
        <v>5.1682368775235535E-2</v>
      </c>
      <c r="AP89" s="363"/>
      <c r="AQ89" s="378">
        <f>AQ61/AQ75</f>
        <v>7.1660064818149086E-2</v>
      </c>
      <c r="AR89" s="388">
        <f>AR61/AR75</f>
        <v>5.8491193087404462E-2</v>
      </c>
      <c r="AS89" s="388">
        <f>AS61/AS75</f>
        <v>6.7375886524822695E-2</v>
      </c>
      <c r="AT89" s="388">
        <f>AT61/AT75</f>
        <v>6.6089882239846173E-2</v>
      </c>
      <c r="AU89" s="401">
        <f>AU61/AU75</f>
        <v>6.5828799141696676E-2</v>
      </c>
      <c r="AV89" s="363"/>
      <c r="AW89" s="378">
        <f>AW61/AW75</f>
        <v>6.1064425770308128E-2</v>
      </c>
      <c r="AX89" s="388">
        <f>AX61/AX75</f>
        <v>6.4805583250249252E-2</v>
      </c>
      <c r="AY89" s="388">
        <f>AY61/AY75</f>
        <v>6.1663479923518172E-2</v>
      </c>
      <c r="AZ89" s="388">
        <f>AZ61/AZ75</f>
        <v>6.6722795201010293E-2</v>
      </c>
      <c r="BA89" s="401">
        <f>BA61/BA75</f>
        <v>6.3752497426893498E-2</v>
      </c>
      <c r="BB89" s="363"/>
      <c r="BC89" s="378">
        <f>BC61/BC75</f>
        <v>6.8786982248520701E-2</v>
      </c>
      <c r="BD89" s="388">
        <f>BD61/BD75</f>
        <v>5.6810078440694078E-2</v>
      </c>
      <c r="BE89" s="388">
        <f>BE61/BE75</f>
        <v>5.4488610987047791E-2</v>
      </c>
      <c r="BF89" s="388">
        <f>BF61/BF75</f>
        <v>6.8625555770346056E-2</v>
      </c>
      <c r="BG89" s="401">
        <f>BG61/BG75</f>
        <v>6.2353466562465119E-2</v>
      </c>
      <c r="BH89" s="363"/>
      <c r="BI89" s="378">
        <f>BI61/BI75</f>
        <v>7.6512455516014238E-2</v>
      </c>
      <c r="BJ89" s="388">
        <f>BJ61/BJ75</f>
        <v>6.6168388656847654E-2</v>
      </c>
      <c r="BK89" s="388">
        <f>BK61/BK75</f>
        <v>7.1070615034168561E-2</v>
      </c>
      <c r="BL89" s="388">
        <f>BL61/BL75</f>
        <v>8.313711284187647E-2</v>
      </c>
      <c r="BM89" s="401">
        <f>BM61/BM75</f>
        <v>7.464390562139829E-2</v>
      </c>
      <c r="BN89" s="363"/>
      <c r="BO89" s="378">
        <f>BO61/BO75</f>
        <v>7.9301392494689649E-2</v>
      </c>
      <c r="BP89" s="388">
        <f>BP61/BP75</f>
        <v>8.8325317009182336E-2</v>
      </c>
      <c r="BQ89" s="388">
        <f>BQ61/BQ75</f>
        <v>9.3139590281086246E-2</v>
      </c>
      <c r="BR89" s="388">
        <f>BR61/BR75</f>
        <v>6.9488188976377943E-2</v>
      </c>
      <c r="BS89" s="401">
        <f>BS61/BS75</f>
        <v>8.2038808115429254E-2</v>
      </c>
      <c r="BT89" s="363"/>
      <c r="BU89" s="378">
        <f>BU61/BU75</f>
        <v>7.4398868458274398E-2</v>
      </c>
      <c r="BV89" s="388">
        <f>BV61/BV75</f>
        <v>7.5252525252525251E-2</v>
      </c>
      <c r="BW89" s="388">
        <f>BW61/BW75</f>
        <v>8.0282756879575867E-2</v>
      </c>
      <c r="BX89" s="388">
        <f>BX61/BX75</f>
        <v>8.7408002227055276E-2</v>
      </c>
      <c r="BY89" s="401">
        <f>BY61/BY75</f>
        <v>7.9873528383309189E-2</v>
      </c>
      <c r="BZ89" s="363"/>
      <c r="CA89" s="378">
        <f>CA61/CA75</f>
        <v>7.0324986680873738E-2</v>
      </c>
      <c r="CB89" s="388">
        <f>CB61/CB75</f>
        <v>7.4522464352972814E-2</v>
      </c>
      <c r="CC89" s="388">
        <f>CC61/CC75</f>
        <v>8.7839553186087854E-2</v>
      </c>
      <c r="CD89" s="388">
        <f>CD61/CD75</f>
        <v>8.1224750159472725E-2</v>
      </c>
      <c r="CE89" s="401">
        <f>CE61/CE75</f>
        <v>7.8756283746043584E-2</v>
      </c>
      <c r="CF89" s="363"/>
      <c r="CG89" s="378">
        <f>CG61/CG75</f>
        <v>0.10184463497012212</v>
      </c>
      <c r="CH89" s="388">
        <f>CH61/CH75</f>
        <v>0.12846469028681609</v>
      </c>
      <c r="CI89" s="388">
        <f>CI61/CI75</f>
        <v>0.10376492194674014</v>
      </c>
      <c r="CJ89" s="388">
        <f>CJ61/CJ75</f>
        <v>0</v>
      </c>
      <c r="CK89" s="401">
        <f>CK61/CK75</f>
        <v>0</v>
      </c>
      <c r="CL89" s="363"/>
      <c r="CM89" s="378">
        <f>CM61/CM75</f>
        <v>0</v>
      </c>
      <c r="CN89" s="388">
        <f>CN61/CN75</f>
        <v>0</v>
      </c>
      <c r="CO89" s="388">
        <f>CO61/CO75</f>
        <v>0</v>
      </c>
      <c r="CP89" s="388">
        <f>CP61/CP75</f>
        <v>0</v>
      </c>
      <c r="CQ89" s="401">
        <f>CQ61/CQ75</f>
        <v>0</v>
      </c>
      <c r="CR89" s="363"/>
      <c r="CS89" s="378">
        <f>CS61/CS75</f>
        <v>0</v>
      </c>
      <c r="CT89" s="388">
        <f>CT61/CT75</f>
        <v>0</v>
      </c>
      <c r="CU89" s="388">
        <f>CU61/CU75</f>
        <v>0</v>
      </c>
      <c r="CV89" s="388">
        <f>CV61/CV75</f>
        <v>0</v>
      </c>
      <c r="CW89" s="401">
        <f>CW61/CW75</f>
        <v>0</v>
      </c>
      <c r="CX89" s="363"/>
      <c r="CY89" s="378">
        <f>CY61/CY75</f>
        <v>0</v>
      </c>
      <c r="CZ89" s="388">
        <f>CZ61/CZ75</f>
        <v>0</v>
      </c>
      <c r="DA89" s="388">
        <f>DA61/DA75</f>
        <v>0</v>
      </c>
      <c r="DB89" s="388">
        <f>DB61/DB75</f>
        <v>0</v>
      </c>
      <c r="DC89" s="401">
        <f>DC61/DC75</f>
        <v>0</v>
      </c>
      <c r="DD89" s="363"/>
      <c r="DE89" s="378">
        <f>DE61/DE75</f>
        <v>0</v>
      </c>
      <c r="DF89" s="388">
        <f>DF61/DF75</f>
        <v>0</v>
      </c>
      <c r="DG89" s="388">
        <f>DG61/DG75</f>
        <v>0</v>
      </c>
      <c r="DH89" s="388">
        <f>DH61/DH75</f>
        <v>0</v>
      </c>
      <c r="DI89" s="401">
        <f>DI61/DI75</f>
        <v>0</v>
      </c>
    </row>
    <row r="90" spans="1:113" s="355" customFormat="1" ht="11.25" customHeight="1">
      <c r="A90" s="362" t="s">
        <v>253</v>
      </c>
      <c r="B90" s="363"/>
      <c r="C90" s="357"/>
      <c r="D90" s="363"/>
      <c r="E90" s="357"/>
      <c r="F90" s="363"/>
      <c r="G90" s="357"/>
      <c r="H90" s="363"/>
      <c r="I90" s="357"/>
      <c r="J90" s="363"/>
      <c r="K90" s="357"/>
      <c r="L90" s="363"/>
      <c r="M90" s="357"/>
      <c r="N90" s="363"/>
      <c r="O90" s="357"/>
      <c r="P90" s="363"/>
      <c r="Q90" s="357"/>
      <c r="R90" s="363"/>
      <c r="S90" s="362"/>
      <c r="T90" s="363"/>
      <c r="U90" s="363"/>
      <c r="V90" s="363"/>
      <c r="W90" s="357"/>
      <c r="X90" s="363"/>
      <c r="Y90" s="362"/>
      <c r="Z90" s="363"/>
      <c r="AA90" s="363"/>
      <c r="AB90" s="363"/>
      <c r="AC90" s="401">
        <f>AC63/AC75</f>
        <v>3.4870205346764827E-3</v>
      </c>
      <c r="AD90" s="363"/>
      <c r="AE90" s="378">
        <f>AE63/AE75</f>
        <v>4.1963911036508594E-3</v>
      </c>
      <c r="AF90" s="388">
        <f>AF63/AF75</f>
        <v>3.2102728731942215E-3</v>
      </c>
      <c r="AG90" s="388">
        <f>AG63/AG75</f>
        <v>4.1305245766212308E-3</v>
      </c>
      <c r="AH90" s="388">
        <f>AH63/AH75</f>
        <v>1.5862944162436552E-3</v>
      </c>
      <c r="AI90" s="401">
        <f>AI63/AI75</f>
        <v>3.1614126998464457E-3</v>
      </c>
      <c r="AJ90" s="363"/>
      <c r="AK90" s="378">
        <f>AK63/AK75</f>
        <v>2.1691973969631237E-3</v>
      </c>
      <c r="AL90" s="388">
        <f>AL63/AL75</f>
        <v>1.5841584158415843E-3</v>
      </c>
      <c r="AM90" s="388">
        <f>AM63/AM75</f>
        <v>2.6405130139569972E-3</v>
      </c>
      <c r="AN90" s="388">
        <f>AN63/AN75</f>
        <v>1.6375545851528392E-3</v>
      </c>
      <c r="AO90" s="401">
        <f>AO63/AO75</f>
        <v>1.973979362943024E-3</v>
      </c>
      <c r="AP90" s="363"/>
      <c r="AQ90" s="378">
        <f>AQ63/AQ75</f>
        <v>2.8808066258552397E-3</v>
      </c>
      <c r="AR90" s="388">
        <f>AR63/AR75</f>
        <v>1.661681621801263E-3</v>
      </c>
      <c r="AS90" s="388">
        <f>AS63/AS75</f>
        <v>4.8355899419729211E-3</v>
      </c>
      <c r="AT90" s="388">
        <f>AT63/AT75</f>
        <v>4.3258832011535677E-3</v>
      </c>
      <c r="AU90" s="401">
        <f>AU63/AU75</f>
        <v>3.5251743428615216E-3</v>
      </c>
      <c r="AV90" s="363"/>
      <c r="AW90" s="378">
        <f>AW63/AW75</f>
        <v>6.1624649859943984E-3</v>
      </c>
      <c r="AX90" s="388">
        <f>AX63/AX75</f>
        <v>5.2342971086739784E-3</v>
      </c>
      <c r="AY90" s="388">
        <f>AY63/AY75</f>
        <v>4.5411089866156792E-3</v>
      </c>
      <c r="AZ90" s="388">
        <f>AZ63/AZ75</f>
        <v>3.9991580719848426E-3</v>
      </c>
      <c r="BA90" s="401">
        <f>BA63/BA75</f>
        <v>4.9040382636071928E-3</v>
      </c>
      <c r="BB90" s="363"/>
      <c r="BC90" s="378">
        <f>BC63/BC75</f>
        <v>5.1775147928994078E-3</v>
      </c>
      <c r="BD90" s="388">
        <f>BD63/BD75</f>
        <v>4.9916805324459242E-3</v>
      </c>
      <c r="BE90" s="388">
        <f>BE63/BE75</f>
        <v>4.0196516301920504E-2</v>
      </c>
      <c r="BF90" s="388">
        <f>BF63/BF75</f>
        <v>4.4461627682196025E-3</v>
      </c>
      <c r="BG90" s="401">
        <f>BG63/BG75</f>
        <v>1.3676454169922966E-2</v>
      </c>
      <c r="BH90" s="363"/>
      <c r="BI90" s="378">
        <f>BI63/BI75</f>
        <v>2.7961362480935438E-3</v>
      </c>
      <c r="BJ90" s="388">
        <f>BJ63/BJ75</f>
        <v>1.5387997362057594E-2</v>
      </c>
      <c r="BK90" s="388">
        <f>BK63/BK75</f>
        <v>2.9612756264236905E-3</v>
      </c>
      <c r="BL90" s="388">
        <f>BL63/BL75</f>
        <v>1.2678862524904888E-3</v>
      </c>
      <c r="BM90" s="401">
        <f>BM63/BM75</f>
        <v>5.4909209524845052E-3</v>
      </c>
      <c r="BN90" s="363"/>
      <c r="BO90" s="378">
        <f>BO63/BO75</f>
        <v>2.8321925890960587E-3</v>
      </c>
      <c r="BP90" s="388">
        <f>BP63/BP75</f>
        <v>2.186270222999563E-3</v>
      </c>
      <c r="BQ90" s="388">
        <f>BQ63/BQ75</f>
        <v>2.1438780371605529E-3</v>
      </c>
      <c r="BR90" s="388">
        <f>BR63/BR75</f>
        <v>2.7559055118110232E-3</v>
      </c>
      <c r="BS90" s="401">
        <f>BS63/BS75</f>
        <v>2.4876997070042563E-3</v>
      </c>
      <c r="BT90" s="363"/>
      <c r="BU90" s="378">
        <f>BU63/BU75</f>
        <v>3.3946251768033945E-3</v>
      </c>
      <c r="BV90" s="388">
        <f>BV63/BV75</f>
        <v>2.5252525252525255E-3</v>
      </c>
      <c r="BW90" s="388">
        <f>BW63/BW75</f>
        <v>2.7770764958343851E-3</v>
      </c>
      <c r="BX90" s="388">
        <f>BX63/BX75</f>
        <v>1.4637703722234136E-3</v>
      </c>
      <c r="BY90" s="401">
        <f>BY63/BY75</f>
        <v>2.4633316386525579E-3</v>
      </c>
      <c r="BZ90" s="363"/>
      <c r="CA90" s="378">
        <f>CA63/CA75</f>
        <v>2.1310602024507195E-3</v>
      </c>
      <c r="CB90" s="388">
        <f>CB63/CB75</f>
        <v>2.1522733387140166E-3</v>
      </c>
      <c r="CC90" s="388">
        <f>CC63/CC75</f>
        <v>2.284843869002285E-3</v>
      </c>
      <c r="CD90" s="388">
        <f>CD63/CD75</f>
        <v>1.701041888156496E-3</v>
      </c>
      <c r="CE90" s="401">
        <f>CE63/CE75</f>
        <v>2.0480357475330482E-3</v>
      </c>
      <c r="CF90" s="363"/>
      <c r="CG90" s="378">
        <f>CG63/CG75</f>
        <v>2.3382696804364772E-3</v>
      </c>
      <c r="CH90" s="388">
        <f>CH63/CH75</f>
        <v>1.6871535309713184E-3</v>
      </c>
      <c r="CI90" s="388">
        <f>CI63/CI75</f>
        <v>2.0661157024793389E-3</v>
      </c>
      <c r="CJ90" s="388">
        <f>CJ63/CJ75</f>
        <v>0</v>
      </c>
      <c r="CK90" s="401">
        <f>CK63/CK75</f>
        <v>0</v>
      </c>
      <c r="CL90" s="363"/>
      <c r="CM90" s="378">
        <f>CM63/CM75</f>
        <v>0</v>
      </c>
      <c r="CN90" s="388">
        <f>CN63/CN75</f>
        <v>0</v>
      </c>
      <c r="CO90" s="388">
        <f>CO63/CO75</f>
        <v>0</v>
      </c>
      <c r="CP90" s="388">
        <f>CP63/CP75</f>
        <v>0</v>
      </c>
      <c r="CQ90" s="401">
        <f>CQ63/CQ75</f>
        <v>0</v>
      </c>
      <c r="CR90" s="363"/>
      <c r="CS90" s="378">
        <f>CS63/CS75</f>
        <v>0</v>
      </c>
      <c r="CT90" s="388">
        <f>CT63/CT75</f>
        <v>0</v>
      </c>
      <c r="CU90" s="388">
        <f>CU63/CU75</f>
        <v>0</v>
      </c>
      <c r="CV90" s="388">
        <f>CV63/CV75</f>
        <v>0</v>
      </c>
      <c r="CW90" s="401">
        <f>CW63/CW75</f>
        <v>0</v>
      </c>
      <c r="CX90" s="363"/>
      <c r="CY90" s="378">
        <f>CY63/CY75</f>
        <v>0</v>
      </c>
      <c r="CZ90" s="388">
        <f>CZ63/CZ75</f>
        <v>0</v>
      </c>
      <c r="DA90" s="388">
        <f>DA63/DA75</f>
        <v>0</v>
      </c>
      <c r="DB90" s="388">
        <f>DB63/DB75</f>
        <v>0</v>
      </c>
      <c r="DC90" s="401">
        <f>DC63/DC75</f>
        <v>0</v>
      </c>
      <c r="DD90" s="363"/>
      <c r="DE90" s="378">
        <f>DE63/DE75</f>
        <v>0</v>
      </c>
      <c r="DF90" s="388">
        <f>DF63/DF75</f>
        <v>0</v>
      </c>
      <c r="DG90" s="388">
        <f>DG63/DG75</f>
        <v>0</v>
      </c>
      <c r="DH90" s="388">
        <f>DH63/DH75</f>
        <v>0</v>
      </c>
      <c r="DI90" s="401">
        <f>DI63/DI75</f>
        <v>0</v>
      </c>
    </row>
    <row r="91" spans="1:113" s="355" customFormat="1" ht="11.25" customHeight="1">
      <c r="A91" s="368" t="s">
        <v>17</v>
      </c>
      <c r="B91" s="556"/>
      <c r="C91" s="687"/>
      <c r="D91" s="556"/>
      <c r="E91" s="687"/>
      <c r="F91" s="556"/>
      <c r="G91" s="687"/>
      <c r="H91" s="556"/>
      <c r="I91" s="687"/>
      <c r="J91" s="556"/>
      <c r="K91" s="687"/>
      <c r="L91" s="556"/>
      <c r="M91" s="687"/>
      <c r="N91" s="556"/>
      <c r="O91" s="687"/>
      <c r="P91" s="556"/>
      <c r="Q91" s="687"/>
      <c r="R91" s="556"/>
      <c r="S91" s="368"/>
      <c r="T91" s="556"/>
      <c r="U91" s="556"/>
      <c r="V91" s="556"/>
      <c r="W91" s="687"/>
      <c r="X91" s="556"/>
      <c r="Y91" s="368"/>
      <c r="Z91" s="556"/>
      <c r="AA91" s="556"/>
      <c r="AB91" s="556"/>
      <c r="AC91" s="562">
        <f>AC72/AC75</f>
        <v>-6.0054242541650532E-3</v>
      </c>
      <c r="AD91" s="556"/>
      <c r="AE91" s="563">
        <f>AE72/AE75</f>
        <v>-8.8124213176668034E-3</v>
      </c>
      <c r="AF91" s="564">
        <f>AF72/AF75</f>
        <v>-1.2841091492776886E-2</v>
      </c>
      <c r="AG91" s="564">
        <f>AG72/AG75</f>
        <v>-7.8479966955803393E-3</v>
      </c>
      <c r="AH91" s="564">
        <f>AH72/AH75</f>
        <v>-7.9314720812182771E-3</v>
      </c>
      <c r="AI91" s="562">
        <f>AI72/AI75</f>
        <v>-9.4842380995393376E-3</v>
      </c>
      <c r="AJ91" s="556"/>
      <c r="AK91" s="563">
        <f>AK72/AK75</f>
        <v>-5.2060737527114967E-3</v>
      </c>
      <c r="AL91" s="564">
        <f>AL72/AL75</f>
        <v>-9.9009900990099011E-3</v>
      </c>
      <c r="AM91" s="564">
        <f>AM72/AM75</f>
        <v>-2.6405130139569972E-3</v>
      </c>
      <c r="AN91" s="564">
        <f>AN72/AN75</f>
        <v>-9.8253275109170292E-3</v>
      </c>
      <c r="AO91" s="562">
        <f>AO72/AO75</f>
        <v>-7.1781067743382681E-3</v>
      </c>
      <c r="AP91" s="556"/>
      <c r="AQ91" s="563">
        <f>AQ72/AQ75</f>
        <v>-1.1883327331652862E-2</v>
      </c>
      <c r="AR91" s="564">
        <f>AR72/AR75</f>
        <v>-6.9790628115653048E-3</v>
      </c>
      <c r="AS91" s="564">
        <f>AS72/AS75</f>
        <v>-8.7040618955512589E-3</v>
      </c>
      <c r="AT91" s="564">
        <f>AT72/AT75</f>
        <v>-6.2484979572218179E-3</v>
      </c>
      <c r="AU91" s="562">
        <f>AU72/AU75</f>
        <v>-8.1998620583952787E-3</v>
      </c>
      <c r="AV91" s="556"/>
      <c r="AW91" s="563">
        <f>AW72/AW75</f>
        <v>-7.8431372549019607E-3</v>
      </c>
      <c r="AX91" s="564">
        <f>AX72/AX75</f>
        <v>-1.1964107676969092E-2</v>
      </c>
      <c r="AY91" s="564">
        <f>AY72/AY75</f>
        <v>-9.3212237093690253E-3</v>
      </c>
      <c r="AZ91" s="564">
        <f>AZ72/AZ75</f>
        <v>-9.0507261629130652E-3</v>
      </c>
      <c r="BA91" s="562">
        <f>BA72/BA75</f>
        <v>-9.5659017981473606E-3</v>
      </c>
      <c r="BB91" s="556"/>
      <c r="BC91" s="563">
        <f>BC72/BC75</f>
        <v>-6.1637080867850092E-3</v>
      </c>
      <c r="BD91" s="564">
        <f>BD72/BD75</f>
        <v>-5.4670786783931544E-3</v>
      </c>
      <c r="BE91" s="564">
        <f>BE72/BE75</f>
        <v>-7.8159892809289873E-3</v>
      </c>
      <c r="BF91" s="564">
        <f>BF72/BF75</f>
        <v>-5.0260970423352024E-3</v>
      </c>
      <c r="BG91" s="562">
        <f>BG72/BG75</f>
        <v>-6.0846265490677688E-3</v>
      </c>
      <c r="BH91" s="556"/>
      <c r="BI91" s="563">
        <f>BI72/BI75</f>
        <v>-1.0421962379257752E-2</v>
      </c>
      <c r="BJ91" s="564">
        <f>BJ72/BJ75</f>
        <v>-8.3534842822598366E-3</v>
      </c>
      <c r="BK91" s="564">
        <f>BK72/BK75</f>
        <v>-9.339407744874715E-3</v>
      </c>
      <c r="BL91" s="564">
        <f>BL72/BL75</f>
        <v>-9.9619634124252857E-3</v>
      </c>
      <c r="BM91" s="562">
        <f>BM72/BM75</f>
        <v>-9.513971947374144E-3</v>
      </c>
      <c r="BN91" s="556"/>
      <c r="BO91" s="563">
        <f>BO72/BO75</f>
        <v>-1.1800802454566911E-2</v>
      </c>
      <c r="BP91" s="564">
        <f>BP72/BP75</f>
        <v>-1.2024486226497596E-2</v>
      </c>
      <c r="BQ91" s="564">
        <f>BQ72/BQ75</f>
        <v>-8.5755121486422118E-3</v>
      </c>
      <c r="BR91" s="564">
        <f>BR72/BR75</f>
        <v>-8.8582677165354347E-3</v>
      </c>
      <c r="BS91" s="562">
        <f>BS72/BS75</f>
        <v>-1.028249212228426E-2</v>
      </c>
      <c r="BT91" s="556"/>
      <c r="BU91" s="563">
        <f>BU72/BU75</f>
        <v>-4.2432814710042432E-3</v>
      </c>
      <c r="BV91" s="564">
        <f>BV72/BV75</f>
        <v>-2.5252525252525255E-3</v>
      </c>
      <c r="BW91" s="564">
        <f>BW72/BW75</f>
        <v>-8.5836909871244635E-3</v>
      </c>
      <c r="BX91" s="564">
        <f>BX72/BX75</f>
        <v>-7.1097418079422948E-3</v>
      </c>
      <c r="BY91" s="562">
        <f>BY72/BY75</f>
        <v>-5.7272460598671981E-3</v>
      </c>
      <c r="BZ91" s="556"/>
      <c r="CA91" s="563">
        <f>CA72/CA75</f>
        <v>-5.8604155567394791E-3</v>
      </c>
      <c r="CB91" s="564">
        <f>CB72/CB75</f>
        <v>-6.7258541834813012E-3</v>
      </c>
      <c r="CC91" s="564">
        <f>CC72/CC75</f>
        <v>-7.8700177710078704E-3</v>
      </c>
      <c r="CD91" s="564">
        <f>CD72/CD75</f>
        <v>-7.8673187327237947E-3</v>
      </c>
      <c r="CE91" s="562">
        <f>CE72/CE75</f>
        <v>-7.137094271706077E-3</v>
      </c>
      <c r="CF91" s="556"/>
      <c r="CG91" s="563">
        <f>CG72/CG75</f>
        <v>-4.156923876331515E-3</v>
      </c>
      <c r="CH91" s="564">
        <f>CH72/CH75</f>
        <v>-3.8563509279344425E-3</v>
      </c>
      <c r="CI91" s="564">
        <f>CI72/CI75</f>
        <v>-2.5252525252525255E-3</v>
      </c>
      <c r="CJ91" s="564">
        <f>CJ72/CJ75</f>
        <v>-9.0486869672017269E-3</v>
      </c>
      <c r="CK91" s="562">
        <f>CK72/CK75</f>
        <v>-5.1532856030794862E-3</v>
      </c>
      <c r="CL91" s="556"/>
      <c r="CM91" s="563">
        <f>CM72/CM75</f>
        <v>-8.0645161290322578E-3</v>
      </c>
      <c r="CN91" s="564">
        <f>CN72/CN75</f>
        <v>-8.0645161290322578E-3</v>
      </c>
      <c r="CO91" s="564">
        <f>CO72/CO75</f>
        <v>-8.0645161290322578E-3</v>
      </c>
      <c r="CP91" s="564">
        <f>CP72/CP75</f>
        <v>-8.0645161290322578E-3</v>
      </c>
      <c r="CQ91" s="562">
        <f>CQ72/CQ75</f>
        <v>-8.0645161290322561E-3</v>
      </c>
      <c r="CR91" s="556"/>
      <c r="CS91" s="563">
        <f>CS72/CS75</f>
        <v>-8.0645161290322578E-3</v>
      </c>
      <c r="CT91" s="564">
        <f>CT72/CT75</f>
        <v>-8.0645161290322578E-3</v>
      </c>
      <c r="CU91" s="564">
        <f>CU72/CU75</f>
        <v>-8.0645161290322578E-3</v>
      </c>
      <c r="CV91" s="564">
        <f>CV72/CV75</f>
        <v>-8.0645161290322578E-3</v>
      </c>
      <c r="CW91" s="562">
        <f>CW72/CW75</f>
        <v>-8.0645161290322578E-3</v>
      </c>
      <c r="CX91" s="556"/>
      <c r="CY91" s="563">
        <f>CY72/CY75</f>
        <v>-8.0645161290322578E-3</v>
      </c>
      <c r="CZ91" s="564">
        <f>CZ72/CZ75</f>
        <v>-8.0645161290322578E-3</v>
      </c>
      <c r="DA91" s="564">
        <f>DA72/DA75</f>
        <v>-8.0645161290322578E-3</v>
      </c>
      <c r="DB91" s="564">
        <f>DB72/DB75</f>
        <v>-8.0645161290322596E-3</v>
      </c>
      <c r="DC91" s="562">
        <f>DC72/DC75</f>
        <v>-8.0645161290322561E-3</v>
      </c>
      <c r="DD91" s="556"/>
      <c r="DE91" s="563">
        <f>DE72/DE75</f>
        <v>-8.0645161290322596E-3</v>
      </c>
      <c r="DF91" s="564">
        <f>DF72/DF75</f>
        <v>-8.0645161290322578E-3</v>
      </c>
      <c r="DG91" s="564">
        <f>DG72/DG75</f>
        <v>-8.0645161290322578E-3</v>
      </c>
      <c r="DH91" s="564">
        <f>DH72/DH75</f>
        <v>-8.0645161290322596E-3</v>
      </c>
      <c r="DI91" s="562">
        <f>DI72/DI75</f>
        <v>-8.0645161290322578E-3</v>
      </c>
    </row>
    <row r="92" spans="1:113" s="355" customFormat="1" ht="11.25" customHeight="1">
      <c r="A92" s="1520" t="s">
        <v>254</v>
      </c>
      <c r="B92" s="1521"/>
      <c r="C92" s="1522"/>
      <c r="D92" s="1521"/>
      <c r="E92" s="1522"/>
      <c r="F92" s="1521"/>
      <c r="G92" s="1522"/>
      <c r="H92" s="1521"/>
      <c r="I92" s="1523"/>
      <c r="J92" s="1521"/>
      <c r="K92" s="1522"/>
      <c r="L92" s="1521"/>
      <c r="M92" s="1522"/>
      <c r="N92" s="1521"/>
      <c r="O92" s="1522"/>
      <c r="P92" s="1521"/>
      <c r="Q92" s="1522"/>
      <c r="R92" s="1521"/>
      <c r="S92" s="1524"/>
      <c r="T92" s="1525"/>
      <c r="U92" s="1525"/>
      <c r="V92" s="1526"/>
      <c r="W92" s="1526"/>
      <c r="X92" s="1525"/>
      <c r="Y92" s="1524"/>
      <c r="Z92" s="1525"/>
      <c r="AA92" s="1525"/>
      <c r="AB92" s="1526"/>
      <c r="AC92" s="1526"/>
      <c r="AD92" s="1525"/>
      <c r="AE92" s="1524"/>
      <c r="AF92" s="1525"/>
      <c r="AG92" s="1525"/>
      <c r="AH92" s="1526"/>
      <c r="AI92" s="1526"/>
      <c r="AJ92" s="1525"/>
      <c r="AK92" s="1524"/>
      <c r="AL92" s="1525"/>
      <c r="AM92" s="1525"/>
      <c r="AN92" s="1526"/>
      <c r="AO92" s="1526"/>
      <c r="AP92" s="1525"/>
      <c r="AQ92" s="1524"/>
      <c r="AR92" s="1525"/>
      <c r="AS92" s="1525"/>
      <c r="AT92" s="1526"/>
      <c r="AU92" s="1526"/>
      <c r="AV92" s="1525"/>
      <c r="AW92" s="1524"/>
      <c r="AX92" s="1525"/>
      <c r="AY92" s="1525"/>
      <c r="AZ92" s="1526"/>
      <c r="BA92" s="1527"/>
      <c r="BB92" s="1525"/>
      <c r="BC92" s="1524"/>
      <c r="BD92" s="1525"/>
      <c r="BE92" s="1525"/>
      <c r="BF92" s="1526"/>
      <c r="BG92" s="1527"/>
      <c r="BH92" s="1525"/>
      <c r="BI92" s="1524"/>
      <c r="BJ92" s="1525"/>
      <c r="BK92" s="1525"/>
      <c r="BL92" s="1526"/>
      <c r="BM92" s="1527"/>
      <c r="BN92" s="1525"/>
      <c r="BO92" s="1524"/>
      <c r="BP92" s="1525"/>
      <c r="BQ92" s="1525"/>
      <c r="BR92" s="1526"/>
      <c r="BS92" s="1527"/>
      <c r="BT92" s="1525"/>
      <c r="BU92" s="1524"/>
      <c r="BV92" s="1525"/>
      <c r="BW92" s="1525"/>
      <c r="BX92" s="1526"/>
      <c r="BY92" s="1527"/>
      <c r="BZ92" s="1525"/>
      <c r="CA92" s="1524"/>
      <c r="CB92" s="1525"/>
      <c r="CC92" s="1525"/>
      <c r="CD92" s="1526"/>
      <c r="CE92" s="1527"/>
      <c r="CF92" s="1525"/>
      <c r="CG92" s="1524"/>
      <c r="CH92" s="1525"/>
      <c r="CI92" s="1525"/>
      <c r="CJ92" s="1526"/>
      <c r="CK92" s="1527"/>
      <c r="CL92" s="1525"/>
      <c r="CM92" s="1524"/>
      <c r="CN92" s="1525"/>
      <c r="CO92" s="1525"/>
      <c r="CP92" s="1526"/>
      <c r="CQ92" s="1527"/>
      <c r="CR92" s="1525"/>
      <c r="CS92" s="1524"/>
      <c r="CT92" s="1525"/>
      <c r="CU92" s="1525"/>
      <c r="CV92" s="1526"/>
      <c r="CW92" s="1527"/>
      <c r="CX92" s="1525"/>
      <c r="CY92" s="1524"/>
      <c r="CZ92" s="1525"/>
      <c r="DA92" s="1525"/>
      <c r="DB92" s="1526"/>
      <c r="DC92" s="1527"/>
      <c r="DD92" s="1525"/>
      <c r="DE92" s="1524"/>
      <c r="DF92" s="1525"/>
      <c r="DG92" s="1525"/>
      <c r="DH92" s="1526"/>
      <c r="DI92" s="1527"/>
    </row>
    <row r="93" spans="1:113" s="355" customFormat="1" ht="11.25" customHeight="1">
      <c r="A93" s="368" t="s">
        <v>473</v>
      </c>
      <c r="B93" s="363"/>
      <c r="C93" s="357"/>
      <c r="D93" s="363"/>
      <c r="E93" s="357"/>
      <c r="F93" s="363"/>
      <c r="G93" s="357"/>
      <c r="H93" s="363"/>
      <c r="I93" s="357"/>
      <c r="J93" s="363"/>
      <c r="K93" s="357"/>
      <c r="L93" s="363"/>
      <c r="M93" s="357"/>
      <c r="N93" s="363"/>
      <c r="O93" s="357"/>
      <c r="P93" s="363"/>
      <c r="Q93" s="357"/>
      <c r="R93" s="363"/>
      <c r="S93" s="362"/>
      <c r="T93" s="363"/>
      <c r="U93" s="363"/>
      <c r="V93" s="363"/>
      <c r="W93" s="357"/>
      <c r="X93" s="363"/>
      <c r="Y93" s="362"/>
      <c r="Z93" s="363"/>
      <c r="AA93" s="363"/>
      <c r="AB93" s="363"/>
      <c r="AC93" s="687"/>
      <c r="AD93" s="556"/>
      <c r="AE93" s="563"/>
      <c r="AF93" s="564"/>
      <c r="AG93" s="564"/>
      <c r="AH93" s="564"/>
      <c r="AI93" s="562">
        <f>AI54</f>
        <v>7.3134179238685038E-2</v>
      </c>
      <c r="AJ93" s="556"/>
      <c r="AK93" s="563">
        <f>AK54</f>
        <v>-2.9934924078091285E-2</v>
      </c>
      <c r="AL93" s="564">
        <f>AL54</f>
        <v>-0.20363036303630355</v>
      </c>
      <c r="AM93" s="564">
        <f>AM54</f>
        <v>7.6133447390932307E-2</v>
      </c>
      <c r="AN93" s="564">
        <f>AN54</f>
        <v>0.12842242503259493</v>
      </c>
      <c r="AO93" s="562">
        <f>AO54</f>
        <v>-1.0613536914626076E-2</v>
      </c>
      <c r="AP93" s="556"/>
      <c r="AQ93" s="563">
        <f>AQ54</f>
        <v>0.16413237924865842</v>
      </c>
      <c r="AR93" s="564">
        <f>AR54</f>
        <v>0.18068794032324886</v>
      </c>
      <c r="AS93" s="564">
        <f>AS54</f>
        <v>0.15461049284578698</v>
      </c>
      <c r="AT93" s="564">
        <f>AT54</f>
        <v>0.12478336221837094</v>
      </c>
      <c r="AU93" s="562">
        <f>AU54</f>
        <v>0.15281829302719485</v>
      </c>
      <c r="AV93" s="556"/>
      <c r="AW93" s="563">
        <f>AW54</f>
        <v>0.29004994237418358</v>
      </c>
      <c r="AX93" s="564">
        <f>AX54</f>
        <v>0.32643032643032655</v>
      </c>
      <c r="AY93" s="564">
        <f>AY54</f>
        <v>0.35834767641996557</v>
      </c>
      <c r="AZ93" s="564">
        <f>AZ54</f>
        <v>0.14483821263482288</v>
      </c>
      <c r="BA93" s="562">
        <f>BA54</f>
        <v>0.2685495061627623</v>
      </c>
      <c r="BB93" s="556"/>
      <c r="BC93" s="563">
        <f>BC54</f>
        <v>0.12596783799880895</v>
      </c>
      <c r="BD93" s="564">
        <f>BD54</f>
        <v>5.0542471553321144E-2</v>
      </c>
      <c r="BE93" s="564">
        <f>BE54</f>
        <v>3.623922959959458E-2</v>
      </c>
      <c r="BF93" s="564">
        <f>BF54</f>
        <v>8.1426648721399264E-2</v>
      </c>
      <c r="BG93" s="562">
        <f>BG54</f>
        <v>7.2067434528022556E-2</v>
      </c>
      <c r="BH93" s="556"/>
      <c r="BI93" s="563">
        <f>BI54</f>
        <v>-3.1208674953715931E-2</v>
      </c>
      <c r="BJ93" s="564">
        <f>BJ54</f>
        <v>6.1964735516372826E-2</v>
      </c>
      <c r="BK93" s="564">
        <f>BK54</f>
        <v>4.1574957202250573E-3</v>
      </c>
      <c r="BL93" s="564">
        <f>BL54</f>
        <v>5.9946069280232495E-2</v>
      </c>
      <c r="BM93" s="562">
        <f>BM54</f>
        <v>2.6048856611247784E-2</v>
      </c>
      <c r="BN93" s="556"/>
      <c r="BO93" s="563">
        <f>BO54</f>
        <v>7.5348075348075305E-2</v>
      </c>
      <c r="BP93" s="564">
        <f>BP54</f>
        <v>-2.3719165085389626E-4</v>
      </c>
      <c r="BQ93" s="564">
        <f>BQ54</f>
        <v>-6.624452021432059E-2</v>
      </c>
      <c r="BR93" s="564">
        <f>BR54</f>
        <v>-6.8884540117416626E-2</v>
      </c>
      <c r="BS93" s="562">
        <f>BS54</f>
        <v>-2.0415326118748078E-2</v>
      </c>
      <c r="BT93" s="556"/>
      <c r="BU93" s="563">
        <f>BU54</f>
        <v>-0.16857070322416856</v>
      </c>
      <c r="BV93" s="564">
        <f>BV54</f>
        <v>-0.13119810201660742</v>
      </c>
      <c r="BW93" s="564">
        <f>BW54</f>
        <v>-4.3818466353677477E-2</v>
      </c>
      <c r="BX93" s="564">
        <f>BX54</f>
        <v>-7.7097342057964369E-2</v>
      </c>
      <c r="BY93" s="562">
        <f>BY54</f>
        <v>-0.10461179705671753</v>
      </c>
      <c r="BZ93" s="556"/>
      <c r="CA93" s="563">
        <f>CA54</f>
        <v>6.9923664122137241E-2</v>
      </c>
      <c r="CB93" s="564">
        <f>CB54</f>
        <v>-5.5980338612779734E-2</v>
      </c>
      <c r="CC93" s="564">
        <f>CC54</f>
        <v>-1.3911620294599025E-2</v>
      </c>
      <c r="CD93" s="564">
        <f>CD54</f>
        <v>-9.3758243364943095E-3</v>
      </c>
      <c r="CE93" s="562">
        <f>CE54</f>
        <v>-4.5464899117232394E-3</v>
      </c>
      <c r="CF93" s="556"/>
      <c r="CG93" s="563">
        <f>CG54</f>
        <v>-1.1415525114155223E-2</v>
      </c>
      <c r="CH93" s="564">
        <f>CH54</f>
        <v>4.859704946485377E-2</v>
      </c>
      <c r="CI93" s="564">
        <f>CI54</f>
        <v>8.0497925311203256E-2</v>
      </c>
      <c r="CJ93" s="564">
        <f>CJ54</f>
        <v>0.11313035276330163</v>
      </c>
      <c r="CK93" s="562">
        <f>CK54</f>
        <v>6.1042277537207923E-2</v>
      </c>
      <c r="CL93" s="556"/>
      <c r="CM93" s="563">
        <f>CM54</f>
        <v>0.1059960910559743</v>
      </c>
      <c r="CN93" s="564">
        <f>CN54</f>
        <v>6.9139197671540531E-2</v>
      </c>
      <c r="CO93" s="564">
        <f>CO54</f>
        <v>3.3535645764736444E-2</v>
      </c>
      <c r="CP93" s="564">
        <f>CP54</f>
        <v>5.8306764443516013E-2</v>
      </c>
      <c r="CQ93" s="562">
        <f>CQ54</f>
        <v>6.5107712371289539E-2</v>
      </c>
      <c r="CR93" s="556"/>
      <c r="CS93" s="563">
        <f>CS54</f>
        <v>2.9710845987884094E-2</v>
      </c>
      <c r="CT93" s="564">
        <f>CT54</f>
        <v>3.0256037661325008E-2</v>
      </c>
      <c r="CU93" s="564">
        <f>CU54</f>
        <v>3.2095189588354778E-2</v>
      </c>
      <c r="CV93" s="564">
        <f>CV54</f>
        <v>4.8446920047590103E-2</v>
      </c>
      <c r="CW93" s="562">
        <f>CW54</f>
        <v>3.6098622459427743E-2</v>
      </c>
      <c r="CX93" s="556"/>
      <c r="CY93" s="563">
        <f>CY54</f>
        <v>2.6653899987922225E-2</v>
      </c>
      <c r="CZ93" s="564">
        <f>CZ54</f>
        <v>2.7487798283500453E-2</v>
      </c>
      <c r="DA93" s="564">
        <f>DA54</f>
        <v>2.9831511130163912E-2</v>
      </c>
      <c r="DB93" s="564">
        <f>DB54</f>
        <v>2.5792058516775018E-2</v>
      </c>
      <c r="DC93" s="562">
        <f>DC54</f>
        <v>2.7337017059424484E-2</v>
      </c>
      <c r="DD93" s="556"/>
      <c r="DE93" s="563">
        <f>DE54</f>
        <v>2.7061963359286345E-2</v>
      </c>
      <c r="DF93" s="564">
        <f>DF54</f>
        <v>2.7872424998291789E-2</v>
      </c>
      <c r="DG93" s="564">
        <f>DG54</f>
        <v>3.0192039489554734E-2</v>
      </c>
      <c r="DH93" s="564">
        <f>DH54</f>
        <v>2.6191245850907041E-2</v>
      </c>
      <c r="DI93" s="562">
        <f>DI54</f>
        <v>2.7727906640229616E-2</v>
      </c>
    </row>
    <row r="94" spans="1:113" s="355" customFormat="1" ht="11.25" customHeight="1">
      <c r="A94" s="362" t="s">
        <v>252</v>
      </c>
      <c r="B94" s="363"/>
      <c r="C94" s="357"/>
      <c r="D94" s="363"/>
      <c r="E94" s="357"/>
      <c r="F94" s="363"/>
      <c r="G94" s="357"/>
      <c r="H94" s="363"/>
      <c r="I94" s="357"/>
      <c r="J94" s="363"/>
      <c r="K94" s="357"/>
      <c r="L94" s="363"/>
      <c r="M94" s="357"/>
      <c r="N94" s="363"/>
      <c r="O94" s="357"/>
      <c r="P94" s="363"/>
      <c r="Q94" s="357"/>
      <c r="R94" s="363"/>
      <c r="S94" s="362"/>
      <c r="T94" s="363"/>
      <c r="U94" s="363"/>
      <c r="V94" s="363"/>
      <c r="W94" s="357"/>
      <c r="X94" s="363"/>
      <c r="Y94" s="362"/>
      <c r="Z94" s="363"/>
      <c r="AA94" s="363"/>
      <c r="AB94" s="363"/>
      <c r="AC94" s="357"/>
      <c r="AD94" s="363"/>
      <c r="AE94" s="380"/>
      <c r="AF94" s="391"/>
      <c r="AG94" s="391"/>
      <c r="AH94" s="391"/>
      <c r="AI94" s="406">
        <f>AI50</f>
        <v>0.10085117358782569</v>
      </c>
      <c r="AJ94" s="363"/>
      <c r="AK94" s="380">
        <f>AK50</f>
        <v>-5.6593095642343272E-4</v>
      </c>
      <c r="AL94" s="391">
        <f>AL50</f>
        <v>-0.23357371794871784</v>
      </c>
      <c r="AM94" s="391">
        <f>AM50</f>
        <v>0.11701526286037311</v>
      </c>
      <c r="AN94" s="391">
        <f>AN50</f>
        <v>0.13298722044728484</v>
      </c>
      <c r="AO94" s="406">
        <f>AO50</f>
        <v>-5.1546391752577136E-3</v>
      </c>
      <c r="AP94" s="363"/>
      <c r="AQ94" s="380">
        <f>AQ50</f>
        <v>0.16874292185730466</v>
      </c>
      <c r="AR94" s="391">
        <f>AR50</f>
        <v>0.21014113957135372</v>
      </c>
      <c r="AS94" s="391">
        <f>AS50</f>
        <v>0.18674089068825905</v>
      </c>
      <c r="AT94" s="391">
        <f>AT50</f>
        <v>6.0274938315121762E-2</v>
      </c>
      <c r="AU94" s="406">
        <f>AU50</f>
        <v>0.14601978332548282</v>
      </c>
      <c r="AV94" s="363"/>
      <c r="AW94" s="380">
        <f>AW50</f>
        <v>0.29602713178294571</v>
      </c>
      <c r="AX94" s="391">
        <f>AX50</f>
        <v>0.33434125269978399</v>
      </c>
      <c r="AY94" s="391">
        <f>AY50</f>
        <v>0.30874200426439224</v>
      </c>
      <c r="AZ94" s="391">
        <f>AZ50</f>
        <v>0.18218085106382986</v>
      </c>
      <c r="BA94" s="406">
        <f>BA50</f>
        <v>0.27301685162351008</v>
      </c>
      <c r="BB94" s="363"/>
      <c r="BC94" s="380">
        <f>BC50</f>
        <v>0.12560747663551419</v>
      </c>
      <c r="BD94" s="391">
        <f>BD50</f>
        <v>6.2803496277112458E-2</v>
      </c>
      <c r="BE94" s="391">
        <f>BE50</f>
        <v>8.7976539589442737E-2</v>
      </c>
      <c r="BF94" s="391">
        <f>BF50</f>
        <v>9.9268841394825058E-2</v>
      </c>
      <c r="BG94" s="406">
        <f>BG50</f>
        <v>9.30664298974897E-2</v>
      </c>
      <c r="BH94" s="363"/>
      <c r="BI94" s="380">
        <f>BI50</f>
        <v>3.5536366655596119E-2</v>
      </c>
      <c r="BJ94" s="391">
        <f>BJ50</f>
        <v>4.9345111178799916E-2</v>
      </c>
      <c r="BK94" s="391">
        <f>BK50</f>
        <v>-1.7370470200658739E-2</v>
      </c>
      <c r="BL94" s="391">
        <f>BL50</f>
        <v>2.5070350473266778E-2</v>
      </c>
      <c r="BM94" s="406">
        <f>BM50</f>
        <v>2.2817899867080049E-2</v>
      </c>
      <c r="BN94" s="363"/>
      <c r="BO94" s="380">
        <f>BO50</f>
        <v>-1.1545862732520895E-2</v>
      </c>
      <c r="BP94" s="391">
        <f>BP50</f>
        <v>-1.3642960812772054E-2</v>
      </c>
      <c r="BQ94" s="391">
        <f>BQ50</f>
        <v>-0.10606522401706797</v>
      </c>
      <c r="BR94" s="391">
        <f>BR50</f>
        <v>-6.3638632393311467E-2</v>
      </c>
      <c r="BS94" s="406">
        <f>BS50</f>
        <v>-4.9527109955959769E-2</v>
      </c>
      <c r="BT94" s="363"/>
      <c r="BU94" s="380">
        <f>BU50</f>
        <v>-0.21868916288124585</v>
      </c>
      <c r="BV94" s="391">
        <f>BV50</f>
        <v>-0.20718069452619192</v>
      </c>
      <c r="BW94" s="391">
        <f>BW50</f>
        <v>-7.3985680190930769E-2</v>
      </c>
      <c r="BX94" s="391">
        <f>BX50</f>
        <v>-9.9413646055437233E-2</v>
      </c>
      <c r="BY94" s="406">
        <f>BY50</f>
        <v>-0.1494872768704899</v>
      </c>
      <c r="BZ94" s="363"/>
      <c r="CA94" s="380">
        <f>CA50</f>
        <v>7.8488372093023173E-2</v>
      </c>
      <c r="CB94" s="391">
        <f>CB50</f>
        <v>-0.10244988864142524</v>
      </c>
      <c r="CC94" s="391">
        <f>CC50</f>
        <v>-1.8409425625920517E-2</v>
      </c>
      <c r="CD94" s="391">
        <f>CD50</f>
        <v>-3.9064812074578792E-2</v>
      </c>
      <c r="CE94" s="406">
        <f>CE50</f>
        <v>-2.4024292221130783E-2</v>
      </c>
      <c r="CF94" s="363"/>
      <c r="CG94" s="380">
        <f>CG50</f>
        <v>-5.5833654216403517E-2</v>
      </c>
      <c r="CH94" s="391">
        <f>CH50</f>
        <v>7.6923076923076872E-2</v>
      </c>
      <c r="CI94" s="391">
        <f>CI50</f>
        <v>5.7389347336834096E-2</v>
      </c>
      <c r="CJ94" s="391">
        <f>CJ50</f>
        <v>0</v>
      </c>
      <c r="CK94" s="406">
        <f>CK50</f>
        <v>0</v>
      </c>
      <c r="CL94" s="363"/>
      <c r="CM94" s="380">
        <f>CM50</f>
        <v>0</v>
      </c>
      <c r="CN94" s="391">
        <f>CN50</f>
        <v>0</v>
      </c>
      <c r="CO94" s="391">
        <f>CO50</f>
        <v>0</v>
      </c>
      <c r="CP94" s="391">
        <f>CP50</f>
        <v>0</v>
      </c>
      <c r="CQ94" s="406">
        <f>CQ50</f>
        <v>0</v>
      </c>
      <c r="CR94" s="363"/>
      <c r="CS94" s="380">
        <f>CS50</f>
        <v>0</v>
      </c>
      <c r="CT94" s="391">
        <f>CT50</f>
        <v>0</v>
      </c>
      <c r="CU94" s="391">
        <f>CU50</f>
        <v>0</v>
      </c>
      <c r="CV94" s="391">
        <f>CV50</f>
        <v>0</v>
      </c>
      <c r="CW94" s="406">
        <f>CW50</f>
        <v>0</v>
      </c>
      <c r="CX94" s="363"/>
      <c r="CY94" s="380">
        <f>CY50</f>
        <v>0</v>
      </c>
      <c r="CZ94" s="391">
        <f>CZ50</f>
        <v>0</v>
      </c>
      <c r="DA94" s="391">
        <f>DA50</f>
        <v>0</v>
      </c>
      <c r="DB94" s="391">
        <f>DB50</f>
        <v>0</v>
      </c>
      <c r="DC94" s="406">
        <f>DC50</f>
        <v>0</v>
      </c>
      <c r="DD94" s="363"/>
      <c r="DE94" s="380">
        <f>DE50</f>
        <v>0</v>
      </c>
      <c r="DF94" s="391">
        <f>DF50</f>
        <v>0</v>
      </c>
      <c r="DG94" s="391">
        <f>DG50</f>
        <v>0</v>
      </c>
      <c r="DH94" s="391">
        <f>DH50</f>
        <v>0</v>
      </c>
      <c r="DI94" s="406">
        <f>DI50</f>
        <v>0</v>
      </c>
    </row>
    <row r="95" spans="1:113" s="355" customFormat="1" ht="11.25" customHeight="1">
      <c r="A95" s="362" t="s">
        <v>253</v>
      </c>
      <c r="B95" s="363"/>
      <c r="C95" s="357"/>
      <c r="D95" s="363"/>
      <c r="E95" s="357"/>
      <c r="F95" s="363"/>
      <c r="G95" s="357"/>
      <c r="H95" s="363"/>
      <c r="I95" s="357"/>
      <c r="J95" s="363"/>
      <c r="K95" s="357"/>
      <c r="L95" s="363"/>
      <c r="M95" s="357"/>
      <c r="N95" s="363"/>
      <c r="O95" s="357"/>
      <c r="P95" s="363"/>
      <c r="Q95" s="357"/>
      <c r="R95" s="363"/>
      <c r="S95" s="362"/>
      <c r="T95" s="363"/>
      <c r="U95" s="363"/>
      <c r="V95" s="363"/>
      <c r="W95" s="357"/>
      <c r="X95" s="363"/>
      <c r="Y95" s="362"/>
      <c r="Z95" s="363"/>
      <c r="AA95" s="363"/>
      <c r="AB95" s="363"/>
      <c r="AC95" s="357"/>
      <c r="AD95" s="363"/>
      <c r="AE95" s="380"/>
      <c r="AF95" s="391"/>
      <c r="AG95" s="391"/>
      <c r="AH95" s="391"/>
      <c r="AI95" s="406">
        <f>AI52</f>
        <v>-2.2172949002217446E-2</v>
      </c>
      <c r="AJ95" s="363"/>
      <c r="AK95" s="380">
        <f>AK52</f>
        <v>-0.12639405204460974</v>
      </c>
      <c r="AL95" s="391">
        <f>AL52</f>
        <v>-6.367041198501866E-2</v>
      </c>
      <c r="AM95" s="391">
        <f>AM52</f>
        <v>-5.0966608084358489E-2</v>
      </c>
      <c r="AN95" s="391">
        <f>AN52</f>
        <v>0.10815602836879457</v>
      </c>
      <c r="AO95" s="406">
        <f>AO52</f>
        <v>-3.1746031746031633E-2</v>
      </c>
      <c r="AP95" s="363"/>
      <c r="AQ95" s="380">
        <f>AQ52</f>
        <v>0.14680851063829792</v>
      </c>
      <c r="AR95" s="391">
        <f>AR52</f>
        <v>6.800000000000006E-2</v>
      </c>
      <c r="AS95" s="391">
        <f>AS52</f>
        <v>3.7037037037036979E-2</v>
      </c>
      <c r="AT95" s="391">
        <f>AT52</f>
        <v>0.41759999999999997</v>
      </c>
      <c r="AU95" s="406">
        <f>AU52</f>
        <v>0.17985948477751768</v>
      </c>
      <c r="AV95" s="363"/>
      <c r="AW95" s="380">
        <f>AW52</f>
        <v>0.26716141001855287</v>
      </c>
      <c r="AX95" s="391">
        <f>AX52</f>
        <v>0.2921348314606742</v>
      </c>
      <c r="AY95" s="391">
        <f>AY52</f>
        <v>0.56607142857142856</v>
      </c>
      <c r="AZ95" s="391">
        <f>AZ52</f>
        <v>1.8058690744920725E-2</v>
      </c>
      <c r="BA95" s="406">
        <f>BA52</f>
        <v>0.25129019452163548</v>
      </c>
      <c r="BB95" s="363"/>
      <c r="BC95" s="380">
        <f>BC52</f>
        <v>0.12737920937042468</v>
      </c>
      <c r="BD95" s="391">
        <f>BD52</f>
        <v>-4.3478260869564966E-3</v>
      </c>
      <c r="BE95" s="391">
        <f>BE52</f>
        <v>-0.14481185860889401</v>
      </c>
      <c r="BF95" s="391">
        <f>BF52</f>
        <v>1.1086474501108778E-2</v>
      </c>
      <c r="BG95" s="406">
        <f>BG52</f>
        <v>-1.046954314720816E-2</v>
      </c>
      <c r="BH95" s="363"/>
      <c r="BI95" s="380">
        <f>BI52</f>
        <v>-0.29220779220779225</v>
      </c>
      <c r="BJ95" s="391">
        <f>BJ52</f>
        <v>0.12227074235807844</v>
      </c>
      <c r="BK95" s="391">
        <f>BK52</f>
        <v>0.10000000000000009</v>
      </c>
      <c r="BL95" s="391">
        <f>BL52</f>
        <v>0.20942982456140347</v>
      </c>
      <c r="BM95" s="406">
        <f>BM52</f>
        <v>4.0076947739660085E-2</v>
      </c>
      <c r="BN95" s="363"/>
      <c r="BO95" s="380">
        <f>BO52</f>
        <v>0.57247706422018352</v>
      </c>
      <c r="BP95" s="391">
        <f>BP52</f>
        <v>5.9662775616083019E-2</v>
      </c>
      <c r="BQ95" s="391">
        <f>BQ52</f>
        <v>9.2121212121212048E-2</v>
      </c>
      <c r="BR95" s="391">
        <f>BR52</f>
        <v>-8.7941976427923674E-2</v>
      </c>
      <c r="BS95" s="406">
        <f>BS52</f>
        <v>0.10388409371146756</v>
      </c>
      <c r="BT95" s="363"/>
      <c r="BU95" s="380">
        <f>BU52</f>
        <v>1.1668611435239118E-2</v>
      </c>
      <c r="BV95" s="391">
        <f>BV52</f>
        <v>0.18482252141982847</v>
      </c>
      <c r="BW95" s="391">
        <f>BW52</f>
        <v>5.4384017758046577E-2</v>
      </c>
      <c r="BX95" s="391">
        <f>BX52</f>
        <v>3.9761431411529102E-3</v>
      </c>
      <c r="BY95" s="406">
        <f>BY52</f>
        <v>5.9759843619100694E-2</v>
      </c>
      <c r="BZ95" s="363"/>
      <c r="CA95" s="380">
        <f>CA52</f>
        <v>4.6136101499423265E-2</v>
      </c>
      <c r="CB95" s="391">
        <f>CB52</f>
        <v>7.3347107438016534E-2</v>
      </c>
      <c r="CC95" s="391">
        <f>CC52</f>
        <v>-1.0526315789473051E-3</v>
      </c>
      <c r="CD95" s="391">
        <f>CD52</f>
        <v>9.2079207920791939E-2</v>
      </c>
      <c r="CE95" s="406">
        <f>CE52</f>
        <v>5.349143610013174E-2</v>
      </c>
      <c r="CF95" s="363"/>
      <c r="CG95" s="380">
        <f>CG52</f>
        <v>0.11576626240352805</v>
      </c>
      <c r="CH95" s="391">
        <f>CH52</f>
        <v>-1.7324350336862526E-2</v>
      </c>
      <c r="CI95" s="391">
        <f>CI52</f>
        <v>0.14541622760800843</v>
      </c>
      <c r="CJ95" s="391">
        <f>CJ52</f>
        <v>0</v>
      </c>
      <c r="CK95" s="406">
        <f>CK52</f>
        <v>0</v>
      </c>
      <c r="CL95" s="363"/>
      <c r="CM95" s="380">
        <f>CM52</f>
        <v>0</v>
      </c>
      <c r="CN95" s="391">
        <f>CN52</f>
        <v>0</v>
      </c>
      <c r="CO95" s="391">
        <f>CO52</f>
        <v>0</v>
      </c>
      <c r="CP95" s="391">
        <f>CP52</f>
        <v>0</v>
      </c>
      <c r="CQ95" s="406">
        <f>CQ52</f>
        <v>0</v>
      </c>
      <c r="CR95" s="363"/>
      <c r="CS95" s="380">
        <f>CS52</f>
        <v>0</v>
      </c>
      <c r="CT95" s="391">
        <f>CT52</f>
        <v>0</v>
      </c>
      <c r="CU95" s="391">
        <f>CU52</f>
        <v>0</v>
      </c>
      <c r="CV95" s="391">
        <f>CV52</f>
        <v>0</v>
      </c>
      <c r="CW95" s="406">
        <f>CW52</f>
        <v>0</v>
      </c>
      <c r="CX95" s="363"/>
      <c r="CY95" s="380">
        <f>CY52</f>
        <v>0</v>
      </c>
      <c r="CZ95" s="391">
        <f>CZ52</f>
        <v>0</v>
      </c>
      <c r="DA95" s="391">
        <f>DA52</f>
        <v>0</v>
      </c>
      <c r="DB95" s="391">
        <f>DB52</f>
        <v>0</v>
      </c>
      <c r="DC95" s="406">
        <f>DC52</f>
        <v>0</v>
      </c>
      <c r="DD95" s="363"/>
      <c r="DE95" s="380">
        <f>DE52</f>
        <v>0</v>
      </c>
      <c r="DF95" s="391">
        <f>DF52</f>
        <v>0</v>
      </c>
      <c r="DG95" s="391">
        <f>DG52</f>
        <v>0</v>
      </c>
      <c r="DH95" s="391">
        <f>DH52</f>
        <v>0</v>
      </c>
      <c r="DI95" s="406">
        <f>DI52</f>
        <v>0</v>
      </c>
    </row>
    <row r="96" spans="1:113" s="355" customFormat="1" ht="11.25" customHeight="1">
      <c r="A96" s="368" t="s">
        <v>470</v>
      </c>
      <c r="B96" s="363"/>
      <c r="C96" s="357"/>
      <c r="D96" s="363"/>
      <c r="E96" s="357"/>
      <c r="F96" s="363"/>
      <c r="G96" s="357"/>
      <c r="H96" s="363"/>
      <c r="I96" s="357"/>
      <c r="J96" s="363"/>
      <c r="K96" s="357"/>
      <c r="L96" s="363"/>
      <c r="M96" s="357"/>
      <c r="N96" s="363"/>
      <c r="O96" s="357"/>
      <c r="P96" s="363"/>
      <c r="Q96" s="357"/>
      <c r="R96" s="363"/>
      <c r="S96" s="362"/>
      <c r="T96" s="363"/>
      <c r="U96" s="363"/>
      <c r="V96" s="363"/>
      <c r="W96" s="357"/>
      <c r="X96" s="363"/>
      <c r="Y96" s="362"/>
      <c r="Z96" s="363"/>
      <c r="AA96" s="363"/>
      <c r="AB96" s="363"/>
      <c r="AC96" s="357"/>
      <c r="AD96" s="363"/>
      <c r="AE96" s="567"/>
      <c r="AF96" s="568"/>
      <c r="AG96" s="568"/>
      <c r="AH96" s="568"/>
      <c r="AI96" s="566">
        <f>AI66</f>
        <v>0.15384615384615374</v>
      </c>
      <c r="AJ96" s="556"/>
      <c r="AK96" s="567">
        <f>AK66</f>
        <v>-0.18181818181818177</v>
      </c>
      <c r="AL96" s="568">
        <f>AL66</f>
        <v>9.6000000000000085E-2</v>
      </c>
      <c r="AM96" s="568">
        <f>AM66</f>
        <v>0.39215686274509798</v>
      </c>
      <c r="AN96" s="568">
        <f>AN66</f>
        <v>1.1834862385321099</v>
      </c>
      <c r="AO96" s="566">
        <f>AO66</f>
        <v>0.37471264367816093</v>
      </c>
      <c r="AP96" s="556"/>
      <c r="AQ96" s="567">
        <f>AQ66</f>
        <v>1.5555555555555554</v>
      </c>
      <c r="AR96" s="568">
        <f>AR66</f>
        <v>0.32116788321167888</v>
      </c>
      <c r="AS96" s="568">
        <f>AS66</f>
        <v>0.57746478873239426</v>
      </c>
      <c r="AT96" s="568">
        <f>AT66</f>
        <v>0.23109243697478976</v>
      </c>
      <c r="AU96" s="566">
        <f>AU66</f>
        <v>0.51337792642140467</v>
      </c>
      <c r="AV96" s="556"/>
      <c r="AW96" s="567">
        <f>AW66</f>
        <v>0.15942028985507251</v>
      </c>
      <c r="AX96" s="568">
        <f>AX66</f>
        <v>0.55248618784530379</v>
      </c>
      <c r="AY96" s="568">
        <f>AY66</f>
        <v>0.23660714285714279</v>
      </c>
      <c r="AZ96" s="568">
        <f>AZ66</f>
        <v>0.14675767918088733</v>
      </c>
      <c r="BA96" s="566">
        <f>BA66</f>
        <v>0.25303867403314917</v>
      </c>
      <c r="BB96" s="556"/>
      <c r="BC96" s="567">
        <f>BC66</f>
        <v>0.25</v>
      </c>
      <c r="BD96" s="568">
        <f>BD66</f>
        <v>-7.4733096085409345E-2</v>
      </c>
      <c r="BE96" s="568">
        <f>BE66</f>
        <v>0.53068592057761732</v>
      </c>
      <c r="BF96" s="568">
        <f>BF66</f>
        <v>0.12500000000000022</v>
      </c>
      <c r="BG96" s="566">
        <f>BG66</f>
        <v>0.20105820105820116</v>
      </c>
      <c r="BH96" s="556"/>
      <c r="BI96" s="567">
        <f>BI66</f>
        <v>4.0000000000000036E-2</v>
      </c>
      <c r="BJ96" s="568">
        <f>BJ66</f>
        <v>0.42692307692307696</v>
      </c>
      <c r="BK96" s="568">
        <f>BK66</f>
        <v>-0.23349056603773577</v>
      </c>
      <c r="BL96" s="568">
        <f>BL66</f>
        <v>0.23280423280423235</v>
      </c>
      <c r="BM96" s="566">
        <f>BM66</f>
        <v>8.2232011747430223E-2</v>
      </c>
      <c r="BN96" s="556"/>
      <c r="BO96" s="567">
        <f>BO66</f>
        <v>0.11538461538461542</v>
      </c>
      <c r="BP96" s="568">
        <f>BP66</f>
        <v>0.11590296495956864</v>
      </c>
      <c r="BQ96" s="568">
        <f>BQ66</f>
        <v>0.23076923076923084</v>
      </c>
      <c r="BR96" s="568">
        <f>BR66</f>
        <v>-0.21244635193133032</v>
      </c>
      <c r="BS96" s="566">
        <f>BS66</f>
        <v>3.7313432835820892E-2</v>
      </c>
      <c r="BT96" s="556"/>
      <c r="BU96" s="567">
        <f>BU66</f>
        <v>-0.20977011494252884</v>
      </c>
      <c r="BV96" s="568">
        <f>BV66</f>
        <v>-0.24766666666666665</v>
      </c>
      <c r="BW96" s="568">
        <f>BW66</f>
        <v>-0.17749999999999999</v>
      </c>
      <c r="BX96" s="568">
        <f>BX66</f>
        <v>0.15803814713896447</v>
      </c>
      <c r="BY96" s="566">
        <f>BY66</f>
        <v>-0.1255722694571616</v>
      </c>
      <c r="BZ96" s="556"/>
      <c r="CA96" s="567">
        <f>CA66</f>
        <v>-1.0909090909090979E-2</v>
      </c>
      <c r="CB96" s="568">
        <f>CB66</f>
        <v>-7.4675324675324672E-2</v>
      </c>
      <c r="CC96" s="568">
        <f>CC66</f>
        <v>7.9027355623100259E-2</v>
      </c>
      <c r="CD96" s="568">
        <f>CD66</f>
        <v>-8.2352941176470407E-2</v>
      </c>
      <c r="CE96" s="566">
        <f>CE66</f>
        <v>-2.6178010471203939E-2</v>
      </c>
      <c r="CF96" s="556"/>
      <c r="CG96" s="567">
        <f>CG66</f>
        <v>0.47865000000000002</v>
      </c>
      <c r="CH96" s="568">
        <f>CH66</f>
        <v>0.89000000000000035</v>
      </c>
      <c r="CI96" s="568">
        <f>CI66</f>
        <v>0.26502816901408449</v>
      </c>
      <c r="CJ96" s="568">
        <f>CJ66</f>
        <v>0.30902564102564101</v>
      </c>
      <c r="CK96" s="566">
        <f>CK66</f>
        <v>0.4689093701996927</v>
      </c>
      <c r="CL96" s="556"/>
      <c r="CM96" s="567">
        <f>CM66</f>
        <v>9.6680741425468633E-2</v>
      </c>
      <c r="CN96" s="568">
        <f>CN66</f>
        <v>-6.9932416433707845E-2</v>
      </c>
      <c r="CO96" s="568">
        <f>CO66</f>
        <v>0.10494282135692851</v>
      </c>
      <c r="CP96" s="568">
        <f>CP66</f>
        <v>-2.3711537324101209E-2</v>
      </c>
      <c r="CQ96" s="566">
        <f>CQ66</f>
        <v>1.9492030958240925E-2</v>
      </c>
      <c r="CR96" s="556"/>
      <c r="CS96" s="567">
        <f>CS66</f>
        <v>-0.09</v>
      </c>
      <c r="CT96" s="568">
        <f>CT66</f>
        <v>7.0000000000000007E-2</v>
      </c>
      <c r="CU96" s="568">
        <f>CU66</f>
        <v>-0.12</v>
      </c>
      <c r="CV96" s="568">
        <f>CV66</f>
        <v>0.05</v>
      </c>
      <c r="CW96" s="566">
        <f>CW66</f>
        <v>-2.0836687772400886E-2</v>
      </c>
      <c r="CX96" s="556"/>
      <c r="CY96" s="567">
        <f>CY66</f>
        <v>0.03</v>
      </c>
      <c r="CZ96" s="568">
        <f>CZ66</f>
        <v>-0.12</v>
      </c>
      <c r="DA96" s="568">
        <f>DA66</f>
        <v>0.08</v>
      </c>
      <c r="DB96" s="568">
        <f>DB66</f>
        <v>-0.05</v>
      </c>
      <c r="DC96" s="566">
        <f>DC66</f>
        <v>-2.2411811498183609E-2</v>
      </c>
      <c r="DD96" s="556"/>
      <c r="DE96" s="567">
        <f>DE66</f>
        <v>-0.09</v>
      </c>
      <c r="DF96" s="568">
        <f>DF66</f>
        <v>7.0000000000000007E-2</v>
      </c>
      <c r="DG96" s="568">
        <f>DG66</f>
        <v>-0.12</v>
      </c>
      <c r="DH96" s="568">
        <f>DH66</f>
        <v>0.05</v>
      </c>
      <c r="DI96" s="566">
        <f>DI66</f>
        <v>-1.9947324013146694E-2</v>
      </c>
    </row>
    <row r="97" spans="1:113" s="355" customFormat="1" ht="11.25" customHeight="1">
      <c r="A97" s="362" t="s">
        <v>252</v>
      </c>
      <c r="B97" s="363"/>
      <c r="C97" s="357"/>
      <c r="D97" s="363"/>
      <c r="E97" s="357"/>
      <c r="F97" s="363"/>
      <c r="G97" s="357"/>
      <c r="H97" s="363"/>
      <c r="I97" s="357"/>
      <c r="J97" s="363"/>
      <c r="K97" s="357"/>
      <c r="L97" s="363"/>
      <c r="M97" s="357"/>
      <c r="N97" s="363"/>
      <c r="O97" s="357"/>
      <c r="P97" s="363"/>
      <c r="Q97" s="357"/>
      <c r="R97" s="363"/>
      <c r="S97" s="362"/>
      <c r="T97" s="363"/>
      <c r="U97" s="363"/>
      <c r="V97" s="363"/>
      <c r="W97" s="357"/>
      <c r="X97" s="363"/>
      <c r="Y97" s="362"/>
      <c r="Z97" s="363"/>
      <c r="AA97" s="363"/>
      <c r="AB97" s="363"/>
      <c r="AC97" s="357"/>
      <c r="AD97" s="363"/>
      <c r="AE97" s="380"/>
      <c r="AF97" s="391"/>
      <c r="AG97" s="391"/>
      <c r="AH97" s="391"/>
      <c r="AI97" s="406">
        <f>AI62</f>
        <v>0.17302052785923738</v>
      </c>
      <c r="AJ97" s="363"/>
      <c r="AK97" s="380">
        <f>AK62</f>
        <v>-0.14606741573033699</v>
      </c>
      <c r="AL97" s="391">
        <f>AL62</f>
        <v>0.15652173913043477</v>
      </c>
      <c r="AM97" s="391">
        <f>AM62</f>
        <v>0.46739130434782616</v>
      </c>
      <c r="AN97" s="391">
        <f>AN62</f>
        <v>1.2307692307692304</v>
      </c>
      <c r="AO97" s="406">
        <f>AO62</f>
        <v>0.43999999999999995</v>
      </c>
      <c r="AP97" s="363"/>
      <c r="AQ97" s="380">
        <f>AQ62</f>
        <v>1.6184210526315788</v>
      </c>
      <c r="AR97" s="391">
        <f>AR62</f>
        <v>0.32330827067669166</v>
      </c>
      <c r="AS97" s="391">
        <f>AS62</f>
        <v>0.54814814814814805</v>
      </c>
      <c r="AT97" s="391">
        <f>AT62</f>
        <v>0.18534482758620685</v>
      </c>
      <c r="AU97" s="406">
        <f>AU62</f>
        <v>0.49131944444444442</v>
      </c>
      <c r="AV97" s="363"/>
      <c r="AW97" s="380">
        <f>AW62</f>
        <v>9.5477386934673447E-2</v>
      </c>
      <c r="AX97" s="391">
        <f>AX62</f>
        <v>0.47727272727272707</v>
      </c>
      <c r="AY97" s="391">
        <f>AY62</f>
        <v>0.23444976076555046</v>
      </c>
      <c r="AZ97" s="391">
        <f>AZ62</f>
        <v>0.1527272727272726</v>
      </c>
      <c r="BA97" s="406">
        <f>BA62</f>
        <v>0.22584400465657728</v>
      </c>
      <c r="BB97" s="363"/>
      <c r="BC97" s="380">
        <f>BC62</f>
        <v>0.27981651376146788</v>
      </c>
      <c r="BD97" s="391">
        <f>BD62</f>
        <v>-8.0769230769230815E-2</v>
      </c>
      <c r="BE97" s="391">
        <f>BE62</f>
        <v>-5.4263565891472965E-2</v>
      </c>
      <c r="BF97" s="391">
        <f>BF62</f>
        <v>0.11987381703470068</v>
      </c>
      <c r="BG97" s="406">
        <f>BG62</f>
        <v>6.0778727445394143E-2</v>
      </c>
      <c r="BH97" s="363"/>
      <c r="BI97" s="380">
        <f>BI62</f>
        <v>7.8853046594982157E-2</v>
      </c>
      <c r="BJ97" s="391">
        <f>BJ62</f>
        <v>0.25941422594142272</v>
      </c>
      <c r="BK97" s="391">
        <f>BK62</f>
        <v>0.27868852459016402</v>
      </c>
      <c r="BL97" s="391">
        <f>BL62</f>
        <v>0.29295774647887263</v>
      </c>
      <c r="BM97" s="406">
        <f>BM62</f>
        <v>0.2291853178155776</v>
      </c>
      <c r="BN97" s="363"/>
      <c r="BO97" s="380">
        <f>BO62</f>
        <v>0.11627906976744184</v>
      </c>
      <c r="BP97" s="391">
        <f>BP62</f>
        <v>0.34219269102990024</v>
      </c>
      <c r="BQ97" s="391">
        <f>BQ62</f>
        <v>0.25320512820512819</v>
      </c>
      <c r="BR97" s="391">
        <f>BR62</f>
        <v>-0.23093681917211317</v>
      </c>
      <c r="BS97" s="406">
        <f>BS62</f>
        <v>8.084486525855783E-2</v>
      </c>
      <c r="BT97" s="363"/>
      <c r="BU97" s="380">
        <f>BU62</f>
        <v>-0.21726190476190477</v>
      </c>
      <c r="BV97" s="391">
        <f>BV62</f>
        <v>-0.26237623762376239</v>
      </c>
      <c r="BW97" s="391">
        <f>BW62</f>
        <v>-0.1867007672634271</v>
      </c>
      <c r="BX97" s="391">
        <f>BX62</f>
        <v>0.18413597733711029</v>
      </c>
      <c r="BY97" s="406">
        <f>BY62</f>
        <v>-0.12601078167115909</v>
      </c>
      <c r="BZ97" s="363"/>
      <c r="CA97" s="380">
        <f>CA62</f>
        <v>3.8022813688212143E-3</v>
      </c>
      <c r="CB97" s="391">
        <f>CB62</f>
        <v>-7.0469798657718186E-2</v>
      </c>
      <c r="CC97" s="391">
        <f>CC62</f>
        <v>8.8050314465408785E-2</v>
      </c>
      <c r="CD97" s="391">
        <f>CD62</f>
        <v>-8.612440191387527E-2</v>
      </c>
      <c r="CE97" s="406">
        <f>CE62</f>
        <v>-2.1588280647648284E-2</v>
      </c>
      <c r="CF97" s="363"/>
      <c r="CG97" s="380">
        <f>CG62</f>
        <v>0.48484848484848508</v>
      </c>
      <c r="CH97" s="391">
        <f>CH62</f>
        <v>0.92418772563176899</v>
      </c>
      <c r="CI97" s="391">
        <f>CI62</f>
        <v>0.3063583815028903</v>
      </c>
      <c r="CJ97" s="391">
        <f>CJ62</f>
        <v>0</v>
      </c>
      <c r="CK97" s="406">
        <f>CK62</f>
        <v>0</v>
      </c>
      <c r="CL97" s="363"/>
      <c r="CM97" s="380">
        <f>CM62</f>
        <v>0</v>
      </c>
      <c r="CN97" s="391">
        <f>CN62</f>
        <v>0</v>
      </c>
      <c r="CO97" s="391">
        <f>CO62</f>
        <v>0</v>
      </c>
      <c r="CP97" s="391">
        <f>CP62</f>
        <v>0</v>
      </c>
      <c r="CQ97" s="406">
        <f>CQ62</f>
        <v>0</v>
      </c>
      <c r="CR97" s="363"/>
      <c r="CS97" s="380">
        <f>CS62</f>
        <v>0</v>
      </c>
      <c r="CT97" s="391">
        <f>CT62</f>
        <v>0</v>
      </c>
      <c r="CU97" s="391">
        <f>CU62</f>
        <v>0</v>
      </c>
      <c r="CV97" s="391">
        <f>CV62</f>
        <v>0</v>
      </c>
      <c r="CW97" s="406">
        <f>CW62</f>
        <v>0</v>
      </c>
      <c r="CX97" s="363"/>
      <c r="CY97" s="380">
        <f>CY62</f>
        <v>0</v>
      </c>
      <c r="CZ97" s="391">
        <f>CZ62</f>
        <v>0</v>
      </c>
      <c r="DA97" s="391">
        <f>DA62</f>
        <v>0</v>
      </c>
      <c r="DB97" s="391">
        <f>DB62</f>
        <v>0</v>
      </c>
      <c r="DC97" s="406">
        <f>DC62</f>
        <v>0</v>
      </c>
      <c r="DD97" s="363"/>
      <c r="DE97" s="380">
        <f>DE62</f>
        <v>0</v>
      </c>
      <c r="DF97" s="391">
        <f>DF62</f>
        <v>0</v>
      </c>
      <c r="DG97" s="391">
        <f>DG62</f>
        <v>0</v>
      </c>
      <c r="DH97" s="391">
        <f>DH62</f>
        <v>0</v>
      </c>
      <c r="DI97" s="406">
        <f>DI62</f>
        <v>0</v>
      </c>
    </row>
    <row r="98" spans="1:113" s="355" customFormat="1" ht="11.25" customHeight="1">
      <c r="A98" s="365" t="s">
        <v>253</v>
      </c>
      <c r="B98" s="366"/>
      <c r="C98" s="358"/>
      <c r="D98" s="366"/>
      <c r="E98" s="358"/>
      <c r="F98" s="366"/>
      <c r="G98" s="358"/>
      <c r="H98" s="366"/>
      <c r="I98" s="358"/>
      <c r="J98" s="366"/>
      <c r="K98" s="358"/>
      <c r="L98" s="366"/>
      <c r="M98" s="358"/>
      <c r="N98" s="366"/>
      <c r="O98" s="358"/>
      <c r="P98" s="366"/>
      <c r="Q98" s="358"/>
      <c r="R98" s="366"/>
      <c r="S98" s="365"/>
      <c r="T98" s="366"/>
      <c r="U98" s="366"/>
      <c r="V98" s="366"/>
      <c r="W98" s="358"/>
      <c r="X98" s="366"/>
      <c r="Y98" s="365"/>
      <c r="Z98" s="366"/>
      <c r="AA98" s="366"/>
      <c r="AB98" s="366"/>
      <c r="AC98" s="358"/>
      <c r="AD98" s="366"/>
      <c r="AE98" s="383"/>
      <c r="AF98" s="393"/>
      <c r="AG98" s="393"/>
      <c r="AH98" s="393"/>
      <c r="AI98" s="409">
        <f>AI64</f>
        <v>-2.777777777777779E-2</v>
      </c>
      <c r="AJ98" s="366"/>
      <c r="AK98" s="383">
        <f>AK64</f>
        <v>-0.5</v>
      </c>
      <c r="AL98" s="393">
        <f>AL64</f>
        <v>-0.6</v>
      </c>
      <c r="AM98" s="393">
        <f>AM64</f>
        <v>-0.30000000000000004</v>
      </c>
      <c r="AN98" s="393">
        <f>AN64</f>
        <v>0.20000000000000062</v>
      </c>
      <c r="AO98" s="409">
        <f>AO64</f>
        <v>-0.37142857142857133</v>
      </c>
      <c r="AP98" s="366"/>
      <c r="AQ98" s="383">
        <f>AQ64</f>
        <v>0.60000000000000009</v>
      </c>
      <c r="AR98" s="393">
        <f>AR64</f>
        <v>0.25</v>
      </c>
      <c r="AS98" s="393">
        <f>AS64</f>
        <v>1.1428571428571428</v>
      </c>
      <c r="AT98" s="393">
        <f>AT64</f>
        <v>1.9999999999999982</v>
      </c>
      <c r="AU98" s="409">
        <f>AU64</f>
        <v>1.0909090909090904</v>
      </c>
      <c r="AV98" s="366"/>
      <c r="AW98" s="383">
        <f>AW64</f>
        <v>1.75</v>
      </c>
      <c r="AX98" s="393">
        <f>AX64</f>
        <v>3.2</v>
      </c>
      <c r="AY98" s="393">
        <f>AY64</f>
        <v>0.26666666666666661</v>
      </c>
      <c r="AZ98" s="393">
        <f>AZ64</f>
        <v>5.5555555555555358E-2</v>
      </c>
      <c r="BA98" s="409">
        <f>BA64</f>
        <v>0.7608695652173918</v>
      </c>
      <c r="BB98" s="366"/>
      <c r="BC98" s="383">
        <f>BC64</f>
        <v>-4.5454545454545525E-2</v>
      </c>
      <c r="BD98" s="393">
        <f>BD64</f>
        <v>0</v>
      </c>
      <c r="BE98" s="393">
        <f>BE64</f>
        <v>8.4736842105263168</v>
      </c>
      <c r="BF98" s="393">
        <f>BF64</f>
        <v>0.21052631578947412</v>
      </c>
      <c r="BG98" s="409">
        <f>BG64</f>
        <v>2.024691358024691</v>
      </c>
      <c r="BH98" s="366"/>
      <c r="BI98" s="383">
        <f>BI64</f>
        <v>-0.47619047619047616</v>
      </c>
      <c r="BJ98" s="393">
        <f>BJ64</f>
        <v>2.333333333333333</v>
      </c>
      <c r="BK98" s="393">
        <f>BK64</f>
        <v>-0.92777777777777781</v>
      </c>
      <c r="BL98" s="393">
        <f>BL64</f>
        <v>-0.69565217391304401</v>
      </c>
      <c r="BM98" s="409">
        <f>BM64</f>
        <v>-0.58775510204081627</v>
      </c>
      <c r="BN98" s="366"/>
      <c r="BO98" s="383">
        <f>BO64</f>
        <v>9.0909090909090828E-2</v>
      </c>
      <c r="BP98" s="393">
        <f>BP64</f>
        <v>-0.85714285714285721</v>
      </c>
      <c r="BQ98" s="393">
        <f>BQ64</f>
        <v>-0.30769230769230771</v>
      </c>
      <c r="BR98" s="393">
        <f>BR64</f>
        <v>1.0000000000000036</v>
      </c>
      <c r="BS98" s="409">
        <f>BS64</f>
        <v>-0.5544554455445545</v>
      </c>
      <c r="BT98" s="366"/>
      <c r="BU98" s="383">
        <f>BU64</f>
        <v>0</v>
      </c>
      <c r="BV98" s="393">
        <f>BV64</f>
        <v>0</v>
      </c>
      <c r="BW98" s="393">
        <f>BW64</f>
        <v>0.22222222222222232</v>
      </c>
      <c r="BX98" s="393">
        <f>BX64</f>
        <v>-0.5</v>
      </c>
      <c r="BY98" s="409">
        <f>BY64</f>
        <v>-0.11111111111111116</v>
      </c>
      <c r="BZ98" s="366"/>
      <c r="CA98" s="383">
        <f>CA64</f>
        <v>-0.33333333333333326</v>
      </c>
      <c r="CB98" s="393">
        <f>CB64</f>
        <v>-0.19999999999999996</v>
      </c>
      <c r="CC98" s="393">
        <f>CC64</f>
        <v>-0.18181818181818188</v>
      </c>
      <c r="CD98" s="393">
        <f>CD64</f>
        <v>0.14285714285714257</v>
      </c>
      <c r="CE98" s="409">
        <f>CE64</f>
        <v>-0.17500000000000004</v>
      </c>
      <c r="CF98" s="366"/>
      <c r="CG98" s="383">
        <f>CG64</f>
        <v>0.125</v>
      </c>
      <c r="CH98" s="393">
        <f>CH64</f>
        <v>-0.12500000000000011</v>
      </c>
      <c r="CI98" s="393">
        <f>CI64</f>
        <v>0</v>
      </c>
      <c r="CJ98" s="393">
        <f>CJ64</f>
        <v>0</v>
      </c>
      <c r="CK98" s="409">
        <f>CK64</f>
        <v>0</v>
      </c>
      <c r="CL98" s="366"/>
      <c r="CM98" s="383">
        <f>CM64</f>
        <v>0</v>
      </c>
      <c r="CN98" s="393">
        <f>CN64</f>
        <v>0</v>
      </c>
      <c r="CO98" s="393">
        <f>CO64</f>
        <v>0</v>
      </c>
      <c r="CP98" s="393">
        <f>CP64</f>
        <v>0</v>
      </c>
      <c r="CQ98" s="409">
        <f>CQ64</f>
        <v>0</v>
      </c>
      <c r="CR98" s="366"/>
      <c r="CS98" s="383">
        <f>CS64</f>
        <v>0</v>
      </c>
      <c r="CT98" s="393">
        <f>CT64</f>
        <v>0</v>
      </c>
      <c r="CU98" s="393">
        <f>CU64</f>
        <v>0</v>
      </c>
      <c r="CV98" s="393">
        <f>CV64</f>
        <v>0</v>
      </c>
      <c r="CW98" s="409">
        <f>CW64</f>
        <v>0</v>
      </c>
      <c r="CX98" s="366"/>
      <c r="CY98" s="383">
        <f>CY64</f>
        <v>0</v>
      </c>
      <c r="CZ98" s="393">
        <f>CZ64</f>
        <v>0</v>
      </c>
      <c r="DA98" s="393">
        <f>DA64</f>
        <v>0</v>
      </c>
      <c r="DB98" s="393">
        <f>DB64</f>
        <v>0</v>
      </c>
      <c r="DC98" s="409">
        <f>DC64</f>
        <v>0</v>
      </c>
      <c r="DD98" s="366"/>
      <c r="DE98" s="383">
        <f>DE64</f>
        <v>0</v>
      </c>
      <c r="DF98" s="393">
        <f>DF64</f>
        <v>0</v>
      </c>
      <c r="DG98" s="393">
        <f>DG64</f>
        <v>0</v>
      </c>
      <c r="DH98" s="393">
        <f>DH64</f>
        <v>0</v>
      </c>
      <c r="DI98" s="409">
        <f>DI64</f>
        <v>0</v>
      </c>
    </row>
    <row r="99" spans="1:113" s="355" customFormat="1" ht="11.25" customHeight="1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</row>
    <row r="100" spans="1:113" s="355" customFormat="1" ht="11.25" customHeight="1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L100" s="9"/>
      <c r="CM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</row>
    <row r="101" spans="1:113" s="355" customFormat="1" ht="11.25" customHeight="1">
      <c r="A101" s="73" t="s">
        <v>16</v>
      </c>
      <c r="B101" s="74"/>
      <c r="C101" s="75"/>
      <c r="D101" s="74"/>
      <c r="E101" s="75"/>
      <c r="F101" s="74"/>
      <c r="G101" s="75"/>
      <c r="H101" s="74"/>
      <c r="I101" s="75"/>
      <c r="J101" s="74"/>
      <c r="K101" s="75"/>
      <c r="L101" s="74"/>
      <c r="M101" s="75"/>
      <c r="N101" s="74"/>
      <c r="O101" s="75"/>
      <c r="P101" s="74"/>
      <c r="Q101" s="75"/>
      <c r="R101" s="74"/>
      <c r="S101" s="74"/>
      <c r="T101" s="74"/>
      <c r="U101" s="74"/>
      <c r="V101" s="74"/>
      <c r="W101" s="74"/>
      <c r="X101" s="74"/>
      <c r="Y101" s="74"/>
      <c r="Z101" s="74"/>
      <c r="AA101" s="74"/>
      <c r="AB101" s="74"/>
      <c r="AC101" s="74"/>
      <c r="AD101" s="74"/>
      <c r="AE101" s="74"/>
      <c r="AF101" s="74"/>
      <c r="AG101" s="74"/>
      <c r="AH101" s="74"/>
      <c r="AI101" s="74"/>
      <c r="AJ101" s="74"/>
      <c r="AK101" s="74"/>
      <c r="AL101" s="74"/>
      <c r="AM101" s="74"/>
      <c r="AN101" s="74"/>
      <c r="AO101" s="74"/>
      <c r="AP101" s="74"/>
      <c r="AQ101" s="74"/>
      <c r="AR101" s="74"/>
      <c r="AS101" s="74"/>
      <c r="AT101" s="74"/>
      <c r="AU101" s="74"/>
      <c r="AV101" s="74"/>
      <c r="AW101" s="74"/>
      <c r="AX101" s="74"/>
      <c r="AY101" s="74"/>
      <c r="AZ101" s="74"/>
      <c r="BA101" s="74"/>
      <c r="BB101" s="74"/>
      <c r="BC101" s="74"/>
      <c r="BD101" s="74"/>
      <c r="BE101" s="74"/>
      <c r="BF101" s="74"/>
      <c r="BG101" s="74"/>
      <c r="BH101" s="74"/>
      <c r="BI101" s="74"/>
      <c r="BJ101" s="74"/>
      <c r="BK101" s="74"/>
      <c r="BL101" s="74"/>
      <c r="BM101" s="74"/>
      <c r="BN101" s="74"/>
      <c r="BO101" s="74"/>
      <c r="BP101" s="74"/>
      <c r="BQ101" s="74"/>
      <c r="BR101" s="74"/>
      <c r="BS101" s="76"/>
      <c r="BT101" s="74"/>
      <c r="BU101" s="74"/>
      <c r="BV101" s="74"/>
      <c r="BW101" s="74"/>
      <c r="BX101" s="74"/>
      <c r="BY101" s="76"/>
      <c r="BZ101" s="74"/>
      <c r="CA101" s="74"/>
      <c r="CB101" s="74"/>
      <c r="CC101" s="74"/>
      <c r="CD101" s="76"/>
      <c r="CE101" s="76"/>
      <c r="CF101" s="74"/>
      <c r="CG101" s="74"/>
      <c r="CH101" s="74"/>
      <c r="CI101" s="74"/>
      <c r="CJ101" s="76"/>
      <c r="CK101" s="76"/>
      <c r="CL101" s="74"/>
      <c r="CM101" s="74"/>
      <c r="CN101" s="74"/>
      <c r="CO101" s="74"/>
      <c r="CP101" s="76"/>
      <c r="CQ101" s="76"/>
      <c r="CR101" s="74"/>
      <c r="CS101" s="74"/>
      <c r="CT101" s="74"/>
      <c r="CU101" s="74"/>
      <c r="CV101" s="76"/>
      <c r="CW101" s="76"/>
      <c r="CX101" s="74"/>
      <c r="CY101" s="74"/>
      <c r="CZ101" s="74"/>
      <c r="DA101" s="74"/>
      <c r="DB101" s="76"/>
      <c r="DC101" s="76"/>
      <c r="DD101" s="74"/>
      <c r="DE101" s="74"/>
      <c r="DF101" s="74"/>
      <c r="DG101" s="74"/>
      <c r="DH101" s="76"/>
      <c r="DI101" s="76"/>
    </row>
    <row r="102" spans="1:113" s="355" customFormat="1" ht="11.25" customHeight="1">
      <c r="A102" s="419" t="s">
        <v>237</v>
      </c>
      <c r="B102" s="425"/>
      <c r="C102" s="1148">
        <f>IS!C10</f>
        <v>40.156999999999996</v>
      </c>
      <c r="D102" s="1149"/>
      <c r="E102" s="1148">
        <f>IS!E10</f>
        <v>60.62</v>
      </c>
      <c r="F102" s="1149"/>
      <c r="G102" s="1148">
        <f>IS!G10</f>
        <v>74.772000000000006</v>
      </c>
      <c r="H102" s="1149"/>
      <c r="I102" s="1148">
        <f>IS!I10</f>
        <v>91.765000000000001</v>
      </c>
      <c r="J102" s="1149"/>
      <c r="K102" s="1148">
        <f>IS!K10</f>
        <v>220.44</v>
      </c>
      <c r="L102" s="425"/>
      <c r="M102" s="1148">
        <f>IS!M10</f>
        <v>239.05600000000001</v>
      </c>
      <c r="N102" s="1149"/>
      <c r="O102" s="1148">
        <f>IS!O10</f>
        <v>249.929</v>
      </c>
      <c r="P102" s="1149"/>
      <c r="Q102" s="1148">
        <f>IS!Q10</f>
        <v>329.452</v>
      </c>
      <c r="R102" s="1149"/>
      <c r="S102" s="1152">
        <f>IS!S10</f>
        <v>83.840999999999994</v>
      </c>
      <c r="T102" s="1153">
        <f>IS!T10</f>
        <v>88.334999999999994</v>
      </c>
      <c r="U102" s="1153">
        <f>IS!U10</f>
        <v>91.927999999999997</v>
      </c>
      <c r="V102" s="1156">
        <f>IS!V10</f>
        <v>120.44400000000002</v>
      </c>
      <c r="W102" s="1148">
        <f>IS!W10</f>
        <v>384.548</v>
      </c>
      <c r="X102" s="425"/>
      <c r="Y102" s="1152">
        <f>IS!Y10</f>
        <v>181.60900000000001</v>
      </c>
      <c r="Z102" s="1153">
        <f>IS!Z10</f>
        <v>210.17699999999999</v>
      </c>
      <c r="AA102" s="1153">
        <f>IS!AA10</f>
        <v>215.83799999999999</v>
      </c>
      <c r="AB102" s="1156">
        <f>IS!AB10</f>
        <v>305.57600000000002</v>
      </c>
      <c r="AC102" s="1148">
        <f>IS!AC10</f>
        <v>913.2</v>
      </c>
      <c r="AD102" s="425"/>
      <c r="AE102" s="1152">
        <f>IS!AE10</f>
        <v>208.3</v>
      </c>
      <c r="AF102" s="1153">
        <f>IS!AF10</f>
        <v>280.3</v>
      </c>
      <c r="AG102" s="1153">
        <f>IS!AG10</f>
        <v>211.8</v>
      </c>
      <c r="AH102" s="1156">
        <f>IS!AH10</f>
        <v>274.49999999999989</v>
      </c>
      <c r="AI102" s="1148">
        <f>IS!AI10</f>
        <v>974.9</v>
      </c>
      <c r="AJ102" s="425"/>
      <c r="AK102" s="1152">
        <f>IS!AK10</f>
        <v>202.2</v>
      </c>
      <c r="AL102" s="1153">
        <f>IS!AL10</f>
        <v>222.9</v>
      </c>
      <c r="AM102" s="1153">
        <f>IS!AM10</f>
        <v>230.7</v>
      </c>
      <c r="AN102" s="1156">
        <f>IS!AN10</f>
        <v>329.5</v>
      </c>
      <c r="AO102" s="1148">
        <f>IS!AO10</f>
        <v>985.3</v>
      </c>
      <c r="AP102" s="425"/>
      <c r="AQ102" s="1152">
        <f>IS!AQ10</f>
        <v>244</v>
      </c>
      <c r="AR102" s="1153">
        <f>IS!AR10</f>
        <v>267</v>
      </c>
      <c r="AS102" s="1153">
        <f>IS!AS10</f>
        <v>269.7</v>
      </c>
      <c r="AT102" s="1156">
        <f>IS!AT10</f>
        <v>364.70000000000005</v>
      </c>
      <c r="AU102" s="1148">
        <f>IS!AU10</f>
        <v>1145.4000000000001</v>
      </c>
      <c r="AV102" s="425"/>
      <c r="AW102" s="1152">
        <f>IS!AW10</f>
        <v>312.10000000000002</v>
      </c>
      <c r="AX102" s="1153">
        <f>IS!AX10</f>
        <v>352.1</v>
      </c>
      <c r="AY102" s="1153">
        <f>IS!AY10</f>
        <v>366.5</v>
      </c>
      <c r="AZ102" s="1156">
        <f>IS!AZ10</f>
        <v>414.89999999999986</v>
      </c>
      <c r="BA102" s="1148">
        <f>IS!BA10</f>
        <v>1445.6</v>
      </c>
      <c r="BB102" s="425"/>
      <c r="BC102" s="1152">
        <f>IS!BC10</f>
        <v>351.8</v>
      </c>
      <c r="BD102" s="1153">
        <f>IS!BD10</f>
        <v>370.6</v>
      </c>
      <c r="BE102" s="1153">
        <f>IS!BE10</f>
        <v>378.6</v>
      </c>
      <c r="BF102" s="1153">
        <f>IS!BF10</f>
        <v>455.50000000000011</v>
      </c>
      <c r="BG102" s="434">
        <f>SUM(BC102:BF102)</f>
        <v>1556.5</v>
      </c>
      <c r="BH102" s="425"/>
      <c r="BI102" s="1152">
        <f>IS!BI10</f>
        <v>339.3</v>
      </c>
      <c r="BJ102" s="1153">
        <f>IS!BJ10</f>
        <v>395.6</v>
      </c>
      <c r="BK102" s="1153">
        <f>IS!BK10</f>
        <v>385</v>
      </c>
      <c r="BL102" s="1153">
        <f>IS!BL10</f>
        <v>491.50000000000006</v>
      </c>
      <c r="BM102" s="434">
        <f>SUM(BI102:BL102)</f>
        <v>1611.4</v>
      </c>
      <c r="BN102" s="425"/>
      <c r="BO102" s="1152">
        <f>IS!BO10</f>
        <v>366.1</v>
      </c>
      <c r="BP102" s="1153">
        <f>IS!BP10</f>
        <v>398.9</v>
      </c>
      <c r="BQ102" s="1153">
        <f>IS!BQ10</f>
        <v>362.2</v>
      </c>
      <c r="BR102" s="1153">
        <f>IS!BR10</f>
        <v>444.70000000000005</v>
      </c>
      <c r="BS102" s="434">
        <f>SUM(BO102:BR102)</f>
        <v>1571.9</v>
      </c>
      <c r="BT102" s="425"/>
      <c r="BU102" s="1152">
        <f>IS!BU10</f>
        <v>298</v>
      </c>
      <c r="BV102" s="1153">
        <f>IS!BV10</f>
        <v>336.2</v>
      </c>
      <c r="BW102" s="1153">
        <f>IS!BW10</f>
        <v>334.6</v>
      </c>
      <c r="BX102" s="1153">
        <f>IS!BX10</f>
        <v>412.29999999999984</v>
      </c>
      <c r="BY102" s="434">
        <f>SUM(BU102:BX102)</f>
        <v>1381.1</v>
      </c>
      <c r="BZ102" s="425"/>
      <c r="CA102" s="1152">
        <f>IS!CA10</f>
        <v>312.3</v>
      </c>
      <c r="CB102" s="1153">
        <f>IS!CB10</f>
        <v>305.60000000000002</v>
      </c>
      <c r="CC102" s="1153">
        <f>IS!CC10</f>
        <v>328.2</v>
      </c>
      <c r="CD102" s="1153">
        <f>IS!CD10</f>
        <v>399.29999999999995</v>
      </c>
      <c r="CE102" s="434">
        <f>SUM(CA102:CD102)</f>
        <v>1345.4</v>
      </c>
      <c r="CF102" s="425"/>
      <c r="CG102" s="1152">
        <f>IS!CG10</f>
        <v>318.89999999999998</v>
      </c>
      <c r="CH102" s="1153">
        <f>IS!CH10</f>
        <v>345.9</v>
      </c>
      <c r="CI102" s="1153">
        <f>IS!CI10</f>
        <v>364.4</v>
      </c>
      <c r="CJ102" s="1153">
        <f>IS!CJ10</f>
        <v>450.30000000000018</v>
      </c>
      <c r="CK102" s="434">
        <f>SUM(CG102:CJ102)</f>
        <v>1479.5</v>
      </c>
      <c r="CL102" s="425"/>
      <c r="CM102" s="438"/>
      <c r="CN102" s="455"/>
      <c r="CO102" s="455"/>
      <c r="CP102" s="439"/>
      <c r="CQ102" s="434"/>
      <c r="CR102" s="425"/>
      <c r="CS102" s="438"/>
      <c r="CT102" s="455"/>
      <c r="CU102" s="455"/>
      <c r="CV102" s="439"/>
      <c r="CW102" s="434"/>
      <c r="CX102" s="425"/>
      <c r="CY102" s="438"/>
      <c r="CZ102" s="455"/>
      <c r="DA102" s="455"/>
      <c r="DB102" s="439"/>
      <c r="DC102" s="434"/>
      <c r="DD102" s="425"/>
      <c r="DE102" s="438"/>
      <c r="DF102" s="455"/>
      <c r="DG102" s="455"/>
      <c r="DH102" s="439"/>
      <c r="DI102" s="434"/>
    </row>
    <row r="103" spans="1:113" s="355" customFormat="1" ht="11.25" customHeight="1">
      <c r="A103" s="369" t="s">
        <v>247</v>
      </c>
      <c r="B103" s="353"/>
      <c r="C103" s="428"/>
      <c r="D103" s="353"/>
      <c r="E103" s="436">
        <f>E102/C102-1</f>
        <v>0.50957491844510305</v>
      </c>
      <c r="F103" s="353"/>
      <c r="G103" s="436">
        <f>G102/E102-1</f>
        <v>0.2334543055097329</v>
      </c>
      <c r="H103" s="353"/>
      <c r="I103" s="436">
        <f>I102/G102-1</f>
        <v>0.2272642165516503</v>
      </c>
      <c r="J103" s="353"/>
      <c r="K103" s="436">
        <f>K102/I102-1</f>
        <v>1.4022230697978531</v>
      </c>
      <c r="L103" s="353"/>
      <c r="M103" s="436">
        <f>M102/K102-1</f>
        <v>8.4449283251678553E-2</v>
      </c>
      <c r="N103" s="353"/>
      <c r="O103" s="436">
        <f>O102/M102-1</f>
        <v>4.5483066729134602E-2</v>
      </c>
      <c r="P103" s="353"/>
      <c r="Q103" s="436">
        <f>Q102/O102-1</f>
        <v>0.31818236379131681</v>
      </c>
      <c r="R103" s="353"/>
      <c r="S103" s="430"/>
      <c r="T103" s="424"/>
      <c r="U103" s="424"/>
      <c r="V103" s="431"/>
      <c r="W103" s="436">
        <f>W102/Q102-1</f>
        <v>0.16723528768986085</v>
      </c>
      <c r="X103" s="353"/>
      <c r="Y103" s="430">
        <f>Y102/S102-1</f>
        <v>1.1661120454193057</v>
      </c>
      <c r="Z103" s="424">
        <f>Z102/T102-1</f>
        <v>1.3793173713703517</v>
      </c>
      <c r="AA103" s="424">
        <f>AA102/U102-1</f>
        <v>1.3479027064659297</v>
      </c>
      <c r="AB103" s="431">
        <f>AB102/V102-1</f>
        <v>1.5370794726179802</v>
      </c>
      <c r="AC103" s="436">
        <f>AC102/W102-1</f>
        <v>1.3747360537566182</v>
      </c>
      <c r="AD103" s="353"/>
      <c r="AE103" s="430">
        <f>AE102/Y102-1</f>
        <v>0.14696958851158248</v>
      </c>
      <c r="AF103" s="424">
        <f>AF102/Z102-1</f>
        <v>0.33363783858367002</v>
      </c>
      <c r="AG103" s="424">
        <f>AG102/AA102-1</f>
        <v>-1.870847580129531E-2</v>
      </c>
      <c r="AH103" s="431">
        <f>AH102/AB102-1</f>
        <v>-0.1016964683090299</v>
      </c>
      <c r="AI103" s="436">
        <f>AI102/AC102-1</f>
        <v>6.7564607971966728E-2</v>
      </c>
      <c r="AJ103" s="353"/>
      <c r="AK103" s="430">
        <f>AK102/AE102-1</f>
        <v>-2.9284685549688105E-2</v>
      </c>
      <c r="AL103" s="424">
        <f>AL102/AF102-1</f>
        <v>-0.20478059222261868</v>
      </c>
      <c r="AM103" s="424">
        <f>AM102/AG102-1</f>
        <v>8.9235127478753506E-2</v>
      </c>
      <c r="AN103" s="431">
        <f>AN102/AH102-1</f>
        <v>0.20036429872495498</v>
      </c>
      <c r="AO103" s="436">
        <f>AO102/AI102-1</f>
        <v>1.0667760795979087E-2</v>
      </c>
      <c r="AP103" s="353"/>
      <c r="AQ103" s="430">
        <f>AQ102/AK102-1</f>
        <v>0.20672601384767564</v>
      </c>
      <c r="AR103" s="424">
        <f>AR102/AL102-1</f>
        <v>0.19784656796769839</v>
      </c>
      <c r="AS103" s="424">
        <f>AS102/AM102-1</f>
        <v>0.16905071521456438</v>
      </c>
      <c r="AT103" s="431">
        <f>AT102/AN102-1</f>
        <v>0.10682852807283783</v>
      </c>
      <c r="AU103" s="436">
        <f>AU102/AO102-1</f>
        <v>0.16248858215771866</v>
      </c>
      <c r="AV103" s="353"/>
      <c r="AW103" s="430">
        <f>AW102/AQ102-1</f>
        <v>0.27909836065573779</v>
      </c>
      <c r="AX103" s="424">
        <f>AX102/AR102-1</f>
        <v>0.31872659176029972</v>
      </c>
      <c r="AY103" s="424">
        <f>AY102/AS102-1</f>
        <v>0.35891731553578055</v>
      </c>
      <c r="AZ103" s="431">
        <f>AZ102/AT102-1</f>
        <v>0.13764738140937705</v>
      </c>
      <c r="BA103" s="436">
        <f>BA102/AU102-1</f>
        <v>0.26209184564344312</v>
      </c>
      <c r="BB103" s="353"/>
      <c r="BC103" s="430">
        <f>BC102/AW102-1</f>
        <v>0.12720281960909952</v>
      </c>
      <c r="BD103" s="424">
        <f>BD102/AX102-1</f>
        <v>5.2541891508094185E-2</v>
      </c>
      <c r="BE103" s="424">
        <f>BE102/AY102-1</f>
        <v>3.3015006821282444E-2</v>
      </c>
      <c r="BF103" s="431">
        <f>BF102/AZ102-1</f>
        <v>9.7854904796337072E-2</v>
      </c>
      <c r="BG103" s="436">
        <f>BG102/BA102-1</f>
        <v>7.6715550636414109E-2</v>
      </c>
      <c r="BH103" s="353"/>
      <c r="BI103" s="430">
        <f>BI102/BC102-1</f>
        <v>-3.5531552018192136E-2</v>
      </c>
      <c r="BJ103" s="424">
        <f>BJ102/BD102-1</f>
        <v>6.7458175930922737E-2</v>
      </c>
      <c r="BK103" s="424">
        <f>BK102/BE102-1</f>
        <v>1.6904384574748965E-2</v>
      </c>
      <c r="BL103" s="431">
        <f>BL102/BF102-1</f>
        <v>7.9034028540065693E-2</v>
      </c>
      <c r="BM103" s="436">
        <f>BM102/BG102-1</f>
        <v>3.5271442338580261E-2</v>
      </c>
      <c r="BN103" s="353"/>
      <c r="BO103" s="430">
        <f>BO102/BI102-1</f>
        <v>7.8986147951665142E-2</v>
      </c>
      <c r="BP103" s="424">
        <f>BP102/BJ102-1</f>
        <v>8.341759352881617E-3</v>
      </c>
      <c r="BQ103" s="424">
        <f>BQ102/BK102-1</f>
        <v>-5.9220779220779285E-2</v>
      </c>
      <c r="BR103" s="431">
        <f>BR102/BL102-1</f>
        <v>-9.5218718209562625E-2</v>
      </c>
      <c r="BS103" s="436">
        <f>BS102/BM102-1</f>
        <v>-2.4512845972446295E-2</v>
      </c>
      <c r="BT103" s="353"/>
      <c r="BU103" s="430">
        <f>BU102/BO102-1</f>
        <v>-0.18601475006828738</v>
      </c>
      <c r="BV103" s="424">
        <f>BV102/BP102-1</f>
        <v>-0.15718225119077456</v>
      </c>
      <c r="BW103" s="424">
        <f>BW102/BQ102-1</f>
        <v>-7.6200993926007654E-2</v>
      </c>
      <c r="BX103" s="431">
        <f>BX102/BR102-1</f>
        <v>-7.2858106588711946E-2</v>
      </c>
      <c r="BY103" s="436">
        <f>BY102/BS102-1</f>
        <v>-0.12138176728799555</v>
      </c>
      <c r="BZ103" s="353"/>
      <c r="CA103" s="430">
        <f>CA102/BU102-1</f>
        <v>4.7986577181208023E-2</v>
      </c>
      <c r="CB103" s="424">
        <f>CB102/BV102-1</f>
        <v>-9.1017251635930885E-2</v>
      </c>
      <c r="CC103" s="424">
        <f>CC102/BW102-1</f>
        <v>-1.9127316198445987E-2</v>
      </c>
      <c r="CD103" s="431">
        <f>CD102/BX102-1</f>
        <v>-3.1530439000727384E-2</v>
      </c>
      <c r="CE103" s="436">
        <f>CE102/BY102-1</f>
        <v>-2.5848960973137269E-2</v>
      </c>
      <c r="CF103" s="353"/>
      <c r="CG103" s="430">
        <f>CG102/CA102-1</f>
        <v>2.113352545629188E-2</v>
      </c>
      <c r="CH103" s="424">
        <f>CH102/CB102-1</f>
        <v>0.13187172774869094</v>
      </c>
      <c r="CI103" s="424">
        <f>CI102/CC102-1</f>
        <v>0.11029859841560019</v>
      </c>
      <c r="CJ103" s="431">
        <f>CJ102/CD102-1</f>
        <v>0.12772351615326882</v>
      </c>
      <c r="CK103" s="436">
        <f>CK102/CE102-1</f>
        <v>9.9672959714582898E-2</v>
      </c>
      <c r="CL103" s="353"/>
      <c r="CM103" s="456"/>
      <c r="CN103" s="424"/>
      <c r="CO103" s="424"/>
      <c r="CP103" s="431"/>
      <c r="CQ103" s="436"/>
      <c r="CR103" s="353"/>
      <c r="CS103" s="456"/>
      <c r="CT103" s="424"/>
      <c r="CU103" s="424"/>
      <c r="CV103" s="431"/>
      <c r="CW103" s="436"/>
      <c r="CX103" s="353"/>
      <c r="CY103" s="456"/>
      <c r="CZ103" s="424"/>
      <c r="DA103" s="424"/>
      <c r="DB103" s="431"/>
      <c r="DC103" s="436"/>
      <c r="DD103" s="353"/>
      <c r="DE103" s="456"/>
      <c r="DF103" s="424"/>
      <c r="DG103" s="424"/>
      <c r="DH103" s="431"/>
      <c r="DI103" s="436"/>
    </row>
    <row r="104" spans="1:113" s="355" customFormat="1" ht="11.25" customHeight="1">
      <c r="A104" s="369"/>
      <c r="B104" s="353"/>
      <c r="C104" s="428"/>
      <c r="D104" s="353"/>
      <c r="E104" s="436"/>
      <c r="F104" s="353"/>
      <c r="G104" s="436"/>
      <c r="H104" s="353"/>
      <c r="I104" s="436"/>
      <c r="J104" s="353"/>
      <c r="K104" s="436"/>
      <c r="L104" s="353"/>
      <c r="M104" s="436"/>
      <c r="N104" s="353"/>
      <c r="O104" s="436"/>
      <c r="P104" s="353"/>
      <c r="Q104" s="436"/>
      <c r="R104" s="353"/>
      <c r="S104" s="430"/>
      <c r="T104" s="424"/>
      <c r="U104" s="424"/>
      <c r="V104" s="431"/>
      <c r="W104" s="436"/>
      <c r="X104" s="353"/>
      <c r="Y104" s="430"/>
      <c r="Z104" s="424"/>
      <c r="AA104" s="424"/>
      <c r="AB104" s="431"/>
      <c r="AC104" s="436"/>
      <c r="AD104" s="353"/>
      <c r="AE104" s="430"/>
      <c r="AF104" s="424"/>
      <c r="AG104" s="424"/>
      <c r="AH104" s="431"/>
      <c r="AI104" s="436"/>
      <c r="AJ104" s="353"/>
      <c r="AK104" s="430"/>
      <c r="AL104" s="424"/>
      <c r="AM104" s="424"/>
      <c r="AN104" s="431"/>
      <c r="AO104" s="436"/>
      <c r="AP104" s="353"/>
      <c r="AQ104" s="430"/>
      <c r="AR104" s="424"/>
      <c r="AS104" s="424"/>
      <c r="AT104" s="431"/>
      <c r="AU104" s="436"/>
      <c r="AV104" s="353"/>
      <c r="AW104" s="430"/>
      <c r="AX104" s="424"/>
      <c r="AY104" s="424"/>
      <c r="AZ104" s="431"/>
      <c r="BA104" s="436"/>
      <c r="BB104" s="353"/>
      <c r="BC104" s="430"/>
      <c r="BD104" s="424"/>
      <c r="BE104" s="424"/>
      <c r="BF104" s="424"/>
      <c r="BG104" s="436"/>
      <c r="BH104" s="353"/>
      <c r="BI104" s="430"/>
      <c r="BJ104" s="424"/>
      <c r="BK104" s="424"/>
      <c r="BL104" s="424"/>
      <c r="BM104" s="436"/>
      <c r="BN104" s="353"/>
      <c r="BO104" s="430"/>
      <c r="BP104" s="424"/>
      <c r="BQ104" s="424"/>
      <c r="BR104" s="424"/>
      <c r="BS104" s="436"/>
      <c r="BT104" s="353"/>
      <c r="BU104" s="430"/>
      <c r="BV104" s="424"/>
      <c r="BW104" s="424"/>
      <c r="BX104" s="424"/>
      <c r="BY104" s="436"/>
      <c r="BZ104" s="353"/>
      <c r="CA104" s="430"/>
      <c r="CB104" s="424"/>
      <c r="CC104" s="424"/>
      <c r="CD104" s="424"/>
      <c r="CE104" s="436"/>
      <c r="CF104" s="353"/>
      <c r="CG104" s="430"/>
      <c r="CH104" s="424"/>
      <c r="CI104" s="424"/>
      <c r="CJ104" s="424"/>
      <c r="CK104" s="436"/>
      <c r="CL104" s="353"/>
      <c r="CM104" s="456"/>
      <c r="CN104" s="424"/>
      <c r="CO104" s="424"/>
      <c r="CP104" s="431"/>
      <c r="CQ104" s="436"/>
      <c r="CR104" s="353"/>
      <c r="CS104" s="456"/>
      <c r="CT104" s="424"/>
      <c r="CU104" s="424"/>
      <c r="CV104" s="431"/>
      <c r="CW104" s="436"/>
      <c r="CX104" s="353"/>
      <c r="CY104" s="456"/>
      <c r="CZ104" s="424"/>
      <c r="DA104" s="424"/>
      <c r="DB104" s="431"/>
      <c r="DC104" s="436"/>
      <c r="DD104" s="353"/>
      <c r="DE104" s="456"/>
      <c r="DF104" s="424"/>
      <c r="DG104" s="424"/>
      <c r="DH104" s="431"/>
      <c r="DI104" s="436"/>
    </row>
    <row r="105" spans="1:113" s="355" customFormat="1" ht="11.25" customHeight="1">
      <c r="A105" s="418" t="s">
        <v>256</v>
      </c>
      <c r="B105" s="353"/>
      <c r="C105" s="1150">
        <f>IS!C11</f>
        <v>2.0499999999999998</v>
      </c>
      <c r="D105" s="1151"/>
      <c r="E105" s="1150">
        <f>IS!E11</f>
        <v>4.07</v>
      </c>
      <c r="F105" s="1151"/>
      <c r="G105" s="1150">
        <f>IS!G11</f>
        <v>1.83</v>
      </c>
      <c r="H105" s="1151"/>
      <c r="I105" s="1150">
        <f>IS!I11</f>
        <v>0.92600000000000005</v>
      </c>
      <c r="J105" s="1151"/>
      <c r="K105" s="1150">
        <f>IS!K11</f>
        <v>0.218</v>
      </c>
      <c r="L105" s="353"/>
      <c r="M105" s="1150">
        <f>IS!M11</f>
        <v>21.622999999999998</v>
      </c>
      <c r="N105" s="1151"/>
      <c r="O105" s="1150">
        <f>IS!O11</f>
        <v>34.487000000000002</v>
      </c>
      <c r="P105" s="1151"/>
      <c r="Q105" s="1150">
        <f>IS!Q11</f>
        <v>42.800999999999995</v>
      </c>
      <c r="R105" s="1151"/>
      <c r="S105" s="1154">
        <f>IS!S11</f>
        <v>11.015000000000001</v>
      </c>
      <c r="T105" s="1155">
        <f>IS!T11</f>
        <v>12.148</v>
      </c>
      <c r="U105" s="1155">
        <f>IS!U11</f>
        <v>12.942</v>
      </c>
      <c r="V105" s="1157">
        <f>IS!V11</f>
        <v>15.181000000000001</v>
      </c>
      <c r="W105" s="1150">
        <f>IS!W11</f>
        <v>51.286000000000001</v>
      </c>
      <c r="X105" s="353"/>
      <c r="Y105" s="1154">
        <f>IS!Y11</f>
        <v>25.927</v>
      </c>
      <c r="Z105" s="1155">
        <f>IS!Z11</f>
        <v>28.164999999999999</v>
      </c>
      <c r="AA105" s="1155">
        <f>IS!AA11</f>
        <v>25.922000000000001</v>
      </c>
      <c r="AB105" s="1157">
        <f>IS!AB11</f>
        <v>39.186000000000007</v>
      </c>
      <c r="AC105" s="1150">
        <f>IS!AC11</f>
        <v>119.2</v>
      </c>
      <c r="AD105" s="353"/>
      <c r="AE105" s="1154">
        <f>IS!AE11</f>
        <v>30</v>
      </c>
      <c r="AF105" s="1155">
        <f>IS!AF11</f>
        <v>31.2</v>
      </c>
      <c r="AG105" s="1155">
        <f>IS!AG11</f>
        <v>30.3</v>
      </c>
      <c r="AH105" s="1157">
        <f>IS!AH11</f>
        <v>40.700000000000017</v>
      </c>
      <c r="AI105" s="1150">
        <f>IS!AI11</f>
        <v>132.20000000000002</v>
      </c>
      <c r="AJ105" s="353"/>
      <c r="AK105" s="1154">
        <f>IS!AK11</f>
        <v>28.299999999999997</v>
      </c>
      <c r="AL105" s="1155">
        <f>IS!AL11</f>
        <v>29.6</v>
      </c>
      <c r="AM105" s="1155">
        <f>IS!AM11</f>
        <v>34.4</v>
      </c>
      <c r="AN105" s="1157">
        <f>IS!AN11</f>
        <v>36.90000000000002</v>
      </c>
      <c r="AO105" s="1150">
        <f>IS!AO11</f>
        <v>129.20000000000002</v>
      </c>
      <c r="AP105" s="353"/>
      <c r="AQ105" s="1154">
        <f>IS!AQ11</f>
        <v>33.700000000000003</v>
      </c>
      <c r="AR105" s="1155">
        <f>IS!AR11</f>
        <v>33.9</v>
      </c>
      <c r="AS105" s="1155">
        <f>IS!AS11</f>
        <v>40.5</v>
      </c>
      <c r="AT105" s="1157">
        <f>IS!AT11</f>
        <v>51.400000000000006</v>
      </c>
      <c r="AU105" s="1150">
        <f>IS!AU11</f>
        <v>159.5</v>
      </c>
      <c r="AV105" s="353"/>
      <c r="AW105" s="1154">
        <f>IS!AW11</f>
        <v>44.9</v>
      </c>
      <c r="AX105" s="1155">
        <f>IS!AX11</f>
        <v>49.099999999999994</v>
      </c>
      <c r="AY105" s="1155">
        <f>IS!AY11</f>
        <v>51.9</v>
      </c>
      <c r="AZ105" s="1157">
        <f>IS!AZ11</f>
        <v>60.200000000000017</v>
      </c>
      <c r="BA105" s="1150">
        <f>IS!BA11</f>
        <v>206.10000000000002</v>
      </c>
      <c r="BB105" s="353"/>
      <c r="BC105" s="1154">
        <f>IS!BC11</f>
        <v>53.800000000000004</v>
      </c>
      <c r="BD105" s="1155">
        <f>IS!BD11</f>
        <v>50.1</v>
      </c>
      <c r="BE105" s="1155">
        <f>IS!BE11</f>
        <v>69.2</v>
      </c>
      <c r="BF105" s="1155">
        <f>IS!BF11</f>
        <v>61.79999999999999</v>
      </c>
      <c r="BG105" s="155">
        <f>SUM(BC105:BF105)</f>
        <v>234.9</v>
      </c>
      <c r="BH105" s="353"/>
      <c r="BI105" s="1154">
        <f>IS!BI11</f>
        <v>54.1</v>
      </c>
      <c r="BJ105" s="1155">
        <f>IS!BJ11</f>
        <v>59.300000000000004</v>
      </c>
      <c r="BK105" s="1155">
        <f>IS!BK11</f>
        <v>54</v>
      </c>
      <c r="BL105" s="1155">
        <f>IS!BL11</f>
        <v>60.599999999999987</v>
      </c>
      <c r="BM105" s="155">
        <f>SUM(BI105:BL105)</f>
        <v>228</v>
      </c>
      <c r="BN105" s="353"/>
      <c r="BO105" s="1154">
        <f>IS!BO11</f>
        <v>57.6</v>
      </c>
      <c r="BP105" s="1155">
        <f>IS!BP11</f>
        <v>58.5</v>
      </c>
      <c r="BQ105" s="1155">
        <f>IS!BQ11</f>
        <v>57.6</v>
      </c>
      <c r="BR105" s="1155">
        <f>IS!BR11</f>
        <v>63.300000000000004</v>
      </c>
      <c r="BS105" s="155">
        <f>SUM(BO105:BR105)</f>
        <v>237</v>
      </c>
      <c r="BT105" s="353"/>
      <c r="BU105" s="1154">
        <f>IS!BU11</f>
        <v>55.5</v>
      </c>
      <c r="BV105" s="1155">
        <f>IS!BV11</f>
        <v>59.800000000000004</v>
      </c>
      <c r="BW105" s="1155">
        <f>IS!BW11</f>
        <v>61.5</v>
      </c>
      <c r="BX105" s="1155">
        <f>IS!BX11</f>
        <v>65.899999999999977</v>
      </c>
      <c r="BY105" s="155">
        <f>SUM(BU105:BX105)</f>
        <v>242.7</v>
      </c>
      <c r="BZ105" s="353"/>
      <c r="CA105" s="1154">
        <f>IS!CA11</f>
        <v>63.1</v>
      </c>
      <c r="CB105" s="1155">
        <f>IS!CB11</f>
        <v>66.099999999999994</v>
      </c>
      <c r="CC105" s="1155">
        <f>IS!CC11</f>
        <v>65.7</v>
      </c>
      <c r="CD105" s="1155">
        <f>IS!CD11</f>
        <v>71</v>
      </c>
      <c r="CE105" s="155">
        <f>SUM(CA105:CD105)</f>
        <v>265.89999999999998</v>
      </c>
      <c r="CF105" s="353"/>
      <c r="CG105" s="1154">
        <f>IS!CG11</f>
        <v>66</v>
      </c>
      <c r="CH105" s="1155">
        <f>IS!CH11</f>
        <v>69</v>
      </c>
      <c r="CI105" s="1155">
        <f>IS!CI11</f>
        <v>71.2</v>
      </c>
      <c r="CJ105" s="1155">
        <f>IS!CJ11</f>
        <v>80.199999999999989</v>
      </c>
      <c r="CK105" s="155">
        <f>SUM(CG105:CJ105)</f>
        <v>286.39999999999998</v>
      </c>
      <c r="CL105" s="353"/>
      <c r="CM105" s="197"/>
      <c r="CN105" s="452"/>
      <c r="CO105" s="452"/>
      <c r="CP105" s="454"/>
      <c r="CQ105" s="155"/>
      <c r="CR105" s="353"/>
      <c r="CS105" s="197"/>
      <c r="CT105" s="452"/>
      <c r="CU105" s="452"/>
      <c r="CV105" s="454"/>
      <c r="CW105" s="155"/>
      <c r="CX105" s="353"/>
      <c r="CY105" s="197"/>
      <c r="CZ105" s="452"/>
      <c r="DA105" s="452"/>
      <c r="DB105" s="454"/>
      <c r="DC105" s="155"/>
      <c r="DD105" s="353"/>
      <c r="DE105" s="197"/>
      <c r="DF105" s="452"/>
      <c r="DG105" s="452"/>
      <c r="DH105" s="454"/>
      <c r="DI105" s="155"/>
    </row>
    <row r="106" spans="1:113" s="355" customFormat="1" ht="11.25" customHeight="1">
      <c r="A106" s="369" t="s">
        <v>247</v>
      </c>
      <c r="B106" s="353"/>
      <c r="C106" s="428"/>
      <c r="D106" s="353"/>
      <c r="E106" s="436">
        <f>E105/C105-1</f>
        <v>0.98536585365853679</v>
      </c>
      <c r="F106" s="353"/>
      <c r="G106" s="436">
        <f>G105/E105-1</f>
        <v>-0.55036855036855037</v>
      </c>
      <c r="H106" s="353"/>
      <c r="I106" s="436">
        <f>I105/G105-1</f>
        <v>-0.4939890710382514</v>
      </c>
      <c r="J106" s="353"/>
      <c r="K106" s="436">
        <f>K105/I105-1</f>
        <v>-0.76457883369330459</v>
      </c>
      <c r="L106" s="353"/>
      <c r="M106" s="436">
        <f>M105/K105-1</f>
        <v>98.188073394495405</v>
      </c>
      <c r="N106" s="353"/>
      <c r="O106" s="436">
        <f>O105/M105-1</f>
        <v>0.5949220737178007</v>
      </c>
      <c r="P106" s="353"/>
      <c r="Q106" s="436">
        <f>Q105/O105-1</f>
        <v>0.2410763476092439</v>
      </c>
      <c r="R106" s="353"/>
      <c r="S106" s="430"/>
      <c r="T106" s="424"/>
      <c r="U106" s="424"/>
      <c r="V106" s="431"/>
      <c r="W106" s="436">
        <f>W105/Q105-1</f>
        <v>0.1982430317048669</v>
      </c>
      <c r="X106" s="353"/>
      <c r="Y106" s="430">
        <f>Y105/S105-1</f>
        <v>1.3537902859736719</v>
      </c>
      <c r="Z106" s="424">
        <f>Z105/T105-1</f>
        <v>1.3184886401053673</v>
      </c>
      <c r="AA106" s="424">
        <f>AA105/U105-1</f>
        <v>1.0029361767887499</v>
      </c>
      <c r="AB106" s="431">
        <f>AB105/V105-1</f>
        <v>1.5812528818918388</v>
      </c>
      <c r="AC106" s="436">
        <f>AC105/W105-1</f>
        <v>1.3242210349803063</v>
      </c>
      <c r="AD106" s="353"/>
      <c r="AE106" s="430">
        <f>AE105/Y105-1</f>
        <v>0.15709492035329964</v>
      </c>
      <c r="AF106" s="424">
        <f>AF105/Z105-1</f>
        <v>0.10775785549440786</v>
      </c>
      <c r="AG106" s="424">
        <f>AG105/AA105-1</f>
        <v>0.1688912892523724</v>
      </c>
      <c r="AH106" s="431">
        <f>AH105/AB105-1</f>
        <v>3.8636247639463273E-2</v>
      </c>
      <c r="AI106" s="436">
        <f>AI105/AC105-1</f>
        <v>0.10906040268456385</v>
      </c>
      <c r="AJ106" s="353"/>
      <c r="AK106" s="430">
        <f>AK105/AE105-1</f>
        <v>-5.6666666666666754E-2</v>
      </c>
      <c r="AL106" s="424">
        <f>AL105/AF105-1</f>
        <v>-5.1282051282051211E-2</v>
      </c>
      <c r="AM106" s="424">
        <f>AM105/AG105-1</f>
        <v>0.13531353135313529</v>
      </c>
      <c r="AN106" s="431">
        <f>AN105/AH105-1</f>
        <v>-9.336609336609325E-2</v>
      </c>
      <c r="AO106" s="436">
        <f>AO105/AI105-1</f>
        <v>-2.2692889561270801E-2</v>
      </c>
      <c r="AP106" s="353"/>
      <c r="AQ106" s="430">
        <f>AQ105/AK105-1</f>
        <v>0.19081272084805678</v>
      </c>
      <c r="AR106" s="424">
        <f>AR105/AL105-1</f>
        <v>0.14527027027027017</v>
      </c>
      <c r="AS106" s="424">
        <f>AS105/AM105-1</f>
        <v>0.17732558139534893</v>
      </c>
      <c r="AT106" s="431">
        <f>AT105/AN105-1</f>
        <v>0.39295392953929476</v>
      </c>
      <c r="AU106" s="436">
        <f>AU105/AO105-1</f>
        <v>0.23452012383900911</v>
      </c>
      <c r="AV106" s="353"/>
      <c r="AW106" s="430">
        <f>AW105/AQ105-1</f>
        <v>0.33234421364985156</v>
      </c>
      <c r="AX106" s="424">
        <f>AX105/AR105-1</f>
        <v>0.44837758112094384</v>
      </c>
      <c r="AY106" s="424">
        <f>AY105/AS105-1</f>
        <v>0.28148148148148144</v>
      </c>
      <c r="AZ106" s="431">
        <f>AZ105/AT105-1</f>
        <v>0.17120622568093413</v>
      </c>
      <c r="BA106" s="436">
        <f>BA105/AU105-1</f>
        <v>0.29216300940438877</v>
      </c>
      <c r="BB106" s="353"/>
      <c r="BC106" s="430">
        <f>BC105/AW105-1</f>
        <v>0.19821826280623611</v>
      </c>
      <c r="BD106" s="424">
        <f>BD105/AX105-1</f>
        <v>2.0366598778004175E-2</v>
      </c>
      <c r="BE106" s="424">
        <f>BE105/AY105-1</f>
        <v>0.33333333333333348</v>
      </c>
      <c r="BF106" s="423">
        <f>BF105/AZ105-1</f>
        <v>2.6578073089700505E-2</v>
      </c>
      <c r="BG106" s="436">
        <f>BG105/BA105-1</f>
        <v>0.13973799126637543</v>
      </c>
      <c r="BH106" s="353"/>
      <c r="BI106" s="430">
        <f>BI105/BC105-1</f>
        <v>5.5762081784385131E-3</v>
      </c>
      <c r="BJ106" s="424">
        <f>BJ105/BD105-1</f>
        <v>0.18363273453093809</v>
      </c>
      <c r="BK106" s="424">
        <f>BK105/BE105-1</f>
        <v>-0.21965317919075145</v>
      </c>
      <c r="BL106" s="423">
        <f>BL105/BF105-1</f>
        <v>-1.9417475728155442E-2</v>
      </c>
      <c r="BM106" s="436">
        <f>BM105/BG105-1</f>
        <v>-2.937420178799488E-2</v>
      </c>
      <c r="BN106" s="353"/>
      <c r="BO106" s="430">
        <f>BO105/BI105-1</f>
        <v>6.4695009242144108E-2</v>
      </c>
      <c r="BP106" s="424">
        <f>BP105/BJ105-1</f>
        <v>-1.3490725126475644E-2</v>
      </c>
      <c r="BQ106" s="424">
        <f>BQ105/BK105-1</f>
        <v>6.6666666666666652E-2</v>
      </c>
      <c r="BR106" s="423">
        <f>BR105/BL105-1</f>
        <v>4.4554455445544816E-2</v>
      </c>
      <c r="BS106" s="436">
        <f>BS105/BM105-1</f>
        <v>3.9473684210526327E-2</v>
      </c>
      <c r="BT106" s="353"/>
      <c r="BU106" s="430">
        <f>BU105/BO105-1</f>
        <v>-3.645833333333337E-2</v>
      </c>
      <c r="BV106" s="424">
        <f>BV105/BP105-1</f>
        <v>2.2222222222222365E-2</v>
      </c>
      <c r="BW106" s="424">
        <f>BW105/BQ105-1</f>
        <v>6.7708333333333259E-2</v>
      </c>
      <c r="BX106" s="423">
        <f>BX105/BR105-1</f>
        <v>4.1074249605054902E-2</v>
      </c>
      <c r="BY106" s="436">
        <f>BY105/BS105-1</f>
        <v>2.4050632911392311E-2</v>
      </c>
      <c r="BZ106" s="353"/>
      <c r="CA106" s="430">
        <f>CA105/BU105-1</f>
        <v>0.13693693693693687</v>
      </c>
      <c r="CB106" s="424">
        <f>CB105/BV105-1</f>
        <v>0.10535117056856169</v>
      </c>
      <c r="CC106" s="424">
        <f>CC105/BW105-1</f>
        <v>6.8292682926829329E-2</v>
      </c>
      <c r="CD106" s="423">
        <f>CD105/BX105-1</f>
        <v>7.738998482549353E-2</v>
      </c>
      <c r="CE106" s="436">
        <f>CE105/BY105-1</f>
        <v>9.5591264936135012E-2</v>
      </c>
      <c r="CF106" s="353"/>
      <c r="CG106" s="430">
        <f>CG105/CA105-1</f>
        <v>4.5958795562599075E-2</v>
      </c>
      <c r="CH106" s="424">
        <f>CH105/CB105-1</f>
        <v>4.3872919818456868E-2</v>
      </c>
      <c r="CI106" s="424">
        <f>CI105/CC105-1</f>
        <v>8.3713850837138448E-2</v>
      </c>
      <c r="CJ106" s="423">
        <f>CJ105/CD105-1</f>
        <v>0.12957746478873222</v>
      </c>
      <c r="CK106" s="436">
        <f>CK105/CE105-1</f>
        <v>7.7096652877021388E-2</v>
      </c>
      <c r="CL106" s="353"/>
      <c r="CM106" s="596"/>
      <c r="CN106" s="595"/>
      <c r="CO106" s="595"/>
      <c r="CP106" s="595"/>
      <c r="CQ106" s="436"/>
      <c r="CR106" s="353"/>
      <c r="CS106" s="596"/>
      <c r="CT106" s="595"/>
      <c r="CU106" s="595"/>
      <c r="CV106" s="595"/>
      <c r="CW106" s="436"/>
      <c r="CX106" s="353"/>
      <c r="CY106" s="596"/>
      <c r="CZ106" s="595"/>
      <c r="DA106" s="595"/>
      <c r="DB106" s="595"/>
      <c r="DC106" s="436"/>
      <c r="DD106" s="353"/>
      <c r="DE106" s="596"/>
      <c r="DF106" s="595"/>
      <c r="DG106" s="595"/>
      <c r="DH106" s="595"/>
      <c r="DI106" s="436"/>
    </row>
    <row r="107" spans="1:113" s="355" customFormat="1" ht="11.25" customHeight="1">
      <c r="A107" s="369"/>
      <c r="B107" s="353"/>
      <c r="C107" s="428"/>
      <c r="D107" s="353"/>
      <c r="E107" s="436"/>
      <c r="F107" s="353"/>
      <c r="G107" s="436"/>
      <c r="H107" s="353"/>
      <c r="I107" s="436"/>
      <c r="J107" s="353"/>
      <c r="K107" s="436"/>
      <c r="L107" s="353"/>
      <c r="M107" s="436"/>
      <c r="N107" s="353"/>
      <c r="O107" s="436"/>
      <c r="P107" s="353"/>
      <c r="Q107" s="436"/>
      <c r="R107" s="353"/>
      <c r="S107" s="430"/>
      <c r="T107" s="424"/>
      <c r="U107" s="424"/>
      <c r="V107" s="431"/>
      <c r="W107" s="436"/>
      <c r="X107" s="353"/>
      <c r="Y107" s="430"/>
      <c r="Z107" s="424"/>
      <c r="AA107" s="424"/>
      <c r="AB107" s="431"/>
      <c r="AC107" s="436"/>
      <c r="AD107" s="353"/>
      <c r="AE107" s="430"/>
      <c r="AF107" s="424"/>
      <c r="AG107" s="424"/>
      <c r="AH107" s="431"/>
      <c r="AI107" s="436"/>
      <c r="AJ107" s="353"/>
      <c r="AK107" s="430"/>
      <c r="AL107" s="424"/>
      <c r="AM107" s="424"/>
      <c r="AN107" s="431"/>
      <c r="AO107" s="436"/>
      <c r="AP107" s="353"/>
      <c r="AQ107" s="430"/>
      <c r="AR107" s="424"/>
      <c r="AS107" s="424"/>
      <c r="AT107" s="431"/>
      <c r="AU107" s="436"/>
      <c r="AV107" s="353"/>
      <c r="AW107" s="430"/>
      <c r="AX107" s="424"/>
      <c r="AY107" s="424"/>
      <c r="AZ107" s="431"/>
      <c r="BA107" s="436"/>
      <c r="BB107" s="353"/>
      <c r="BC107" s="430"/>
      <c r="BD107" s="424"/>
      <c r="BE107" s="424"/>
      <c r="BF107" s="423"/>
      <c r="BG107" s="436"/>
      <c r="BH107" s="353"/>
      <c r="BI107" s="430"/>
      <c r="BJ107" s="424"/>
      <c r="BK107" s="424"/>
      <c r="BL107" s="423"/>
      <c r="BM107" s="436"/>
      <c r="BN107" s="353"/>
      <c r="BO107" s="430"/>
      <c r="BP107" s="595"/>
      <c r="BQ107" s="595"/>
      <c r="BR107" s="423"/>
      <c r="BS107" s="436"/>
      <c r="BT107" s="353"/>
      <c r="BU107" s="430"/>
      <c r="BV107" s="595"/>
      <c r="BW107" s="595"/>
      <c r="BX107" s="423"/>
      <c r="BY107" s="436"/>
      <c r="BZ107" s="353"/>
      <c r="CA107" s="430"/>
      <c r="CB107" s="595"/>
      <c r="CC107" s="595"/>
      <c r="CD107" s="423"/>
      <c r="CE107" s="436"/>
      <c r="CF107" s="353"/>
      <c r="CG107" s="430"/>
      <c r="CH107" s="595"/>
      <c r="CI107" s="595"/>
      <c r="CJ107" s="423"/>
      <c r="CK107" s="436"/>
      <c r="CL107" s="353"/>
      <c r="CM107" s="596"/>
      <c r="CN107" s="595"/>
      <c r="CO107" s="595"/>
      <c r="CP107" s="595"/>
      <c r="CQ107" s="436"/>
      <c r="CR107" s="353"/>
      <c r="CS107" s="596"/>
      <c r="CT107" s="595"/>
      <c r="CU107" s="595"/>
      <c r="CV107" s="595"/>
      <c r="CW107" s="436"/>
      <c r="CX107" s="353"/>
      <c r="CY107" s="596"/>
      <c r="CZ107" s="595"/>
      <c r="DA107" s="595"/>
      <c r="DB107" s="595"/>
      <c r="DC107" s="436"/>
      <c r="DD107" s="353"/>
      <c r="DE107" s="596"/>
      <c r="DF107" s="595"/>
      <c r="DG107" s="595"/>
      <c r="DH107" s="595"/>
      <c r="DI107" s="436"/>
    </row>
    <row r="108" spans="1:113" s="355" customFormat="1" ht="11.25" customHeight="1">
      <c r="A108" s="370" t="s">
        <v>29</v>
      </c>
      <c r="B108" s="353"/>
      <c r="C108" s="435">
        <f>C102+C105</f>
        <v>42.206999999999994</v>
      </c>
      <c r="D108" s="353"/>
      <c r="E108" s="435">
        <f>E102+E105</f>
        <v>64.69</v>
      </c>
      <c r="F108" s="353"/>
      <c r="G108" s="435">
        <f>G102+G105</f>
        <v>76.602000000000004</v>
      </c>
      <c r="H108" s="353"/>
      <c r="I108" s="435">
        <f>I102+I105</f>
        <v>92.691000000000003</v>
      </c>
      <c r="J108" s="353"/>
      <c r="K108" s="435">
        <f>K102+K105</f>
        <v>220.65799999999999</v>
      </c>
      <c r="L108" s="353"/>
      <c r="M108" s="435">
        <f>M102+M105</f>
        <v>260.67900000000003</v>
      </c>
      <c r="N108" s="353"/>
      <c r="O108" s="435">
        <f>O102+O105</f>
        <v>284.416</v>
      </c>
      <c r="P108" s="353"/>
      <c r="Q108" s="435">
        <f>Q102+Q105</f>
        <v>372.25299999999999</v>
      </c>
      <c r="R108" s="353"/>
      <c r="S108" s="440">
        <f>S102+S105</f>
        <v>94.855999999999995</v>
      </c>
      <c r="T108" s="441">
        <f>T102+T105</f>
        <v>100.48299999999999</v>
      </c>
      <c r="U108" s="441">
        <f>U102+U105</f>
        <v>104.87</v>
      </c>
      <c r="V108" s="442">
        <f>V102+V105</f>
        <v>135.62500000000003</v>
      </c>
      <c r="W108" s="435">
        <f>W102+W105</f>
        <v>435.834</v>
      </c>
      <c r="X108" s="353"/>
      <c r="Y108" s="440">
        <f>Y102+Y105</f>
        <v>207.536</v>
      </c>
      <c r="Z108" s="441">
        <f>Z102+Z105</f>
        <v>238.34199999999998</v>
      </c>
      <c r="AA108" s="441">
        <f>AA102+AA105</f>
        <v>241.76</v>
      </c>
      <c r="AB108" s="442">
        <f>AB102+AB105</f>
        <v>344.76200000000006</v>
      </c>
      <c r="AC108" s="435">
        <f>AC102+AC105</f>
        <v>1032.4000000000001</v>
      </c>
      <c r="AD108" s="353"/>
      <c r="AE108" s="440">
        <f>AE102+AE105</f>
        <v>238.3</v>
      </c>
      <c r="AF108" s="441">
        <f>AF102+AF105</f>
        <v>311.5</v>
      </c>
      <c r="AG108" s="441">
        <f>AG102+AG105</f>
        <v>242.10000000000002</v>
      </c>
      <c r="AH108" s="442">
        <f>AH102+AH105</f>
        <v>315.19999999999993</v>
      </c>
      <c r="AI108" s="435">
        <f>AI102+AI105</f>
        <v>1107.0999999999999</v>
      </c>
      <c r="AJ108" s="353"/>
      <c r="AK108" s="440">
        <f>AK102+AK105</f>
        <v>230.5</v>
      </c>
      <c r="AL108" s="441">
        <f>AL102+AL105</f>
        <v>252.5</v>
      </c>
      <c r="AM108" s="441">
        <f>AM102+AM105</f>
        <v>265.09999999999997</v>
      </c>
      <c r="AN108" s="442">
        <f>AN102+AN105</f>
        <v>366.40000000000003</v>
      </c>
      <c r="AO108" s="435">
        <f>AO102+AO105</f>
        <v>1114.5</v>
      </c>
      <c r="AP108" s="353"/>
      <c r="AQ108" s="440">
        <f>AQ102+AQ105</f>
        <v>277.7</v>
      </c>
      <c r="AR108" s="441">
        <f>AR102+AR105</f>
        <v>300.89999999999998</v>
      </c>
      <c r="AS108" s="441">
        <f>AS102+AS105</f>
        <v>310.2</v>
      </c>
      <c r="AT108" s="442">
        <f>AT102+AT105</f>
        <v>416.1</v>
      </c>
      <c r="AU108" s="435">
        <f>AU102+AU105</f>
        <v>1304.9000000000001</v>
      </c>
      <c r="AV108" s="353"/>
      <c r="AW108" s="440">
        <f>AW102+AW105</f>
        <v>357</v>
      </c>
      <c r="AX108" s="441">
        <f>AX102+AX105</f>
        <v>401.20000000000005</v>
      </c>
      <c r="AY108" s="441">
        <f>AY102+AY105</f>
        <v>418.4</v>
      </c>
      <c r="AZ108" s="442">
        <f>AZ102+AZ105</f>
        <v>475.09999999999991</v>
      </c>
      <c r="BA108" s="435">
        <f>BA102+BA105</f>
        <v>1651.6999999999998</v>
      </c>
      <c r="BB108" s="353"/>
      <c r="BC108" s="440">
        <f>BC102+BC105</f>
        <v>405.6</v>
      </c>
      <c r="BD108" s="441">
        <f>BD102+BD105</f>
        <v>420.70000000000005</v>
      </c>
      <c r="BE108" s="441">
        <f>BE102+BE105</f>
        <v>447.8</v>
      </c>
      <c r="BF108" s="441">
        <f>BF102+BF105</f>
        <v>517.30000000000007</v>
      </c>
      <c r="BG108" s="435">
        <f>BG102+BG105</f>
        <v>1791.4</v>
      </c>
      <c r="BH108" s="353"/>
      <c r="BI108" s="440">
        <f>BI102+BI105</f>
        <v>393.40000000000003</v>
      </c>
      <c r="BJ108" s="441">
        <f>BJ102+BJ105</f>
        <v>454.90000000000003</v>
      </c>
      <c r="BK108" s="441">
        <f>BK102+BK105</f>
        <v>439</v>
      </c>
      <c r="BL108" s="441">
        <f>BL102+BL105</f>
        <v>552.1</v>
      </c>
      <c r="BM108" s="435">
        <f>BM102+BM105</f>
        <v>1839.4</v>
      </c>
      <c r="BN108" s="353"/>
      <c r="BO108" s="440">
        <f>BO102+BO105</f>
        <v>423.70000000000005</v>
      </c>
      <c r="BP108" s="441">
        <f>BP102+BP105</f>
        <v>457.4</v>
      </c>
      <c r="BQ108" s="441">
        <f>BQ102+BQ105</f>
        <v>419.8</v>
      </c>
      <c r="BR108" s="441">
        <f>BR102+BR105</f>
        <v>508.00000000000006</v>
      </c>
      <c r="BS108" s="435">
        <f>BS102+BS105</f>
        <v>1808.9</v>
      </c>
      <c r="BT108" s="353"/>
      <c r="BU108" s="440">
        <f>BU102+BU105</f>
        <v>353.5</v>
      </c>
      <c r="BV108" s="441">
        <f>BV102+BV105</f>
        <v>396</v>
      </c>
      <c r="BW108" s="441">
        <f>BW102+BW105</f>
        <v>396.1</v>
      </c>
      <c r="BX108" s="441">
        <f>BX102+BX105</f>
        <v>478.19999999999982</v>
      </c>
      <c r="BY108" s="435">
        <f>BY102+BY105</f>
        <v>1623.8</v>
      </c>
      <c r="BZ108" s="353"/>
      <c r="CA108" s="440">
        <f>CA102+CA105</f>
        <v>375.40000000000003</v>
      </c>
      <c r="CB108" s="441">
        <f>CB102+CB105</f>
        <v>371.70000000000005</v>
      </c>
      <c r="CC108" s="441">
        <f>CC102+CC105</f>
        <v>393.9</v>
      </c>
      <c r="CD108" s="441">
        <f>CD102+CD105</f>
        <v>470.29999999999995</v>
      </c>
      <c r="CE108" s="435">
        <f>CE102+CE105</f>
        <v>1611.3000000000002</v>
      </c>
      <c r="CF108" s="353"/>
      <c r="CG108" s="440">
        <f>CG102+CG105</f>
        <v>384.9</v>
      </c>
      <c r="CH108" s="441">
        <f>CH102+CH105</f>
        <v>414.9</v>
      </c>
      <c r="CI108" s="441">
        <f>CI102+CI105</f>
        <v>435.59999999999997</v>
      </c>
      <c r="CJ108" s="441">
        <f>CJ102+CJ105</f>
        <v>530.50000000000023</v>
      </c>
      <c r="CK108" s="435">
        <f>CK102+CK105</f>
        <v>1765.9</v>
      </c>
      <c r="CL108" s="353"/>
      <c r="CM108" s="440"/>
      <c r="CN108" s="451"/>
      <c r="CO108" s="451"/>
      <c r="CP108" s="451"/>
      <c r="CQ108" s="435"/>
      <c r="CR108" s="353"/>
      <c r="CS108" s="440"/>
      <c r="CT108" s="451"/>
      <c r="CU108" s="451"/>
      <c r="CV108" s="451"/>
      <c r="CW108" s="435"/>
      <c r="CX108" s="353"/>
      <c r="CY108" s="440"/>
      <c r="CZ108" s="451"/>
      <c r="DA108" s="451"/>
      <c r="DB108" s="451"/>
      <c r="DC108" s="435"/>
      <c r="DD108" s="353"/>
      <c r="DE108" s="440"/>
      <c r="DF108" s="451"/>
      <c r="DG108" s="451"/>
      <c r="DH108" s="451"/>
      <c r="DI108" s="435"/>
    </row>
    <row r="109" spans="1:113" s="355" customFormat="1" ht="11.25" customHeight="1">
      <c r="A109" s="371" t="s">
        <v>247</v>
      </c>
      <c r="B109" s="426"/>
      <c r="C109" s="429"/>
      <c r="D109" s="426"/>
      <c r="E109" s="437">
        <f>E108/C108-1</f>
        <v>0.53268415191792839</v>
      </c>
      <c r="F109" s="426"/>
      <c r="G109" s="437">
        <f>G108/E108-1</f>
        <v>0.18413974339155992</v>
      </c>
      <c r="H109" s="426"/>
      <c r="I109" s="437">
        <f>I108/G108-1</f>
        <v>0.21003368058275229</v>
      </c>
      <c r="J109" s="426"/>
      <c r="K109" s="437">
        <f>K108/I108-1</f>
        <v>1.3805763234834014</v>
      </c>
      <c r="L109" s="426"/>
      <c r="M109" s="437">
        <f>M108/K108-1</f>
        <v>0.18137117167743777</v>
      </c>
      <c r="N109" s="426"/>
      <c r="O109" s="437">
        <f>O108/M108-1</f>
        <v>9.1058351459074149E-2</v>
      </c>
      <c r="P109" s="426"/>
      <c r="Q109" s="437">
        <f>Q108/O108-1</f>
        <v>0.30883283640864079</v>
      </c>
      <c r="R109" s="426"/>
      <c r="S109" s="432"/>
      <c r="T109" s="427"/>
      <c r="U109" s="427"/>
      <c r="V109" s="433"/>
      <c r="W109" s="437">
        <f>W108/Q108-1</f>
        <v>0.17080050395832957</v>
      </c>
      <c r="X109" s="426"/>
      <c r="Y109" s="432">
        <f>Y108/S108-1</f>
        <v>1.1879058783840772</v>
      </c>
      <c r="Z109" s="427">
        <f>Z108/T108-1</f>
        <v>1.3719634166973518</v>
      </c>
      <c r="AA109" s="427">
        <f>AA108/U108-1</f>
        <v>1.3053304090779059</v>
      </c>
      <c r="AB109" s="433">
        <f>AB108/V108-1</f>
        <v>1.5420239631336403</v>
      </c>
      <c r="AC109" s="437">
        <f>AC108/W108-1</f>
        <v>1.3687917876989864</v>
      </c>
      <c r="AD109" s="426"/>
      <c r="AE109" s="432">
        <f>AE108/Y108-1</f>
        <v>0.14823452316706498</v>
      </c>
      <c r="AF109" s="427">
        <f>AF108/Z108-1</f>
        <v>0.30694548170276326</v>
      </c>
      <c r="AG109" s="427">
        <f>AG108/AA108-1</f>
        <v>1.4063534083390561E-3</v>
      </c>
      <c r="AH109" s="433">
        <f>AH108/AB108-1</f>
        <v>-8.5746108909914964E-2</v>
      </c>
      <c r="AI109" s="437">
        <f>AI108/AC108-1</f>
        <v>7.2355676094536747E-2</v>
      </c>
      <c r="AJ109" s="426"/>
      <c r="AK109" s="432">
        <f>AK108/AE108-1</f>
        <v>-3.273185060847672E-2</v>
      </c>
      <c r="AL109" s="427">
        <f>AL108/AF108-1</f>
        <v>-0.1894060995184591</v>
      </c>
      <c r="AM109" s="427">
        <f>AM108/AG108-1</f>
        <v>9.5002065262288049E-2</v>
      </c>
      <c r="AN109" s="433">
        <f>AN108/AH108-1</f>
        <v>0.16243654822335052</v>
      </c>
      <c r="AO109" s="437">
        <f>AO108/AI108-1</f>
        <v>6.6841297082469442E-3</v>
      </c>
      <c r="AP109" s="426"/>
      <c r="AQ109" s="432">
        <f>AQ108/AK108-1</f>
        <v>0.20477223427331892</v>
      </c>
      <c r="AR109" s="427">
        <f>AR108/AL108-1</f>
        <v>0.19168316831683163</v>
      </c>
      <c r="AS109" s="427">
        <f>AS108/AM108-1</f>
        <v>0.17012448132780089</v>
      </c>
      <c r="AT109" s="433">
        <f>AT108/AN108-1</f>
        <v>0.13564410480349332</v>
      </c>
      <c r="AU109" s="437">
        <f>AU108/AO108-1</f>
        <v>0.17083894122925081</v>
      </c>
      <c r="AV109" s="426"/>
      <c r="AW109" s="432">
        <f>AW108/AQ108-1</f>
        <v>0.28555995678790058</v>
      </c>
      <c r="AX109" s="427">
        <f>AX108/AR108-1</f>
        <v>0.33333333333333348</v>
      </c>
      <c r="AY109" s="427">
        <f>AY108/AS108-1</f>
        <v>0.34880722114764673</v>
      </c>
      <c r="AZ109" s="433">
        <f>AZ108/AT108-1</f>
        <v>0.1417928382600333</v>
      </c>
      <c r="BA109" s="437">
        <f>BA108/AU108-1</f>
        <v>0.26576749176182068</v>
      </c>
      <c r="BB109" s="426"/>
      <c r="BC109" s="432">
        <f>BC108/AW108-1</f>
        <v>0.13613445378151257</v>
      </c>
      <c r="BD109" s="427">
        <f>BD108/AX108-1</f>
        <v>4.8604187437687019E-2</v>
      </c>
      <c r="BE109" s="427">
        <f>BE108/AY108-1</f>
        <v>7.0267686424474229E-2</v>
      </c>
      <c r="BF109" s="433">
        <f>BF108/AZ108-1</f>
        <v>8.8823405598821736E-2</v>
      </c>
      <c r="BG109" s="437">
        <f>BG108/BA108-1</f>
        <v>8.457952412665759E-2</v>
      </c>
      <c r="BH109" s="426"/>
      <c r="BI109" s="432">
        <f>BI108/BC108-1</f>
        <v>-3.0078895463510835E-2</v>
      </c>
      <c r="BJ109" s="427">
        <f>BJ108/BD108-1</f>
        <v>8.1293082956976459E-2</v>
      </c>
      <c r="BK109" s="427">
        <f>BK108/BE108-1</f>
        <v>-1.9651630192050074E-2</v>
      </c>
      <c r="BL109" s="433">
        <f>BL108/BF108-1</f>
        <v>6.7272375797409634E-2</v>
      </c>
      <c r="BM109" s="437">
        <f>BM108/BG108-1</f>
        <v>2.6794685720665345E-2</v>
      </c>
      <c r="BN109" s="426"/>
      <c r="BO109" s="432">
        <f>BO108/BI108-1</f>
        <v>7.7020843924758609E-2</v>
      </c>
      <c r="BP109" s="427">
        <f>BP108/BJ108-1</f>
        <v>5.4957133435917793E-3</v>
      </c>
      <c r="BQ109" s="427">
        <f>BQ108/BK108-1</f>
        <v>-4.3735763097949909E-2</v>
      </c>
      <c r="BR109" s="433">
        <f>BR108/BL108-1</f>
        <v>-7.9876833906900813E-2</v>
      </c>
      <c r="BS109" s="437">
        <f>BS108/BM108-1</f>
        <v>-1.6581493965423522E-2</v>
      </c>
      <c r="BT109" s="426"/>
      <c r="BU109" s="432">
        <f>BU108/BO108-1</f>
        <v>-0.16568326646211951</v>
      </c>
      <c r="BV109" s="427">
        <f>BV108/BP108-1</f>
        <v>-0.13423699169217307</v>
      </c>
      <c r="BW109" s="427">
        <f>BW108/BQ108-1</f>
        <v>-5.6455454978561193E-2</v>
      </c>
      <c r="BX109" s="433">
        <f>BX108/BR108-1</f>
        <v>-5.8661417322835141E-2</v>
      </c>
      <c r="BY109" s="437">
        <f>BY108/BS108-1</f>
        <v>-0.10232738128144181</v>
      </c>
      <c r="BZ109" s="426"/>
      <c r="CA109" s="432">
        <f>CA108/BU108-1</f>
        <v>6.195190947666207E-2</v>
      </c>
      <c r="CB109" s="427">
        <f>CB108/BV108-1</f>
        <v>-6.1363636363636287E-2</v>
      </c>
      <c r="CC109" s="427">
        <f>CC108/BW108-1</f>
        <v>-5.554152991668837E-3</v>
      </c>
      <c r="CD109" s="433">
        <f>CD108/BX108-1</f>
        <v>-1.6520284399832441E-2</v>
      </c>
      <c r="CE109" s="437">
        <f>CE108/BY108-1</f>
        <v>-7.6979923635914771E-3</v>
      </c>
      <c r="CF109" s="426"/>
      <c r="CG109" s="432">
        <f>CG108/CA108-1</f>
        <v>2.5306339904102026E-2</v>
      </c>
      <c r="CH109" s="427">
        <f>CH108/CB108-1</f>
        <v>0.11622276029055678</v>
      </c>
      <c r="CI109" s="427">
        <f>CI108/CC108-1</f>
        <v>0.10586443259710587</v>
      </c>
      <c r="CJ109" s="433">
        <f>CJ108/CD108-1</f>
        <v>0.12800340208377681</v>
      </c>
      <c r="CK109" s="437">
        <f>CK108/CE108-1</f>
        <v>9.5947371687457261E-2</v>
      </c>
      <c r="CL109" s="426"/>
      <c r="CM109" s="432"/>
      <c r="CN109" s="427"/>
      <c r="CO109" s="427"/>
      <c r="CP109" s="433"/>
      <c r="CQ109" s="437"/>
      <c r="CR109" s="426"/>
      <c r="CS109" s="432"/>
      <c r="CT109" s="427"/>
      <c r="CU109" s="427"/>
      <c r="CV109" s="433"/>
      <c r="CW109" s="437"/>
      <c r="CX109" s="426"/>
      <c r="CY109" s="432"/>
      <c r="CZ109" s="427"/>
      <c r="DA109" s="427"/>
      <c r="DB109" s="433"/>
      <c r="DC109" s="437"/>
      <c r="DD109" s="426"/>
      <c r="DE109" s="432"/>
      <c r="DF109" s="427"/>
      <c r="DG109" s="427"/>
      <c r="DH109" s="433"/>
      <c r="DI109" s="437"/>
    </row>
    <row r="110" spans="1:113" s="355" customFormat="1" ht="11.25" customHeigh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363"/>
      <c r="AG110" s="363"/>
      <c r="AH110" s="363"/>
      <c r="AI110" s="9"/>
      <c r="AJ110" s="9"/>
      <c r="AK110" s="9"/>
      <c r="AL110" s="363"/>
      <c r="AM110" s="363"/>
      <c r="AN110" s="363"/>
      <c r="AO110" s="9"/>
      <c r="AP110" s="9"/>
      <c r="AQ110" s="9"/>
      <c r="AR110" s="363"/>
      <c r="AS110" s="363"/>
      <c r="AT110" s="363"/>
      <c r="AU110" s="9"/>
      <c r="AV110" s="9"/>
      <c r="AW110" s="9"/>
      <c r="AX110" s="363"/>
      <c r="AY110" s="363"/>
      <c r="AZ110" s="363"/>
      <c r="BA110" s="9"/>
      <c r="BB110" s="9"/>
      <c r="BC110" s="9"/>
      <c r="BD110" s="363"/>
      <c r="BE110" s="363"/>
      <c r="BF110" s="9"/>
      <c r="BG110" s="9"/>
      <c r="BH110" s="9"/>
      <c r="BI110" s="9"/>
      <c r="BJ110" s="363"/>
      <c r="BK110" s="9"/>
      <c r="BL110" s="9"/>
      <c r="BM110" s="9"/>
      <c r="BN110" s="9"/>
      <c r="BO110" s="9"/>
      <c r="BP110" s="9"/>
      <c r="BQ110" s="9"/>
      <c r="BR110" s="9"/>
      <c r="BS110" s="9"/>
      <c r="BT110" s="9"/>
      <c r="BU110" s="9"/>
      <c r="BV110" s="9"/>
      <c r="BW110" s="9"/>
      <c r="BX110" s="9"/>
      <c r="BY110" s="9"/>
      <c r="BZ110" s="9"/>
      <c r="CA110" s="9"/>
      <c r="CB110" s="9"/>
      <c r="CC110" s="9"/>
      <c r="CD110" s="9"/>
      <c r="CE110" s="9"/>
      <c r="CF110" s="9"/>
      <c r="CG110" s="9"/>
      <c r="CH110" s="9"/>
      <c r="CI110" s="9"/>
      <c r="CJ110" s="9"/>
      <c r="CK110" s="9"/>
      <c r="CL110" s="9"/>
      <c r="CM110" s="9"/>
      <c r="CN110" s="9"/>
      <c r="CO110" s="9"/>
      <c r="CP110" s="9"/>
      <c r="CQ110" s="9"/>
      <c r="CR110" s="9"/>
      <c r="CS110" s="9"/>
      <c r="CT110" s="9"/>
      <c r="CU110" s="9"/>
      <c r="CV110" s="9"/>
      <c r="CW110" s="9"/>
      <c r="CX110" s="9"/>
      <c r="CY110" s="9"/>
      <c r="CZ110" s="9"/>
      <c r="DA110" s="9"/>
      <c r="DB110" s="9"/>
      <c r="DC110" s="9"/>
      <c r="DD110" s="9"/>
      <c r="DE110" s="9"/>
      <c r="DF110" s="9"/>
      <c r="DG110" s="9"/>
      <c r="DH110" s="9"/>
      <c r="DI110" s="9"/>
    </row>
    <row r="111" spans="1:113" s="355" customFormat="1" ht="11.25" customHeight="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363"/>
      <c r="AG111" s="363"/>
      <c r="AH111" s="363"/>
      <c r="AI111" s="9"/>
      <c r="AJ111" s="9"/>
      <c r="AK111" s="9"/>
      <c r="AL111" s="363"/>
      <c r="AM111" s="363"/>
      <c r="AN111" s="363"/>
      <c r="AO111" s="9"/>
      <c r="AP111" s="9"/>
      <c r="AQ111" s="9"/>
      <c r="AR111" s="363"/>
      <c r="AS111" s="363"/>
      <c r="AT111" s="363"/>
      <c r="AU111" s="9"/>
      <c r="AV111" s="9"/>
      <c r="AW111" s="9"/>
      <c r="AX111" s="363"/>
      <c r="AY111" s="363"/>
      <c r="AZ111" s="363"/>
      <c r="BA111" s="9"/>
      <c r="BB111" s="9"/>
      <c r="BC111" s="9"/>
      <c r="BD111" s="363"/>
      <c r="BE111" s="363"/>
      <c r="BF111" s="9"/>
      <c r="BG111" s="9"/>
      <c r="BH111" s="9"/>
      <c r="BI111" s="9"/>
      <c r="BJ111" s="363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9"/>
      <c r="CE111" s="9"/>
      <c r="CF111" s="9"/>
      <c r="CG111" s="9"/>
      <c r="CH111" s="9"/>
      <c r="CI111" s="9"/>
      <c r="CJ111" s="9"/>
      <c r="CK111" s="9"/>
      <c r="CL111" s="9"/>
      <c r="CM111" s="9"/>
      <c r="CN111" s="9"/>
      <c r="CO111" s="9"/>
      <c r="CP111" s="9"/>
      <c r="CQ111" s="9"/>
      <c r="CR111" s="9"/>
      <c r="CS111" s="9"/>
      <c r="CT111" s="9"/>
      <c r="CU111" s="9"/>
      <c r="CV111" s="9"/>
      <c r="CW111" s="9"/>
      <c r="CX111" s="9"/>
      <c r="CY111" s="9"/>
      <c r="CZ111" s="9"/>
      <c r="DA111" s="9"/>
      <c r="DB111" s="9"/>
      <c r="DC111" s="9"/>
      <c r="DD111" s="9"/>
      <c r="DE111" s="9"/>
      <c r="DF111" s="9"/>
      <c r="DG111" s="9"/>
      <c r="DH111" s="9"/>
      <c r="DI111" s="9"/>
    </row>
    <row r="112" spans="1:113" s="355" customFormat="1" ht="11.25" customHeight="1">
      <c r="A112" s="73" t="s">
        <v>345</v>
      </c>
      <c r="B112" s="74"/>
      <c r="C112" s="75"/>
      <c r="D112" s="74"/>
      <c r="E112" s="75"/>
      <c r="F112" s="74"/>
      <c r="G112" s="75"/>
      <c r="H112" s="74"/>
      <c r="I112" s="75"/>
      <c r="J112" s="74"/>
      <c r="K112" s="75"/>
      <c r="L112" s="74"/>
      <c r="M112" s="75"/>
      <c r="N112" s="74"/>
      <c r="O112" s="75"/>
      <c r="P112" s="74"/>
      <c r="Q112" s="75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74"/>
      <c r="AE112" s="74"/>
      <c r="AF112" s="74"/>
      <c r="AG112" s="74"/>
      <c r="AH112" s="74"/>
      <c r="AI112" s="74"/>
      <c r="AJ112" s="74"/>
      <c r="AK112" s="74"/>
      <c r="AL112" s="74"/>
      <c r="AM112" s="74"/>
      <c r="AN112" s="74"/>
      <c r="AO112" s="74"/>
      <c r="AP112" s="74"/>
      <c r="AQ112" s="74"/>
      <c r="AR112" s="74"/>
      <c r="AS112" s="74"/>
      <c r="AT112" s="74"/>
      <c r="AU112" s="74"/>
      <c r="AV112" s="74"/>
      <c r="AW112" s="74"/>
      <c r="AX112" s="74"/>
      <c r="AY112" s="74"/>
      <c r="AZ112" s="74"/>
      <c r="BA112" s="74"/>
      <c r="BB112" s="74"/>
      <c r="BC112" s="74"/>
      <c r="BD112" s="74"/>
      <c r="BE112" s="74"/>
      <c r="BF112" s="74"/>
      <c r="BG112" s="74"/>
      <c r="BH112" s="74"/>
      <c r="BI112" s="74"/>
      <c r="BJ112" s="74"/>
      <c r="BK112" s="689"/>
      <c r="BL112" s="689"/>
      <c r="BM112" s="74"/>
      <c r="BN112" s="74"/>
      <c r="BO112" s="74"/>
      <c r="BP112" s="74"/>
      <c r="BQ112" s="74"/>
      <c r="BR112" s="74"/>
      <c r="BS112" s="76"/>
      <c r="BT112" s="74"/>
      <c r="BU112" s="74"/>
      <c r="BV112" s="74"/>
      <c r="BW112" s="74"/>
      <c r="BX112" s="74"/>
      <c r="BY112" s="76"/>
      <c r="BZ112" s="74"/>
      <c r="CA112" s="74"/>
      <c r="CB112" s="74"/>
      <c r="CC112" s="74"/>
      <c r="CD112" s="76"/>
      <c r="CE112" s="76"/>
      <c r="CF112" s="74"/>
      <c r="CG112" s="74"/>
      <c r="CH112" s="74"/>
      <c r="CI112" s="74"/>
      <c r="CJ112" s="76"/>
      <c r="CK112" s="76"/>
      <c r="CL112" s="74"/>
      <c r="CM112" s="74"/>
      <c r="CN112" s="74"/>
      <c r="CO112" s="74"/>
      <c r="CP112" s="76"/>
      <c r="CQ112" s="76"/>
      <c r="CR112" s="74"/>
      <c r="CS112" s="74"/>
      <c r="CT112" s="74"/>
      <c r="CU112" s="74"/>
      <c r="CV112" s="76"/>
      <c r="CW112" s="76"/>
      <c r="CX112" s="74"/>
      <c r="CY112" s="74"/>
      <c r="CZ112" s="74"/>
      <c r="DA112" s="74"/>
      <c r="DB112" s="76"/>
      <c r="DC112" s="76"/>
      <c r="DD112" s="74"/>
      <c r="DE112" s="74"/>
      <c r="DF112" s="74"/>
      <c r="DG112" s="74"/>
      <c r="DH112" s="76"/>
      <c r="DI112" s="76"/>
    </row>
    <row r="113" spans="1:115" s="355" customFormat="1" ht="11.25" customHeight="1">
      <c r="A113" s="1607" t="s">
        <v>7</v>
      </c>
      <c r="B113" s="353"/>
      <c r="C113" s="155"/>
      <c r="D113" s="157"/>
      <c r="E113" s="155"/>
      <c r="F113" s="157"/>
      <c r="G113" s="155"/>
      <c r="H113" s="157"/>
      <c r="I113" s="155"/>
      <c r="J113" s="157"/>
      <c r="K113" s="155"/>
      <c r="L113" s="157"/>
      <c r="M113" s="155"/>
      <c r="N113" s="157"/>
      <c r="O113" s="155"/>
      <c r="P113" s="157"/>
      <c r="Q113" s="155"/>
      <c r="R113" s="157"/>
      <c r="S113" s="331"/>
      <c r="T113" s="157"/>
      <c r="U113" s="157"/>
      <c r="V113" s="157"/>
      <c r="W113" s="155"/>
      <c r="X113" s="157"/>
      <c r="Y113" s="331"/>
      <c r="Z113" s="157"/>
      <c r="AA113" s="157"/>
      <c r="AB113" s="157"/>
      <c r="AC113" s="1189"/>
      <c r="AD113" s="157"/>
      <c r="AE113" s="1267"/>
      <c r="AF113" s="1266"/>
      <c r="AG113" s="1266"/>
      <c r="AH113" s="1266"/>
      <c r="AI113" s="155"/>
      <c r="AJ113" s="157"/>
      <c r="AK113" s="1267"/>
      <c r="AL113" s="1266"/>
      <c r="AM113" s="1266"/>
      <c r="AN113" s="1266"/>
      <c r="AO113" s="155"/>
      <c r="AP113" s="157"/>
      <c r="AQ113" s="1267"/>
      <c r="AR113" s="1266"/>
      <c r="AS113" s="1266"/>
      <c r="AT113" s="1266"/>
      <c r="AU113" s="155"/>
      <c r="AV113" s="157"/>
      <c r="AW113" s="1267"/>
      <c r="AX113" s="1266"/>
      <c r="AY113" s="1266"/>
      <c r="AZ113" s="1266"/>
      <c r="BA113" s="155"/>
      <c r="BB113" s="157"/>
      <c r="BC113" s="1267"/>
      <c r="BD113" s="1266"/>
      <c r="BE113" s="1266"/>
      <c r="BF113" s="1605"/>
      <c r="BG113" s="155"/>
      <c r="BH113" s="428"/>
      <c r="BI113" s="1267"/>
      <c r="BJ113" s="1266"/>
      <c r="BK113" s="1262"/>
      <c r="BL113" s="1263"/>
      <c r="BM113" s="1264"/>
      <c r="BN113" s="428"/>
      <c r="BO113" s="1262"/>
      <c r="BP113" s="1262"/>
      <c r="BQ113" s="1262"/>
      <c r="BR113" s="1263"/>
      <c r="BS113" s="1264"/>
      <c r="BT113" s="428"/>
      <c r="BU113" s="1262"/>
      <c r="BV113" s="424"/>
      <c r="BW113" s="424"/>
      <c r="BX113" s="1263"/>
      <c r="BY113" s="1264"/>
      <c r="BZ113" s="428"/>
      <c r="CA113" s="1262"/>
      <c r="CB113" s="1262"/>
      <c r="CC113" s="1262"/>
      <c r="CD113" s="1263"/>
      <c r="CE113" s="1264"/>
      <c r="CF113" s="428"/>
      <c r="CG113" s="1262"/>
      <c r="CH113" s="1262"/>
      <c r="CI113" s="1262"/>
      <c r="CJ113" s="1263"/>
      <c r="CK113" s="1264"/>
      <c r="CL113" s="428"/>
      <c r="CM113" s="1262"/>
      <c r="CN113" s="1262"/>
      <c r="CO113" s="1262"/>
      <c r="CP113" s="1263"/>
      <c r="CQ113" s="1264"/>
      <c r="CR113" s="428"/>
      <c r="CS113" s="1262"/>
      <c r="CT113" s="1262"/>
      <c r="CU113" s="1262"/>
      <c r="CV113" s="1263"/>
      <c r="CW113" s="1264"/>
      <c r="CX113" s="428"/>
      <c r="CY113" s="1262"/>
      <c r="CZ113" s="1262"/>
      <c r="DA113" s="1262"/>
      <c r="DB113" s="1263"/>
      <c r="DC113" s="1264"/>
      <c r="DD113" s="428"/>
      <c r="DE113" s="1262"/>
      <c r="DF113" s="1262"/>
      <c r="DG113" s="1262"/>
      <c r="DH113" s="1263"/>
      <c r="DI113" s="1264"/>
      <c r="DJ113" s="353"/>
      <c r="DK113" s="353"/>
    </row>
    <row r="114" spans="1:115" s="355" customFormat="1" ht="11.25" customHeight="1">
      <c r="A114" s="1462" t="s">
        <v>473</v>
      </c>
      <c r="B114" s="353"/>
      <c r="C114" s="155"/>
      <c r="D114" s="157"/>
      <c r="E114" s="155"/>
      <c r="F114" s="157"/>
      <c r="G114" s="155"/>
      <c r="H114" s="157"/>
      <c r="I114" s="155"/>
      <c r="J114" s="157"/>
      <c r="K114" s="155"/>
      <c r="L114" s="157"/>
      <c r="M114" s="155"/>
      <c r="N114" s="157"/>
      <c r="O114" s="155"/>
      <c r="P114" s="157"/>
      <c r="Q114" s="155"/>
      <c r="R114" s="157"/>
      <c r="S114" s="331"/>
      <c r="T114" s="157"/>
      <c r="U114" s="157"/>
      <c r="V114" s="157"/>
      <c r="W114" s="155"/>
      <c r="X114" s="157"/>
      <c r="Y114" s="331"/>
      <c r="Z114" s="157"/>
      <c r="AA114" s="157"/>
      <c r="AB114" s="157"/>
      <c r="AC114" s="1189"/>
      <c r="AD114" s="157"/>
      <c r="AE114" s="1267"/>
      <c r="AF114" s="1266"/>
      <c r="AG114" s="1266"/>
      <c r="AH114" s="1266"/>
      <c r="AI114" s="155"/>
      <c r="AJ114" s="157"/>
      <c r="AK114" s="1267">
        <v>101.4</v>
      </c>
      <c r="AL114" s="1266">
        <v>109.6</v>
      </c>
      <c r="AM114" s="1266">
        <v>114.9</v>
      </c>
      <c r="AN114" s="1266">
        <f>502.2-SUM(AK114:AM114)</f>
        <v>176.3</v>
      </c>
      <c r="AO114" s="155">
        <f>SUM(AK114:AN114)</f>
        <v>502.2</v>
      </c>
      <c r="AP114" s="157"/>
      <c r="AQ114" s="1267">
        <v>122.7</v>
      </c>
      <c r="AR114" s="1266">
        <v>133.80000000000001</v>
      </c>
      <c r="AS114" s="1266">
        <v>149.1</v>
      </c>
      <c r="AT114" s="1266">
        <f>603.3-SUM(AQ114:AS114)</f>
        <v>197.69999999999993</v>
      </c>
      <c r="AU114" s="155">
        <f>SUM(AQ114:AT114)</f>
        <v>603.29999999999995</v>
      </c>
      <c r="AV114" s="157"/>
      <c r="AW114" s="1267">
        <v>165.9</v>
      </c>
      <c r="AX114" s="1266">
        <v>187</v>
      </c>
      <c r="AY114" s="1266">
        <v>190.1</v>
      </c>
      <c r="AZ114" s="1266">
        <v>215.5</v>
      </c>
      <c r="BA114" s="155">
        <f>SUM(AW114:AZ114)</f>
        <v>758.5</v>
      </c>
      <c r="BB114" s="157"/>
      <c r="BC114" s="1267">
        <v>189.3</v>
      </c>
      <c r="BD114" s="1266">
        <f>188.4</f>
        <v>188.4</v>
      </c>
      <c r="BE114" s="1266">
        <v>197.4</v>
      </c>
      <c r="BF114" s="1605">
        <v>237.5</v>
      </c>
      <c r="BG114" s="155">
        <f>SUM(BC114:BF114)</f>
        <v>812.6</v>
      </c>
      <c r="BH114" s="428"/>
      <c r="BI114" s="1267">
        <f>+BI53*BI115+5</f>
        <v>172.03280000000001</v>
      </c>
      <c r="BJ114" s="1266">
        <f>+BJ53*BJ115-0.2-4.7</f>
        <v>187.77120000000005</v>
      </c>
      <c r="BK114" s="1266">
        <f>+BK53*BK115</f>
        <v>189.28660000000002</v>
      </c>
      <c r="BL114" s="1262">
        <f>BM114-BK114-BJ114-BI114</f>
        <v>225.31289999999996</v>
      </c>
      <c r="BM114" s="752">
        <f>+BM53*BM115</f>
        <v>774.40350000000001</v>
      </c>
      <c r="BN114" s="428"/>
      <c r="BO114" s="1450">
        <f>+BO53*BO115+5</f>
        <v>175.95259999999999</v>
      </c>
      <c r="BP114" s="1343">
        <f>+BP53*BP115</f>
        <v>191.7825</v>
      </c>
      <c r="BQ114" s="1343">
        <f>+BQ53*BQ115</f>
        <v>157.96079999999998</v>
      </c>
      <c r="BR114" s="1262">
        <f>BS114-BQ114-BP114-BO114</f>
        <v>206.10430000000005</v>
      </c>
      <c r="BS114" s="752">
        <f>+BS53*BS115</f>
        <v>731.80020000000002</v>
      </c>
      <c r="BT114" s="428"/>
      <c r="BU114" s="1450">
        <f>+BU53*BU115+5</f>
        <v>159.57999999999998</v>
      </c>
      <c r="BV114" s="1343">
        <f>+BV53*BV115</f>
        <v>162.59280000000001</v>
      </c>
      <c r="BW114" s="1343">
        <f>+BW53*BW115</f>
        <v>161.304</v>
      </c>
      <c r="BX114" s="1449">
        <f>BY114-BW114-BV114-BU114</f>
        <v>198.75797351521356</v>
      </c>
      <c r="BY114" s="752">
        <f>+BY53*BY115</f>
        <v>682.23477351521353</v>
      </c>
      <c r="BZ114" s="428"/>
      <c r="CA114" s="1450">
        <f>+CA53*CA115</f>
        <v>162.23519999999999</v>
      </c>
      <c r="CB114" s="1343">
        <f>+CB53*CB115</f>
        <v>164.89890000000003</v>
      </c>
      <c r="CC114" s="1343">
        <f>+CC53*CC115</f>
        <v>178.9425</v>
      </c>
      <c r="CD114" s="1449">
        <f>CE114-CC114-CB114-CA114</f>
        <v>211.86399999999978</v>
      </c>
      <c r="CE114" s="752">
        <f>+CE53*CE115</f>
        <v>717.94059999999979</v>
      </c>
      <c r="CF114" s="428"/>
      <c r="CG114" s="1450">
        <f>+CG53*CG115</f>
        <v>171.46799999999999</v>
      </c>
      <c r="CH114" s="1343">
        <f>+CH53*CH115</f>
        <v>174.72499999999999</v>
      </c>
      <c r="CI114" s="1343">
        <f>+CI53*CI115</f>
        <v>185.92559999999997</v>
      </c>
      <c r="CJ114" s="1449">
        <f>CK114-CI114-CH114-CG114</f>
        <v>253.4024049122099</v>
      </c>
      <c r="CK114" s="752">
        <f>+CK53*CK115</f>
        <v>785.52100491220995</v>
      </c>
      <c r="CL114" s="428"/>
      <c r="CM114" s="1262"/>
      <c r="CN114" s="1262"/>
      <c r="CO114" s="1262"/>
      <c r="CP114" s="1262"/>
      <c r="CQ114" s="155"/>
      <c r="CR114" s="428"/>
      <c r="CS114" s="1262"/>
      <c r="CT114" s="1262"/>
      <c r="CU114" s="1262"/>
      <c r="CV114" s="1262"/>
      <c r="CW114" s="155"/>
      <c r="CX114" s="428"/>
      <c r="CY114" s="1262"/>
      <c r="CZ114" s="1262"/>
      <c r="DA114" s="1262"/>
      <c r="DB114" s="1262"/>
      <c r="DC114" s="155"/>
      <c r="DD114" s="428"/>
      <c r="DE114" s="1262"/>
      <c r="DF114" s="1262"/>
      <c r="DG114" s="1262"/>
      <c r="DH114" s="1262"/>
      <c r="DI114" s="155"/>
    </row>
    <row r="115" spans="1:115" s="355" customFormat="1" ht="11.25" customHeight="1">
      <c r="A115" s="1606" t="s">
        <v>347</v>
      </c>
      <c r="B115" s="353"/>
      <c r="C115" s="428"/>
      <c r="D115" s="353"/>
      <c r="E115" s="428"/>
      <c r="F115" s="353"/>
      <c r="G115" s="428"/>
      <c r="H115" s="353"/>
      <c r="I115" s="428"/>
      <c r="J115" s="353"/>
      <c r="K115" s="428"/>
      <c r="L115" s="353"/>
      <c r="M115" s="428"/>
      <c r="N115" s="353"/>
      <c r="O115" s="428"/>
      <c r="P115" s="353"/>
      <c r="Q115" s="428"/>
      <c r="R115" s="353"/>
      <c r="S115" s="418"/>
      <c r="T115" s="353"/>
      <c r="U115" s="353"/>
      <c r="V115" s="353"/>
      <c r="W115" s="428"/>
      <c r="X115" s="353"/>
      <c r="Y115" s="418"/>
      <c r="Z115" s="353"/>
      <c r="AA115" s="353"/>
      <c r="AB115" s="353"/>
      <c r="AC115" s="436"/>
      <c r="AD115" s="353"/>
      <c r="AE115" s="1267"/>
      <c r="AF115" s="1266"/>
      <c r="AG115" s="1266"/>
      <c r="AH115" s="1266"/>
      <c r="AI115" s="155"/>
      <c r="AJ115" s="353"/>
      <c r="AK115" s="456">
        <f>AK114/AK53</f>
        <v>0.45348837209302328</v>
      </c>
      <c r="AL115" s="424">
        <f>AL114/AL53</f>
        <v>0.45420638209697467</v>
      </c>
      <c r="AM115" s="424">
        <f>AM114/AM53</f>
        <v>0.45667726550079496</v>
      </c>
      <c r="AN115" s="424">
        <f>AN114/AN53</f>
        <v>0.50924321201617562</v>
      </c>
      <c r="AO115" s="436">
        <f>AO114/AO53</f>
        <v>0.47256986920109151</v>
      </c>
      <c r="AP115" s="353"/>
      <c r="AQ115" s="456">
        <f>AQ114/AQ53</f>
        <v>0.47137917787168648</v>
      </c>
      <c r="AR115" s="424">
        <f>AR114/AR53</f>
        <v>0.46963846963846972</v>
      </c>
      <c r="AS115" s="424">
        <f>AS114/AS53</f>
        <v>0.51325301204819274</v>
      </c>
      <c r="AT115" s="424">
        <f>AT114/AT53</f>
        <v>0.50770416024653287</v>
      </c>
      <c r="AU115" s="436">
        <f>AU114/AU53</f>
        <v>0.49244959595135079</v>
      </c>
      <c r="AV115" s="353"/>
      <c r="AW115" s="456">
        <f>AW114/AW53</f>
        <v>0.4940440738534842</v>
      </c>
      <c r="AX115" s="424">
        <f>AX114/AX53</f>
        <v>0.49483990473670286</v>
      </c>
      <c r="AY115" s="424">
        <f>AY114/AY53</f>
        <v>0.4817536746071972</v>
      </c>
      <c r="AZ115" s="424">
        <f>AZ114/AZ53</f>
        <v>0.48340062808434264</v>
      </c>
      <c r="BA115" s="436">
        <f>BA114/BA53</f>
        <v>0.4880638311562962</v>
      </c>
      <c r="BB115" s="353"/>
      <c r="BC115" s="456">
        <f>BC114/BC53</f>
        <v>0.50066120074054488</v>
      </c>
      <c r="BD115" s="424">
        <f>BD114/BD53</f>
        <v>0.47455919395465995</v>
      </c>
      <c r="BE115" s="424">
        <f>BE114/BE53</f>
        <v>0.48275862068965519</v>
      </c>
      <c r="BF115" s="424">
        <f>BF114/BF53</f>
        <v>0.4926363824932587</v>
      </c>
      <c r="BG115" s="436">
        <f>BG114/BG53</f>
        <v>0.4877258267811056</v>
      </c>
      <c r="BH115" s="428"/>
      <c r="BI115" s="1451">
        <v>0.45600000000000002</v>
      </c>
      <c r="BJ115" s="422">
        <v>0.45700000000000002</v>
      </c>
      <c r="BK115" s="422">
        <v>0.46100000000000002</v>
      </c>
      <c r="BL115" s="424">
        <f>BL114/BL53</f>
        <v>0.44092544031311148</v>
      </c>
      <c r="BM115" s="1142">
        <v>0.45300000000000001</v>
      </c>
      <c r="BN115" s="428"/>
      <c r="BO115" s="1451">
        <v>0.434</v>
      </c>
      <c r="BP115" s="422">
        <v>0.45500000000000002</v>
      </c>
      <c r="BQ115" s="422">
        <v>0.41199999999999998</v>
      </c>
      <c r="BR115" s="424">
        <f>BR114/BR53</f>
        <v>0.43317423287095419</v>
      </c>
      <c r="BS115" s="1142">
        <v>0.437</v>
      </c>
      <c r="BT115" s="428"/>
      <c r="BU115" s="1451">
        <v>0.47199999999999998</v>
      </c>
      <c r="BV115" s="422">
        <v>0.44400000000000001</v>
      </c>
      <c r="BW115" s="422">
        <v>0.44</v>
      </c>
      <c r="BX115" s="1879">
        <f>BX114/BX53</f>
        <v>0.45263092797714349</v>
      </c>
      <c r="BY115" s="1880">
        <v>0.45500000000000002</v>
      </c>
      <c r="BZ115" s="428"/>
      <c r="CA115" s="1908">
        <v>0.46300000000000002</v>
      </c>
      <c r="CB115" s="422">
        <v>0.47699999999999998</v>
      </c>
      <c r="CC115" s="422">
        <v>0.495</v>
      </c>
      <c r="CD115" s="1879">
        <f>CD114/CD53</f>
        <v>0.4870436781609192</v>
      </c>
      <c r="CE115" s="1880">
        <v>0.48099999999999998</v>
      </c>
      <c r="CF115" s="428"/>
      <c r="CG115" s="1908">
        <v>0.495</v>
      </c>
      <c r="CH115" s="422">
        <v>0.48199999999999998</v>
      </c>
      <c r="CI115" s="422">
        <v>0.47599999999999998</v>
      </c>
      <c r="CJ115" s="1879">
        <f>CJ114/CJ53</f>
        <v>0.52332978138623387</v>
      </c>
      <c r="CK115" s="2383">
        <v>0.496</v>
      </c>
      <c r="CL115" s="428"/>
      <c r="CM115" s="424"/>
      <c r="CN115" s="424"/>
      <c r="CO115" s="424"/>
      <c r="CP115" s="424"/>
      <c r="CQ115" s="436"/>
      <c r="CR115" s="428"/>
      <c r="CS115" s="424"/>
      <c r="CT115" s="424"/>
      <c r="CU115" s="424"/>
      <c r="CV115" s="424"/>
      <c r="CW115" s="436"/>
      <c r="CX115" s="428"/>
      <c r="CY115" s="424"/>
      <c r="CZ115" s="424"/>
      <c r="DA115" s="424"/>
      <c r="DB115" s="424"/>
      <c r="DC115" s="436"/>
      <c r="DD115" s="428"/>
      <c r="DE115" s="424"/>
      <c r="DF115" s="424"/>
      <c r="DG115" s="424"/>
      <c r="DH115" s="424"/>
      <c r="DI115" s="436"/>
    </row>
    <row r="116" spans="1:115" s="355" customFormat="1" ht="11.25" customHeight="1">
      <c r="A116" s="418"/>
      <c r="B116" s="353"/>
      <c r="C116" s="428"/>
      <c r="D116" s="353"/>
      <c r="E116" s="428"/>
      <c r="F116" s="353"/>
      <c r="G116" s="428"/>
      <c r="H116" s="353"/>
      <c r="I116" s="428"/>
      <c r="J116" s="353"/>
      <c r="K116" s="428"/>
      <c r="L116" s="353"/>
      <c r="M116" s="428"/>
      <c r="N116" s="353"/>
      <c r="O116" s="428"/>
      <c r="P116" s="353"/>
      <c r="Q116" s="428"/>
      <c r="R116" s="353"/>
      <c r="S116" s="418"/>
      <c r="T116" s="353"/>
      <c r="U116" s="353"/>
      <c r="V116" s="353"/>
      <c r="W116" s="428"/>
      <c r="X116" s="353"/>
      <c r="Y116" s="418"/>
      <c r="Z116" s="353"/>
      <c r="AA116" s="353"/>
      <c r="AB116" s="353"/>
      <c r="AC116" s="428"/>
      <c r="AD116" s="353"/>
      <c r="AE116" s="1267"/>
      <c r="AF116" s="1266"/>
      <c r="AG116" s="1266"/>
      <c r="AH116" s="1266"/>
      <c r="AI116" s="155"/>
      <c r="AJ116" s="353"/>
      <c r="AK116" s="418"/>
      <c r="AL116" s="353"/>
      <c r="AM116" s="353"/>
      <c r="AN116" s="353"/>
      <c r="AO116" s="428"/>
      <c r="AP116" s="353"/>
      <c r="AQ116" s="418"/>
      <c r="AR116" s="353"/>
      <c r="AS116" s="353"/>
      <c r="AT116" s="353"/>
      <c r="AU116" s="428"/>
      <c r="AV116" s="353"/>
      <c r="AW116" s="418"/>
      <c r="AX116" s="353"/>
      <c r="AY116" s="353"/>
      <c r="AZ116" s="353"/>
      <c r="BA116" s="428"/>
      <c r="BB116" s="353"/>
      <c r="BC116" s="418"/>
      <c r="BD116" s="353"/>
      <c r="BE116" s="353"/>
      <c r="BF116" s="1265"/>
      <c r="BG116" s="428"/>
      <c r="BH116" s="353"/>
      <c r="BI116" s="418"/>
      <c r="BJ116" s="353"/>
      <c r="BK116" s="353"/>
      <c r="BL116" s="1265"/>
      <c r="BM116" s="428"/>
      <c r="BN116" s="428"/>
      <c r="BO116" s="418"/>
      <c r="BP116" s="353"/>
      <c r="BQ116" s="353"/>
      <c r="BR116" s="1265"/>
      <c r="BS116" s="428"/>
      <c r="BT116" s="428"/>
      <c r="BU116" s="418"/>
      <c r="BV116" s="353"/>
      <c r="BW116" s="353"/>
      <c r="BX116" s="1881"/>
      <c r="BY116" s="732"/>
      <c r="BZ116" s="428"/>
      <c r="CA116" s="585"/>
      <c r="CB116" s="353"/>
      <c r="CC116" s="353"/>
      <c r="CD116" s="1881"/>
      <c r="CE116" s="732"/>
      <c r="CF116" s="428"/>
      <c r="CG116" s="585"/>
      <c r="CH116" s="353"/>
      <c r="CI116" s="353"/>
      <c r="CJ116" s="1881"/>
      <c r="CK116" s="428"/>
      <c r="CL116" s="428"/>
      <c r="CM116" s="353"/>
      <c r="CN116" s="353"/>
      <c r="CO116" s="353"/>
      <c r="CP116" s="1265"/>
      <c r="CQ116" s="428"/>
      <c r="CR116" s="428"/>
      <c r="CS116" s="353"/>
      <c r="CT116" s="353"/>
      <c r="CU116" s="353"/>
      <c r="CV116" s="1265"/>
      <c r="CW116" s="428"/>
      <c r="CX116" s="428"/>
      <c r="CY116" s="353"/>
      <c r="CZ116" s="353"/>
      <c r="DA116" s="353"/>
      <c r="DB116" s="1265"/>
      <c r="DC116" s="428"/>
      <c r="DD116" s="428"/>
      <c r="DE116" s="353"/>
      <c r="DF116" s="353"/>
      <c r="DG116" s="353"/>
      <c r="DH116" s="1265"/>
      <c r="DI116" s="428"/>
    </row>
    <row r="117" spans="1:115" s="355" customFormat="1" ht="11.25" customHeight="1">
      <c r="A117" s="1462" t="s">
        <v>470</v>
      </c>
      <c r="B117" s="353"/>
      <c r="C117" s="155"/>
      <c r="D117" s="157"/>
      <c r="E117" s="155"/>
      <c r="F117" s="157"/>
      <c r="G117" s="155"/>
      <c r="H117" s="157"/>
      <c r="I117" s="155"/>
      <c r="J117" s="157"/>
      <c r="K117" s="155"/>
      <c r="L117" s="157"/>
      <c r="M117" s="155"/>
      <c r="N117" s="157"/>
      <c r="O117" s="155"/>
      <c r="P117" s="157"/>
      <c r="Q117" s="155"/>
      <c r="R117" s="157"/>
      <c r="S117" s="331"/>
      <c r="T117" s="157"/>
      <c r="U117" s="157"/>
      <c r="V117" s="157"/>
      <c r="W117" s="155"/>
      <c r="X117" s="157"/>
      <c r="Y117" s="331"/>
      <c r="Z117" s="157"/>
      <c r="AA117" s="157"/>
      <c r="AB117" s="157"/>
      <c r="AC117" s="1189"/>
      <c r="AD117" s="157"/>
      <c r="AE117" s="1267"/>
      <c r="AF117" s="1266"/>
      <c r="AG117" s="1266"/>
      <c r="AH117" s="1266"/>
      <c r="AI117" s="155"/>
      <c r="AJ117" s="157"/>
      <c r="AK117" s="1267">
        <v>0.7</v>
      </c>
      <c r="AL117" s="1266">
        <v>1.6</v>
      </c>
      <c r="AM117" s="1266">
        <v>3.7</v>
      </c>
      <c r="AN117" s="1266">
        <f>8.6-SUM(AK117:AM117)</f>
        <v>2.5999999999999996</v>
      </c>
      <c r="AO117" s="155">
        <f>SUM(AK117:AN117)</f>
        <v>8.6</v>
      </c>
      <c r="AP117" s="157"/>
      <c r="AQ117" s="1267">
        <v>4.0999999999999996</v>
      </c>
      <c r="AR117" s="1266">
        <v>3.1</v>
      </c>
      <c r="AS117" s="1266">
        <v>3.3</v>
      </c>
      <c r="AT117" s="1266">
        <f>16.6-SUM(AQ117:AS117)</f>
        <v>6.1000000000000014</v>
      </c>
      <c r="AU117" s="155">
        <f>SUM(AQ117:AT117)</f>
        <v>16.600000000000001</v>
      </c>
      <c r="AV117" s="157"/>
      <c r="AW117" s="1267">
        <v>4.9000000000000004</v>
      </c>
      <c r="AX117" s="1266">
        <v>5.4</v>
      </c>
      <c r="AY117" s="1266">
        <v>5.5</v>
      </c>
      <c r="AZ117" s="1266">
        <v>6.9</v>
      </c>
      <c r="BA117" s="155">
        <f>SUM(AW117:AZ117)</f>
        <v>22.700000000000003</v>
      </c>
      <c r="BB117" s="157"/>
      <c r="BC117" s="1267">
        <v>6.6</v>
      </c>
      <c r="BD117" s="1266">
        <v>6.4</v>
      </c>
      <c r="BE117" s="1266">
        <v>21.3</v>
      </c>
      <c r="BF117" s="1605">
        <v>8.4</v>
      </c>
      <c r="BG117" s="155">
        <f>SUM(BC117:BF117)</f>
        <v>42.699999999999996</v>
      </c>
      <c r="BH117" s="428"/>
      <c r="BI117" s="284">
        <f>+BI65*BI118</f>
        <v>6.8016000000000005</v>
      </c>
      <c r="BJ117" s="1191" t="s">
        <v>26</v>
      </c>
      <c r="BK117" s="1191" t="s">
        <v>26</v>
      </c>
      <c r="BL117" s="1191" t="s">
        <v>26</v>
      </c>
      <c r="BM117" s="155">
        <f>+BM65*BM118</f>
        <v>31.691000000000003</v>
      </c>
      <c r="BN117" s="428"/>
      <c r="BO117" s="284">
        <f>+BO65*BO118</f>
        <v>7.5864000000000011</v>
      </c>
      <c r="BP117" s="1449">
        <f>+BP65*BP118</f>
        <v>8.9838000000000005</v>
      </c>
      <c r="BQ117" s="1449">
        <f>+BQ65*BQ118</f>
        <v>9</v>
      </c>
      <c r="BR117" s="1262">
        <f>BS117-BQ117-BP117-BO117</f>
        <v>3.1749999999999989</v>
      </c>
      <c r="BS117" s="155">
        <f>+BS65*BS118</f>
        <v>28.745200000000001</v>
      </c>
      <c r="BT117" s="428"/>
      <c r="BU117" s="284">
        <f>+BU65*BU118</f>
        <v>5.0049999999999999</v>
      </c>
      <c r="BV117" s="1449">
        <f>+BV65*BV118</f>
        <v>6.3140000000000001</v>
      </c>
      <c r="BW117" s="1449">
        <f>+BW65*BW118</f>
        <v>6.2839</v>
      </c>
      <c r="BX117" s="1449">
        <f>BY117-BW117-BV117-BU117</f>
        <v>8.4686000000000021</v>
      </c>
      <c r="BY117" s="752">
        <f>+BY65*BY118</f>
        <v>26.0715</v>
      </c>
      <c r="BZ117" s="428"/>
      <c r="CA117" s="284">
        <f>+CA65*CA118</f>
        <v>3.6992000000000003</v>
      </c>
      <c r="CB117" s="1449">
        <f>+CB65*CB118</f>
        <v>5.1870000000000003</v>
      </c>
      <c r="CC117" s="1449">
        <f>+CC65*CC118</f>
        <v>6.3544999999999998</v>
      </c>
      <c r="CD117" s="1449">
        <f>CE117-CC117-CB117-CA117</f>
        <v>7.0235000000000065</v>
      </c>
      <c r="CE117" s="752">
        <f>+CE65*CE118</f>
        <v>22.264200000000006</v>
      </c>
      <c r="CF117" s="428"/>
      <c r="CG117" s="284">
        <f>+CG65*CG118</f>
        <v>5.0125000000000002</v>
      </c>
      <c r="CH117" s="1449">
        <f>+CH65*CH118</f>
        <v>8.5860000000000003</v>
      </c>
      <c r="CI117" s="1449">
        <f>+CI65*CI118</f>
        <v>7.1916000000000002</v>
      </c>
      <c r="CJ117" s="1449">
        <f>CK117-CI117-CH117-CG117</f>
        <v>8.4714559999999999</v>
      </c>
      <c r="CK117" s="752">
        <f>+CK65*CK118</f>
        <v>29.261556000000002</v>
      </c>
      <c r="CL117" s="428"/>
      <c r="CM117" s="1262"/>
      <c r="CN117" s="1262"/>
      <c r="CO117" s="1262"/>
      <c r="CP117" s="1263"/>
      <c r="CQ117" s="155"/>
      <c r="CR117" s="428"/>
      <c r="CS117" s="1262"/>
      <c r="CT117" s="1262"/>
      <c r="CU117" s="1262"/>
      <c r="CV117" s="1263"/>
      <c r="CW117" s="155"/>
      <c r="CX117" s="428"/>
      <c r="CY117" s="1262"/>
      <c r="CZ117" s="1262"/>
      <c r="DA117" s="1262"/>
      <c r="DB117" s="1263"/>
      <c r="DC117" s="155"/>
      <c r="DD117" s="428"/>
      <c r="DE117" s="1262"/>
      <c r="DF117" s="1262"/>
      <c r="DG117" s="1262"/>
      <c r="DH117" s="1263"/>
      <c r="DI117" s="155"/>
    </row>
    <row r="118" spans="1:115" s="355" customFormat="1" ht="11.25" customHeight="1">
      <c r="A118" s="1606" t="s">
        <v>347</v>
      </c>
      <c r="B118" s="353"/>
      <c r="C118" s="428"/>
      <c r="D118" s="353"/>
      <c r="E118" s="428"/>
      <c r="F118" s="353"/>
      <c r="G118" s="428"/>
      <c r="H118" s="353"/>
      <c r="I118" s="428"/>
      <c r="J118" s="353"/>
      <c r="K118" s="428"/>
      <c r="L118" s="353"/>
      <c r="M118" s="428"/>
      <c r="N118" s="353"/>
      <c r="O118" s="428"/>
      <c r="P118" s="353"/>
      <c r="Q118" s="428"/>
      <c r="R118" s="353"/>
      <c r="S118" s="418"/>
      <c r="T118" s="353"/>
      <c r="U118" s="353"/>
      <c r="V118" s="353"/>
      <c r="W118" s="428"/>
      <c r="X118" s="353"/>
      <c r="Y118" s="418"/>
      <c r="Z118" s="353"/>
      <c r="AA118" s="353"/>
      <c r="AB118" s="353"/>
      <c r="AC118" s="436"/>
      <c r="AD118" s="353"/>
      <c r="AE118" s="1267"/>
      <c r="AF118" s="1266"/>
      <c r="AG118" s="1266"/>
      <c r="AH118" s="1266"/>
      <c r="AI118" s="155"/>
      <c r="AJ118" s="353"/>
      <c r="AK118" s="456">
        <f>AK117/AK65</f>
        <v>8.6419753086419748E-2</v>
      </c>
      <c r="AL118" s="424">
        <f>AL117/AL65</f>
        <v>0.11678832116788321</v>
      </c>
      <c r="AM118" s="424">
        <f>AM117/AM65</f>
        <v>0.26056338028169018</v>
      </c>
      <c r="AN118" s="424">
        <f>AN117/AN65</f>
        <v>0.10924369747899156</v>
      </c>
      <c r="AO118" s="436">
        <f>AO117/AO65</f>
        <v>0.14381270903010032</v>
      </c>
      <c r="AP118" s="353"/>
      <c r="AQ118" s="456">
        <f>AQ117/AQ65</f>
        <v>0.19806763285024154</v>
      </c>
      <c r="AR118" s="424">
        <f>AR117/AR65</f>
        <v>0.17127071823204418</v>
      </c>
      <c r="AS118" s="424">
        <f>AS117/AS65</f>
        <v>0.14732142857142858</v>
      </c>
      <c r="AT118" s="424">
        <f>AT117/AT65</f>
        <v>0.20819112627986353</v>
      </c>
      <c r="AU118" s="436">
        <f>AU117/AU65</f>
        <v>0.18342541436464091</v>
      </c>
      <c r="AV118" s="353"/>
      <c r="AW118" s="456">
        <f>AW117/AW65</f>
        <v>0.20416666666666669</v>
      </c>
      <c r="AX118" s="424">
        <f>AX117/AX65</f>
        <v>0.19217081850533807</v>
      </c>
      <c r="AY118" s="424">
        <f>AY117/AY65</f>
        <v>0.19855595667870038</v>
      </c>
      <c r="AZ118" s="424">
        <f>AZ117/AZ65</f>
        <v>0.20535714285714285</v>
      </c>
      <c r="BA118" s="436">
        <f>BA117/BA65</f>
        <v>0.20017636684303353</v>
      </c>
      <c r="BB118" s="353"/>
      <c r="BC118" s="456">
        <f>BC117/BC65</f>
        <v>0.22</v>
      </c>
      <c r="BD118" s="424">
        <f>BD117/BD65</f>
        <v>0.24615384615384617</v>
      </c>
      <c r="BE118" s="424">
        <f>BE117/BE65</f>
        <v>0.50235849056603776</v>
      </c>
      <c r="BF118" s="424">
        <f>BF117/BF65</f>
        <v>0.22222222222222215</v>
      </c>
      <c r="BG118" s="436">
        <f>BG117/BG65</f>
        <v>0.31350954478707777</v>
      </c>
      <c r="BH118" s="428"/>
      <c r="BI118" s="1316">
        <v>0.218</v>
      </c>
      <c r="BJ118" s="422">
        <v>0.315</v>
      </c>
      <c r="BK118" s="422">
        <v>0.16300000000000001</v>
      </c>
      <c r="BL118" s="1261" t="s">
        <v>26</v>
      </c>
      <c r="BM118" s="1142">
        <v>0.215</v>
      </c>
      <c r="BN118" s="428"/>
      <c r="BO118" s="1316">
        <v>0.218</v>
      </c>
      <c r="BP118" s="1446">
        <v>0.217</v>
      </c>
      <c r="BQ118" s="1446">
        <v>0.22500000000000001</v>
      </c>
      <c r="BR118" s="424">
        <f>BR117/BR65</f>
        <v>8.651226158038143E-2</v>
      </c>
      <c r="BS118" s="1142">
        <v>0.188</v>
      </c>
      <c r="BT118" s="428"/>
      <c r="BU118" s="1316">
        <v>0.182</v>
      </c>
      <c r="BV118" s="1446">
        <v>0.20499999999999999</v>
      </c>
      <c r="BW118" s="1446">
        <v>0.191</v>
      </c>
      <c r="BX118" s="1879">
        <f>BX117/BX65</f>
        <v>0.19926117647058827</v>
      </c>
      <c r="BY118" s="1880">
        <v>0.19500000000000001</v>
      </c>
      <c r="BZ118" s="428"/>
      <c r="CA118" s="1909">
        <v>0.13600000000000001</v>
      </c>
      <c r="CB118" s="1446">
        <v>0.182</v>
      </c>
      <c r="CC118" s="1446">
        <v>0.17899999999999999</v>
      </c>
      <c r="CD118" s="1879">
        <f>CD117/CD65</f>
        <v>0.18008974358974372</v>
      </c>
      <c r="CE118" s="1880">
        <v>0.17100000000000001</v>
      </c>
      <c r="CF118" s="428"/>
      <c r="CG118" s="1909">
        <v>0.125</v>
      </c>
      <c r="CH118" s="1446">
        <v>0.159</v>
      </c>
      <c r="CI118" s="1446">
        <v>0.156</v>
      </c>
      <c r="CJ118" s="1879">
        <f>CJ117/CJ65</f>
        <v>0.1659377889211</v>
      </c>
      <c r="CK118" s="2383">
        <v>0.153</v>
      </c>
      <c r="CL118" s="428"/>
      <c r="CM118" s="456"/>
      <c r="CN118" s="424"/>
      <c r="CO118" s="424"/>
      <c r="CP118" s="424"/>
      <c r="CQ118" s="436"/>
      <c r="CR118" s="428"/>
      <c r="CS118" s="456"/>
      <c r="CT118" s="424"/>
      <c r="CU118" s="424"/>
      <c r="CV118" s="424"/>
      <c r="CW118" s="436"/>
      <c r="CX118" s="428"/>
      <c r="CY118" s="456"/>
      <c r="CZ118" s="424"/>
      <c r="DA118" s="424"/>
      <c r="DB118" s="424"/>
      <c r="DC118" s="436"/>
      <c r="DD118" s="428"/>
      <c r="DE118" s="456"/>
      <c r="DF118" s="424"/>
      <c r="DG118" s="424"/>
      <c r="DH118" s="424"/>
      <c r="DI118" s="436"/>
    </row>
    <row r="119" spans="1:115" s="355" customFormat="1" ht="11.25" customHeight="1">
      <c r="A119" s="1462" t="s">
        <v>17</v>
      </c>
      <c r="B119" s="353"/>
      <c r="C119" s="155"/>
      <c r="D119" s="331"/>
      <c r="E119" s="155"/>
      <c r="F119" s="157"/>
      <c r="G119" s="155"/>
      <c r="H119" s="157"/>
      <c r="I119" s="155"/>
      <c r="J119" s="157"/>
      <c r="K119" s="155"/>
      <c r="L119" s="157"/>
      <c r="M119" s="155"/>
      <c r="N119" s="157"/>
      <c r="O119" s="155"/>
      <c r="P119" s="157"/>
      <c r="Q119" s="155"/>
      <c r="R119" s="157"/>
      <c r="S119" s="331"/>
      <c r="T119" s="157"/>
      <c r="U119" s="157"/>
      <c r="V119" s="157"/>
      <c r="W119" s="155"/>
      <c r="X119" s="157"/>
      <c r="Y119" s="331"/>
      <c r="Z119" s="157"/>
      <c r="AA119" s="157"/>
      <c r="AB119" s="157"/>
      <c r="AC119" s="1189"/>
      <c r="AD119" s="157"/>
      <c r="AE119" s="1267"/>
      <c r="AF119" s="1266"/>
      <c r="AG119" s="1266"/>
      <c r="AH119" s="1266"/>
      <c r="AI119" s="155"/>
      <c r="AJ119" s="157"/>
      <c r="AK119" s="1267">
        <v>0.6</v>
      </c>
      <c r="AL119" s="1266">
        <v>0</v>
      </c>
      <c r="AM119" s="1266">
        <v>0.6</v>
      </c>
      <c r="AN119" s="1266">
        <f>1.1-SUM(AK119:AM119)</f>
        <v>-9.9999999999999867E-2</v>
      </c>
      <c r="AO119" s="155">
        <f>SUM(AK119:AN119)</f>
        <v>1.1000000000000001</v>
      </c>
      <c r="AP119" s="331"/>
      <c r="AQ119" s="1267">
        <v>-0.3</v>
      </c>
      <c r="AR119" s="1266">
        <v>-0.8</v>
      </c>
      <c r="AS119" s="1266">
        <v>-0.4</v>
      </c>
      <c r="AT119" s="1266">
        <f>-2.3-SUM(AQ119:AS119)</f>
        <v>-0.79999999999999982</v>
      </c>
      <c r="AU119" s="155">
        <f>SUM(AQ119:AT119)</f>
        <v>-2.2999999999999998</v>
      </c>
      <c r="AV119" s="157"/>
      <c r="AW119" s="1267">
        <v>-1.3</v>
      </c>
      <c r="AX119" s="1266">
        <v>0</v>
      </c>
      <c r="AY119" s="1266">
        <v>-0.5</v>
      </c>
      <c r="AZ119" s="1266">
        <v>-1.4</v>
      </c>
      <c r="BA119" s="155">
        <f>SUM(AW119:AZ119)</f>
        <v>-3.2</v>
      </c>
      <c r="BB119" s="157"/>
      <c r="BC119" s="1267">
        <v>-0.5</v>
      </c>
      <c r="BD119" s="1266">
        <v>-0.2</v>
      </c>
      <c r="BE119" s="1266">
        <v>-2.2999999999999998</v>
      </c>
      <c r="BF119" s="1266">
        <v>1</v>
      </c>
      <c r="BG119" s="155">
        <f>SUM(BC119:BF119)</f>
        <v>-2</v>
      </c>
      <c r="BH119" s="353"/>
      <c r="BI119" s="1190" t="s">
        <v>26</v>
      </c>
      <c r="BJ119" s="1191" t="s">
        <v>26</v>
      </c>
      <c r="BK119" s="1191" t="s">
        <v>26</v>
      </c>
      <c r="BL119" s="1191" t="s">
        <v>26</v>
      </c>
      <c r="BM119" s="1189" t="s">
        <v>26</v>
      </c>
      <c r="BN119" s="353"/>
      <c r="BO119" s="1190" t="s">
        <v>26</v>
      </c>
      <c r="BP119" s="1191" t="s">
        <v>26</v>
      </c>
      <c r="BQ119" s="1191" t="s">
        <v>26</v>
      </c>
      <c r="BR119" s="1191" t="s">
        <v>26</v>
      </c>
      <c r="BS119" s="1189" t="s">
        <v>26</v>
      </c>
      <c r="BT119" s="353"/>
      <c r="BU119" s="1190" t="s">
        <v>26</v>
      </c>
      <c r="BV119" s="1191" t="s">
        <v>26</v>
      </c>
      <c r="BW119" s="1191" t="s">
        <v>26</v>
      </c>
      <c r="BX119" s="140" t="s">
        <v>26</v>
      </c>
      <c r="BY119" s="141" t="s">
        <v>26</v>
      </c>
      <c r="BZ119" s="353"/>
      <c r="CA119" s="310" t="s">
        <v>26</v>
      </c>
      <c r="CB119" s="1191" t="s">
        <v>26</v>
      </c>
      <c r="CC119" s="1191" t="s">
        <v>26</v>
      </c>
      <c r="CD119" s="140" t="s">
        <v>26</v>
      </c>
      <c r="CE119" s="141" t="s">
        <v>26</v>
      </c>
      <c r="CF119" s="353"/>
      <c r="CG119" s="310" t="s">
        <v>26</v>
      </c>
      <c r="CH119" s="1191" t="s">
        <v>26</v>
      </c>
      <c r="CI119" s="1191" t="s">
        <v>26</v>
      </c>
      <c r="CJ119" s="140" t="s">
        <v>26</v>
      </c>
      <c r="CK119" s="141" t="s">
        <v>26</v>
      </c>
      <c r="CL119" s="353"/>
      <c r="CM119" s="1267"/>
      <c r="CN119" s="1266"/>
      <c r="CO119" s="1266"/>
      <c r="CP119" s="1266"/>
      <c r="CQ119" s="155"/>
      <c r="CR119" s="353"/>
      <c r="CS119" s="1267"/>
      <c r="CT119" s="1266"/>
      <c r="CU119" s="1266"/>
      <c r="CV119" s="1266"/>
      <c r="CW119" s="155"/>
      <c r="CX119" s="353"/>
      <c r="CY119" s="1267"/>
      <c r="CZ119" s="1266"/>
      <c r="DA119" s="1266"/>
      <c r="DB119" s="1266"/>
      <c r="DC119" s="155"/>
      <c r="DD119" s="353"/>
      <c r="DE119" s="1267"/>
      <c r="DF119" s="1266"/>
      <c r="DG119" s="1266"/>
      <c r="DH119" s="1266"/>
      <c r="DI119" s="155"/>
    </row>
    <row r="120" spans="1:115" s="355" customFormat="1" ht="11.25" customHeight="1">
      <c r="A120" s="1464" t="s">
        <v>346</v>
      </c>
      <c r="B120" s="840"/>
      <c r="C120" s="841"/>
      <c r="D120" s="842"/>
      <c r="E120" s="841"/>
      <c r="F120" s="840"/>
      <c r="G120" s="841"/>
      <c r="H120" s="840"/>
      <c r="I120" s="841"/>
      <c r="J120" s="887"/>
      <c r="K120" s="841"/>
      <c r="L120" s="840"/>
      <c r="M120" s="841"/>
      <c r="N120" s="842"/>
      <c r="O120" s="841"/>
      <c r="P120" s="840"/>
      <c r="Q120" s="841"/>
      <c r="R120" s="840"/>
      <c r="S120" s="842"/>
      <c r="T120" s="840"/>
      <c r="U120" s="840"/>
      <c r="V120" s="840"/>
      <c r="W120" s="841"/>
      <c r="X120" s="840"/>
      <c r="Y120" s="842"/>
      <c r="Z120" s="840"/>
      <c r="AA120" s="840"/>
      <c r="AB120" s="840"/>
      <c r="AC120" s="1504"/>
      <c r="AD120" s="840"/>
      <c r="AE120" s="1505">
        <v>114</v>
      </c>
      <c r="AF120" s="1506">
        <v>129.6</v>
      </c>
      <c r="AG120" s="1506">
        <v>111.1</v>
      </c>
      <c r="AH120" s="1507">
        <f>505-SUM(AE120:AG120)</f>
        <v>150.30000000000001</v>
      </c>
      <c r="AI120" s="1504">
        <f>SUM(AE120:AH120)</f>
        <v>505</v>
      </c>
      <c r="AJ120" s="840"/>
      <c r="AK120" s="1508">
        <f>AK114+AK117+AK119</f>
        <v>102.7</v>
      </c>
      <c r="AL120" s="1509">
        <f>AL114+AL117+AL119</f>
        <v>111.19999999999999</v>
      </c>
      <c r="AM120" s="1509">
        <f>AM114+AM117+AM119</f>
        <v>119.2</v>
      </c>
      <c r="AN120" s="1509">
        <f>AN114+AN117+AN119</f>
        <v>178.8</v>
      </c>
      <c r="AO120" s="1504">
        <f>AO114+AO117+AO119</f>
        <v>511.90000000000003</v>
      </c>
      <c r="AP120" s="842"/>
      <c r="AQ120" s="1508">
        <f>AQ114+AQ117+AQ119</f>
        <v>126.5</v>
      </c>
      <c r="AR120" s="1509">
        <f>AR114+AR117+AR119</f>
        <v>136.1</v>
      </c>
      <c r="AS120" s="1509">
        <f>AS114+AS117+AS119</f>
        <v>152</v>
      </c>
      <c r="AT120" s="1509">
        <f>AT114+AT117+AT119</f>
        <v>202.99999999999991</v>
      </c>
      <c r="AU120" s="1504">
        <f>AU114+AU117+AU119</f>
        <v>617.6</v>
      </c>
      <c r="AV120" s="840"/>
      <c r="AW120" s="1508">
        <f>AW114+AW117+AW119</f>
        <v>169.5</v>
      </c>
      <c r="AX120" s="1509">
        <f>AX114+AX117+AX119</f>
        <v>192.4</v>
      </c>
      <c r="AY120" s="1509">
        <f>AY114+AY117+AY119</f>
        <v>195.1</v>
      </c>
      <c r="AZ120" s="1509">
        <f>AZ114+AZ117+AZ119</f>
        <v>221</v>
      </c>
      <c r="BA120" s="1504">
        <f>BA114+BA117+BA119</f>
        <v>778</v>
      </c>
      <c r="BB120" s="840"/>
      <c r="BC120" s="1508">
        <f>BC114+BC117+BC119</f>
        <v>195.4</v>
      </c>
      <c r="BD120" s="1509">
        <f>BD114+BD117+BD119</f>
        <v>194.60000000000002</v>
      </c>
      <c r="BE120" s="1509">
        <f>BE114+BE117+BE119</f>
        <v>216.4</v>
      </c>
      <c r="BF120" s="1509">
        <f>BF114+BF117+BF119</f>
        <v>246.9</v>
      </c>
      <c r="BG120" s="1504">
        <f>BG114+BG117+BG119</f>
        <v>853.30000000000007</v>
      </c>
      <c r="BH120" s="840"/>
      <c r="BI120" s="1508"/>
      <c r="BJ120" s="1509"/>
      <c r="BK120" s="1509"/>
      <c r="BL120" s="1509"/>
      <c r="BM120" s="1504"/>
      <c r="BN120" s="840"/>
      <c r="BO120" s="1508"/>
      <c r="BP120" s="1509"/>
      <c r="BQ120" s="1509"/>
      <c r="BR120" s="1509"/>
      <c r="BS120" s="1504"/>
      <c r="BT120" s="840"/>
      <c r="BU120" s="1508"/>
      <c r="BV120" s="1509"/>
      <c r="BW120" s="1509"/>
      <c r="BX120" s="1509"/>
      <c r="BY120" s="1504"/>
      <c r="BZ120" s="840"/>
      <c r="CA120" s="1508"/>
      <c r="CB120" s="1509"/>
      <c r="CC120" s="1509"/>
      <c r="CD120" s="1509"/>
      <c r="CE120" s="1504"/>
      <c r="CF120" s="840"/>
      <c r="CG120" s="1508"/>
      <c r="CH120" s="1509"/>
      <c r="CI120" s="1509"/>
      <c r="CJ120" s="1509"/>
      <c r="CK120" s="1504"/>
      <c r="CL120" s="840"/>
      <c r="CM120" s="1508"/>
      <c r="CN120" s="1509"/>
      <c r="CO120" s="1509"/>
      <c r="CP120" s="1509"/>
      <c r="CQ120" s="1504"/>
      <c r="CR120" s="840"/>
      <c r="CS120" s="1508"/>
      <c r="CT120" s="1509"/>
      <c r="CU120" s="1509"/>
      <c r="CV120" s="1509"/>
      <c r="CW120" s="1504"/>
      <c r="CX120" s="840"/>
      <c r="CY120" s="1508"/>
      <c r="CZ120" s="1509"/>
      <c r="DA120" s="1509"/>
      <c r="DB120" s="1509"/>
      <c r="DC120" s="1504"/>
      <c r="DD120" s="840"/>
      <c r="DE120" s="1508"/>
      <c r="DF120" s="1509"/>
      <c r="DG120" s="1509"/>
      <c r="DH120" s="1509"/>
      <c r="DI120" s="1504"/>
    </row>
    <row r="121" spans="1:115" s="355" customFormat="1" ht="11.25" customHeight="1">
      <c r="A121" s="1607" t="s">
        <v>10</v>
      </c>
      <c r="B121" s="353"/>
      <c r="C121" s="155"/>
      <c r="D121" s="157"/>
      <c r="E121" s="155"/>
      <c r="F121" s="157"/>
      <c r="G121" s="155"/>
      <c r="H121" s="157"/>
      <c r="I121" s="155"/>
      <c r="J121" s="157"/>
      <c r="K121" s="155"/>
      <c r="L121" s="157"/>
      <c r="M121" s="155"/>
      <c r="N121" s="157"/>
      <c r="O121" s="155"/>
      <c r="P121" s="157"/>
      <c r="Q121" s="155"/>
      <c r="R121" s="157"/>
      <c r="S121" s="331"/>
      <c r="T121" s="157"/>
      <c r="U121" s="157"/>
      <c r="V121" s="157"/>
      <c r="W121" s="155"/>
      <c r="X121" s="157"/>
      <c r="Y121" s="331"/>
      <c r="Z121" s="157"/>
      <c r="AA121" s="157"/>
      <c r="AB121" s="157"/>
      <c r="AC121" s="1189"/>
      <c r="AD121" s="157"/>
      <c r="AE121" s="1267"/>
      <c r="AF121" s="1266"/>
      <c r="AG121" s="1266"/>
      <c r="AH121" s="1266"/>
      <c r="AI121" s="155"/>
      <c r="AJ121" s="157"/>
      <c r="AK121" s="1267"/>
      <c r="AL121" s="1266"/>
      <c r="AM121" s="1266"/>
      <c r="AN121" s="1266"/>
      <c r="AO121" s="155"/>
      <c r="AP121" s="157"/>
      <c r="AQ121" s="1267"/>
      <c r="AR121" s="1266"/>
      <c r="AS121" s="1266"/>
      <c r="AT121" s="1266"/>
      <c r="AU121" s="155"/>
      <c r="AV121" s="157"/>
      <c r="AW121" s="1267"/>
      <c r="AX121" s="1266"/>
      <c r="AY121" s="1266"/>
      <c r="AZ121" s="1266"/>
      <c r="BA121" s="155"/>
      <c r="BB121" s="157"/>
      <c r="BC121" s="1267"/>
      <c r="BD121" s="1266"/>
      <c r="BE121" s="1266"/>
      <c r="BF121" s="1605"/>
      <c r="BG121" s="155"/>
      <c r="BH121" s="428"/>
      <c r="BI121" s="1267"/>
      <c r="BJ121" s="2128"/>
      <c r="BK121" s="1262"/>
      <c r="BL121" s="1263"/>
      <c r="BM121" s="1264"/>
      <c r="BN121" s="428"/>
      <c r="BO121" s="1267"/>
      <c r="BP121" s="1262"/>
      <c r="BQ121" s="1262"/>
      <c r="BR121" s="1263"/>
      <c r="BS121" s="1264"/>
      <c r="BT121" s="428"/>
      <c r="BU121" s="1267"/>
      <c r="BV121" s="1262"/>
      <c r="BW121" s="1262"/>
      <c r="BX121" s="1263"/>
      <c r="BY121" s="1264"/>
      <c r="BZ121" s="428"/>
      <c r="CA121" s="1262"/>
      <c r="CB121" s="1262"/>
      <c r="CC121" s="1262"/>
      <c r="CD121" s="1263"/>
      <c r="CE121" s="1264"/>
      <c r="CF121" s="428"/>
      <c r="CG121" s="1262"/>
      <c r="CH121" s="1262"/>
      <c r="CI121" s="1262"/>
      <c r="CJ121" s="1263"/>
      <c r="CK121" s="1264"/>
      <c r="CL121" s="428"/>
      <c r="CM121" s="1262"/>
      <c r="CN121" s="1262"/>
      <c r="CO121" s="1262"/>
      <c r="CP121" s="1263"/>
      <c r="CQ121" s="1264"/>
      <c r="CR121" s="428"/>
      <c r="CS121" s="1262"/>
      <c r="CT121" s="1262"/>
      <c r="CU121" s="1262"/>
      <c r="CV121" s="1263"/>
      <c r="CW121" s="1264"/>
      <c r="CX121" s="428"/>
      <c r="CY121" s="1262"/>
      <c r="CZ121" s="1262"/>
      <c r="DA121" s="1262"/>
      <c r="DB121" s="1263"/>
      <c r="DC121" s="1264"/>
      <c r="DD121" s="428"/>
      <c r="DE121" s="1262"/>
      <c r="DF121" s="1262"/>
      <c r="DG121" s="1262"/>
      <c r="DH121" s="1263"/>
      <c r="DI121" s="1264"/>
      <c r="DJ121" s="353"/>
      <c r="DK121" s="353"/>
    </row>
    <row r="122" spans="1:115" s="355" customFormat="1" ht="11.25" customHeight="1">
      <c r="A122" s="1462" t="s">
        <v>473</v>
      </c>
      <c r="B122" s="353"/>
      <c r="C122" s="155"/>
      <c r="D122" s="157"/>
      <c r="E122" s="155"/>
      <c r="F122" s="157"/>
      <c r="G122" s="155"/>
      <c r="H122" s="157"/>
      <c r="I122" s="155"/>
      <c r="J122" s="157"/>
      <c r="K122" s="155"/>
      <c r="L122" s="157"/>
      <c r="M122" s="155"/>
      <c r="N122" s="157"/>
      <c r="O122" s="155"/>
      <c r="P122" s="157"/>
      <c r="Q122" s="155"/>
      <c r="R122" s="157"/>
      <c r="S122" s="331"/>
      <c r="T122" s="157"/>
      <c r="U122" s="157"/>
      <c r="V122" s="157"/>
      <c r="W122" s="155"/>
      <c r="X122" s="157"/>
      <c r="Y122" s="331"/>
      <c r="Z122" s="157"/>
      <c r="AA122" s="157"/>
      <c r="AB122" s="157"/>
      <c r="AC122" s="1189">
        <f>142.8</f>
        <v>142.80000000000001</v>
      </c>
      <c r="AD122" s="157"/>
      <c r="AE122" s="1267">
        <f>18.2+5.8</f>
        <v>24</v>
      </c>
      <c r="AF122" s="1266">
        <f>29.5+0.4</f>
        <v>29.9</v>
      </c>
      <c r="AG122" s="1266">
        <v>18</v>
      </c>
      <c r="AH122" s="1266">
        <f>116.2+6.2-AE122-AF122-AG122</f>
        <v>50.5</v>
      </c>
      <c r="AI122" s="155">
        <f>SUM(AE122:AH122)</f>
        <v>122.4</v>
      </c>
      <c r="AJ122" s="157"/>
      <c r="AK122" s="1267">
        <f>37.2-AL122</f>
        <v>16.400000000000002</v>
      </c>
      <c r="AL122" s="1266">
        <v>20.8</v>
      </c>
      <c r="AM122" s="1266">
        <v>27.2</v>
      </c>
      <c r="AN122" s="1266">
        <f>136.6-AK122-AL122-AM122</f>
        <v>72.199999999999989</v>
      </c>
      <c r="AO122" s="155">
        <f>SUM(AK122:AN122)</f>
        <v>136.6</v>
      </c>
      <c r="AP122" s="157"/>
      <c r="AQ122" s="1267">
        <v>30.1</v>
      </c>
      <c r="AR122" s="1266">
        <v>44.7</v>
      </c>
      <c r="AS122" s="1266">
        <v>49.6</v>
      </c>
      <c r="AT122" s="1266">
        <f>191.7-AQ122-AR122-AS122</f>
        <v>67.299999999999983</v>
      </c>
      <c r="AU122" s="155">
        <f>SUM(AQ122:AT122)</f>
        <v>191.7</v>
      </c>
      <c r="AV122" s="157"/>
      <c r="AW122" s="1267">
        <v>39.4</v>
      </c>
      <c r="AX122" s="1266">
        <v>51.6</v>
      </c>
      <c r="AY122" s="1266">
        <v>52.3</v>
      </c>
      <c r="AZ122" s="1266">
        <f>207.7-AW122-AX122-AY122</f>
        <v>64.399999999999991</v>
      </c>
      <c r="BA122" s="155">
        <f>SUM(AW122:AZ122)</f>
        <v>207.7</v>
      </c>
      <c r="BB122" s="157"/>
      <c r="BC122" s="1267">
        <v>43.7</v>
      </c>
      <c r="BD122" s="1266">
        <v>33.4</v>
      </c>
      <c r="BE122" s="1266">
        <v>56.8</v>
      </c>
      <c r="BF122" s="1605">
        <v>66.099999999999994</v>
      </c>
      <c r="BG122" s="155">
        <f>SUM(BC122:BF122)</f>
        <v>199.99999999999997</v>
      </c>
      <c r="BH122" s="428"/>
      <c r="BI122" s="1267">
        <v>21.6</v>
      </c>
      <c r="BJ122" s="1266">
        <f>49.1+0.3</f>
        <v>49.4</v>
      </c>
      <c r="BK122" s="1266">
        <f>47.8+1.8</f>
        <v>49.599999999999994</v>
      </c>
      <c r="BL122" s="1343">
        <f>BM122-SUM(BI122:BK122)</f>
        <v>75.599999999999994</v>
      </c>
      <c r="BM122" s="2129">
        <f>193+3.2</f>
        <v>196.2</v>
      </c>
      <c r="BN122" s="428"/>
      <c r="BO122" s="1267">
        <v>28.1</v>
      </c>
      <c r="BP122" s="1447">
        <f>48.3+0.2</f>
        <v>48.5</v>
      </c>
      <c r="BQ122" s="1447">
        <f>31.7+0.1</f>
        <v>31.8</v>
      </c>
      <c r="BR122" s="1343">
        <f>BS122-SUM(BO122:BQ122)</f>
        <v>70.40000000000002</v>
      </c>
      <c r="BS122" s="2129">
        <f>173.5+5.3</f>
        <v>178.8</v>
      </c>
      <c r="BT122" s="428"/>
      <c r="BU122" s="1267">
        <f>13.7+20.6</f>
        <v>34.299999999999997</v>
      </c>
      <c r="BV122" s="1447">
        <f>28.7+11+0.3</f>
        <v>40</v>
      </c>
      <c r="BW122" s="1447">
        <f>25.8+23.9+0.3</f>
        <v>50</v>
      </c>
      <c r="BX122" s="1343">
        <f>BY122-SUM(BU122:BW122)</f>
        <v>78.399999999999991</v>
      </c>
      <c r="BY122" s="2129">
        <f>133.2+68.4+1.1</f>
        <v>202.7</v>
      </c>
      <c r="BZ122" s="428"/>
      <c r="CA122" s="1905">
        <f>33+13.3</f>
        <v>46.3</v>
      </c>
      <c r="CB122" s="1447">
        <f>18.9+19.6</f>
        <v>38.5</v>
      </c>
      <c r="CC122" s="1447">
        <f>58.6-CC128-CC133</f>
        <v>56</v>
      </c>
      <c r="CD122" s="1343">
        <f>CE122-SUM(CA122:CC122)</f>
        <v>88.800000000000011</v>
      </c>
      <c r="CE122" s="2033">
        <f>237.9-CE128-CE133</f>
        <v>229.60000000000002</v>
      </c>
      <c r="CF122" s="428"/>
      <c r="CG122" s="1905">
        <f>49.2-CG128-CG133</f>
        <v>49.7</v>
      </c>
      <c r="CH122" s="1447">
        <f>51.7-CH128-CH133</f>
        <v>48.7</v>
      </c>
      <c r="CI122" s="1447">
        <f>64.4-CI128-CI133</f>
        <v>57.600000000000009</v>
      </c>
      <c r="CJ122" s="1343">
        <f>CK122-SUM(CG122:CI122)</f>
        <v>52.599999999999994</v>
      </c>
      <c r="CK122" s="2033">
        <v>208.6</v>
      </c>
      <c r="CL122" s="428"/>
      <c r="CM122" s="1262"/>
      <c r="CN122" s="1262"/>
      <c r="CO122" s="1262"/>
      <c r="CP122" s="1263"/>
      <c r="CQ122" s="1264"/>
      <c r="CR122" s="428"/>
      <c r="CS122" s="1262"/>
      <c r="CT122" s="1262"/>
      <c r="CU122" s="1262"/>
      <c r="CV122" s="1263"/>
      <c r="CW122" s="1264"/>
      <c r="CX122" s="428"/>
      <c r="CY122" s="1262"/>
      <c r="CZ122" s="1262"/>
      <c r="DA122" s="1262"/>
      <c r="DB122" s="1263"/>
      <c r="DC122" s="1264"/>
      <c r="DD122" s="428"/>
      <c r="DE122" s="1262"/>
      <c r="DF122" s="1262"/>
      <c r="DG122" s="1262"/>
      <c r="DH122" s="1263"/>
      <c r="DI122" s="1264"/>
    </row>
    <row r="123" spans="1:115" s="355" customFormat="1" ht="11.25" customHeight="1">
      <c r="A123" s="1606" t="s">
        <v>243</v>
      </c>
      <c r="B123" s="353"/>
      <c r="C123" s="428"/>
      <c r="D123" s="353"/>
      <c r="E123" s="428"/>
      <c r="F123" s="353"/>
      <c r="G123" s="428"/>
      <c r="H123" s="353"/>
      <c r="I123" s="428"/>
      <c r="J123" s="353"/>
      <c r="K123" s="428"/>
      <c r="L123" s="353"/>
      <c r="M123" s="428"/>
      <c r="N123" s="353"/>
      <c r="O123" s="428"/>
      <c r="P123" s="353"/>
      <c r="Q123" s="428"/>
      <c r="R123" s="353"/>
      <c r="S123" s="418"/>
      <c r="T123" s="353"/>
      <c r="U123" s="353"/>
      <c r="V123" s="353"/>
      <c r="W123" s="428"/>
      <c r="X123" s="353"/>
      <c r="Y123" s="418"/>
      <c r="Z123" s="353"/>
      <c r="AA123" s="353"/>
      <c r="AB123" s="353"/>
      <c r="AC123" s="436">
        <f>AC122/AC53</f>
        <v>0.14267159556399242</v>
      </c>
      <c r="AD123" s="353"/>
      <c r="AE123" s="456">
        <f>AE122/AE53</f>
        <v>0.10412147505422992</v>
      </c>
      <c r="AF123" s="424">
        <f>AF122/AF53</f>
        <v>9.8679867986798675E-2</v>
      </c>
      <c r="AG123" s="424">
        <f>AG122/AG53</f>
        <v>7.6988879384088965E-2</v>
      </c>
      <c r="AH123" s="424">
        <f>AH122/AH53</f>
        <v>0.16460234680573665</v>
      </c>
      <c r="AI123" s="436">
        <f>AI122/AI53</f>
        <v>0.11395587003072341</v>
      </c>
      <c r="AJ123" s="353"/>
      <c r="AK123" s="456">
        <f>AK122/AK53</f>
        <v>7.3345259391771028E-2</v>
      </c>
      <c r="AL123" s="424">
        <f>AL122/AL53</f>
        <v>8.619975134687112E-2</v>
      </c>
      <c r="AM123" s="424">
        <f>AM122/AM53</f>
        <v>0.10810810810810811</v>
      </c>
      <c r="AN123" s="424">
        <f>AN122/AN53</f>
        <v>0.2085499711149624</v>
      </c>
      <c r="AO123" s="436">
        <f>AO122/AO53</f>
        <v>0.12854051002164296</v>
      </c>
      <c r="AP123" s="353"/>
      <c r="AQ123" s="456">
        <f>AQ122/AQ53</f>
        <v>0.11563580484056858</v>
      </c>
      <c r="AR123" s="424">
        <f>AR122/AR53</f>
        <v>0.15689715689715691</v>
      </c>
      <c r="AS123" s="424">
        <f>AS122/AS53</f>
        <v>0.17074010327022376</v>
      </c>
      <c r="AT123" s="424">
        <f>AT122/AT53</f>
        <v>0.17282999486389308</v>
      </c>
      <c r="AU123" s="436">
        <f>AU122/AU53</f>
        <v>0.15647702228389518</v>
      </c>
      <c r="AV123" s="353"/>
      <c r="AW123" s="456">
        <f>AW122/AW53</f>
        <v>0.11733174508636092</v>
      </c>
      <c r="AX123" s="424">
        <f>AX122/AX53</f>
        <v>0.13654405927494048</v>
      </c>
      <c r="AY123" s="424">
        <f>AY122/AY53</f>
        <v>0.13253928028383175</v>
      </c>
      <c r="AZ123" s="424">
        <f>AZ122/AZ53</f>
        <v>0.1444593988335576</v>
      </c>
      <c r="BA123" s="436">
        <f>BA122/BA53</f>
        <v>0.13364648349527056</v>
      </c>
      <c r="BB123" s="353"/>
      <c r="BC123" s="456">
        <f>BC122/BC53</f>
        <v>0.11557788944723618</v>
      </c>
      <c r="BD123" s="424">
        <f>BD122/BD53</f>
        <v>8.4130982367758178E-2</v>
      </c>
      <c r="BE123" s="424">
        <f>BE122/BE53</f>
        <v>0.13890926876987039</v>
      </c>
      <c r="BF123" s="424">
        <f>BF122/BF53</f>
        <v>0.13710848371707116</v>
      </c>
      <c r="BG123" s="436">
        <f>BG122/BG53</f>
        <v>0.12004081387671807</v>
      </c>
      <c r="BH123" s="428"/>
      <c r="BI123" s="456">
        <f>BI122/BI53</f>
        <v>5.896805896805897E-2</v>
      </c>
      <c r="BJ123" s="424">
        <f>BJ122/BJ53</f>
        <v>0.11717267552182162</v>
      </c>
      <c r="BK123" s="424">
        <f>BK122/BK53</f>
        <v>0.12079883097905503</v>
      </c>
      <c r="BL123" s="424">
        <f>BL122/BL53</f>
        <v>0.14794520547945203</v>
      </c>
      <c r="BM123" s="436">
        <f>BM122/BM53</f>
        <v>0.11477040070195962</v>
      </c>
      <c r="BN123" s="428"/>
      <c r="BO123" s="456">
        <f>BO122/BO53</f>
        <v>7.1337903021071347E-2</v>
      </c>
      <c r="BP123" s="424">
        <f>BP122/BP53</f>
        <v>0.11506524317912219</v>
      </c>
      <c r="BQ123" s="424">
        <f>BQ122/BQ53</f>
        <v>8.2942097026604072E-2</v>
      </c>
      <c r="BR123" s="424">
        <f>BR122/BR53</f>
        <v>0.14796132828919714</v>
      </c>
      <c r="BS123" s="436">
        <f>BS122/BS53</f>
        <v>0.10677176639197421</v>
      </c>
      <c r="BT123" s="428"/>
      <c r="BU123" s="456">
        <f>BU122/BU53</f>
        <v>0.10473282442748091</v>
      </c>
      <c r="BV123" s="424">
        <f>BV122/BV53</f>
        <v>0.10922992900054615</v>
      </c>
      <c r="BW123" s="424">
        <f>BW122/BW53</f>
        <v>0.13638843426077468</v>
      </c>
      <c r="BX123" s="424">
        <f>BX122/BX53</f>
        <v>0.17854008131498592</v>
      </c>
      <c r="BY123" s="436">
        <f>BY122/BY53</f>
        <v>0.1351858679451251</v>
      </c>
      <c r="BZ123" s="428"/>
      <c r="CA123" s="1906">
        <f>CA122/CA53</f>
        <v>0.13213470319634704</v>
      </c>
      <c r="CB123" s="424">
        <f>CB122/CB53</f>
        <v>0.11136823835695689</v>
      </c>
      <c r="CC123" s="424">
        <f>CC122/CC53</f>
        <v>0.15491009681881052</v>
      </c>
      <c r="CD123" s="424">
        <f>CD122/CD53</f>
        <v>0.20413793103448286</v>
      </c>
      <c r="CE123" s="436">
        <f>CE122/CE53</f>
        <v>0.1538255393273483</v>
      </c>
      <c r="CF123" s="428"/>
      <c r="CG123" s="1906">
        <f>CG122/CG53</f>
        <v>0.14347575057736722</v>
      </c>
      <c r="CH123" s="424">
        <f>CH122/CH53</f>
        <v>0.13434482758620692</v>
      </c>
      <c r="CI123" s="424">
        <f>CI122/CI53</f>
        <v>0.14746543778801846</v>
      </c>
      <c r="CJ123" s="424">
        <f>CJ122/CJ53</f>
        <v>0.10863017069807428</v>
      </c>
      <c r="CK123" s="436">
        <f>CK122/CK53</f>
        <v>0.13171589219509586</v>
      </c>
      <c r="CL123" s="428"/>
      <c r="CM123" s="424"/>
      <c r="CN123" s="424"/>
      <c r="CO123" s="424"/>
      <c r="CP123" s="424"/>
      <c r="CQ123" s="436"/>
      <c r="CR123" s="428"/>
      <c r="CS123" s="424"/>
      <c r="CT123" s="424"/>
      <c r="CU123" s="424"/>
      <c r="CV123" s="424"/>
      <c r="CW123" s="436"/>
      <c r="CX123" s="428"/>
      <c r="CY123" s="424"/>
      <c r="CZ123" s="424"/>
      <c r="DA123" s="424"/>
      <c r="DB123" s="424"/>
      <c r="DC123" s="436"/>
      <c r="DD123" s="428"/>
      <c r="DE123" s="424"/>
      <c r="DF123" s="424"/>
      <c r="DG123" s="424"/>
      <c r="DH123" s="424"/>
      <c r="DI123" s="436"/>
    </row>
    <row r="124" spans="1:115" s="355" customFormat="1" ht="11.25" customHeight="1">
      <c r="A124" s="1606" t="s">
        <v>244</v>
      </c>
      <c r="B124" s="353"/>
      <c r="C124" s="428"/>
      <c r="D124" s="353"/>
      <c r="E124" s="428"/>
      <c r="F124" s="353"/>
      <c r="G124" s="428"/>
      <c r="H124" s="353"/>
      <c r="I124" s="428"/>
      <c r="J124" s="353"/>
      <c r="K124" s="428"/>
      <c r="L124" s="353"/>
      <c r="M124" s="428"/>
      <c r="N124" s="353"/>
      <c r="O124" s="428"/>
      <c r="P124" s="353"/>
      <c r="Q124" s="428"/>
      <c r="R124" s="353"/>
      <c r="S124" s="418"/>
      <c r="T124" s="353"/>
      <c r="U124" s="353"/>
      <c r="V124" s="353"/>
      <c r="W124" s="428"/>
      <c r="X124" s="353"/>
      <c r="Y124" s="418"/>
      <c r="Z124" s="353"/>
      <c r="AA124" s="353"/>
      <c r="AB124" s="353"/>
      <c r="AC124" s="428"/>
      <c r="AD124" s="353"/>
      <c r="AE124" s="456"/>
      <c r="AF124" s="424"/>
      <c r="AG124" s="424"/>
      <c r="AH124" s="424"/>
      <c r="AI124" s="436">
        <f>(AI122-AC122)/(AI53-AC53)</f>
        <v>-0.2786885245901643</v>
      </c>
      <c r="AJ124" s="353"/>
      <c r="AK124" s="456">
        <f>(AK122-AE122)/(AK53-AE53)</f>
        <v>1.1014492753623131</v>
      </c>
      <c r="AL124" s="424">
        <f>(AL122-AF122)/(AL53-AF53)</f>
        <v>0.14748784440842788</v>
      </c>
      <c r="AM124" s="424">
        <f>(AM122-AG122)/(AM53-AG53)</f>
        <v>0.51685393258427015</v>
      </c>
      <c r="AN124" s="424">
        <f>(AN122-AH122)/(AN53-AH53)</f>
        <v>0.55076142131979544</v>
      </c>
      <c r="AO124" s="436">
        <f>(AO122-AI122)/(AO53-AI53)</f>
        <v>-1.2456140350877332</v>
      </c>
      <c r="AP124" s="353"/>
      <c r="AQ124" s="456">
        <f>(AQ122-AK122)/(AQ53-AK53)</f>
        <v>0.37329700272479543</v>
      </c>
      <c r="AR124" s="424">
        <f>(AR122-AL122)/(AR53-AL53)</f>
        <v>0.54816513761467933</v>
      </c>
      <c r="AS124" s="424">
        <f>(AS122-AM122)/(AS53-AM53)</f>
        <v>0.57583547557840609</v>
      </c>
      <c r="AT124" s="424">
        <f>(AT122-AN122)/(AT53-AN53)</f>
        <v>-0.11342592592592594</v>
      </c>
      <c r="AU124" s="436">
        <f>(AU122-AO122)/(AU53-AO53)</f>
        <v>0.33928571428571408</v>
      </c>
      <c r="AV124" s="353"/>
      <c r="AW124" s="456">
        <f>(AW122-AQ122)/(AW53-AQ53)</f>
        <v>0.12317880794701982</v>
      </c>
      <c r="AX124" s="424">
        <f>(AX122-AR122)/(AX53-AR53)</f>
        <v>7.4193548387096755E-2</v>
      </c>
      <c r="AY124" s="424">
        <f>(AY122-AS122)/(AY53-AS53)</f>
        <v>2.5936599423631093E-2</v>
      </c>
      <c r="AZ124" s="424">
        <f>(AZ122-AT122)/(AZ53-AT53)</f>
        <v>-5.1418439716311874E-2</v>
      </c>
      <c r="BA124" s="436">
        <f>(BA122-AU122)/(BA53-AU53)</f>
        <v>4.8632218844984802E-2</v>
      </c>
      <c r="BB124" s="353"/>
      <c r="BC124" s="456">
        <f>(BC122-AW122)/(BC53-AW53)</f>
        <v>0.10165484633569748</v>
      </c>
      <c r="BD124" s="424">
        <f>(BD122-AX122)/(BD53-AX53)</f>
        <v>-0.95287958115183147</v>
      </c>
      <c r="BE124" s="424">
        <f>(BE122-AY122)/(BE53-AY53)</f>
        <v>0.31468531468531441</v>
      </c>
      <c r="BF124" s="424">
        <f>(BF122-AZ122)/(BF53-AZ53)</f>
        <v>4.68319559228653E-2</v>
      </c>
      <c r="BG124" s="436">
        <f>(BG122-BA122)/(BG53-BA53)</f>
        <v>-6.8750000000000297E-2</v>
      </c>
      <c r="BH124" s="353"/>
      <c r="BI124" s="456">
        <f>(BI122-BC122)/(BI53-BC53)</f>
        <v>1.8728813559322017</v>
      </c>
      <c r="BJ124" s="424">
        <f>(BJ122-BD122)/(BJ53-BD53)</f>
        <v>0.65040650406504008</v>
      </c>
      <c r="BK124" s="424">
        <f>(BK122-BE122)/(BK53-BE53)</f>
        <v>-4.235294117646947</v>
      </c>
      <c r="BL124" s="424">
        <f>(BL122-BF122)/(BL53-BF53)</f>
        <v>0.3287197231833906</v>
      </c>
      <c r="BM124" s="436">
        <f>(BM122-BG122)/(BM53-BG53)</f>
        <v>-8.7557603686635371E-2</v>
      </c>
      <c r="BN124" s="428"/>
      <c r="BO124" s="456">
        <f>(BO122-BI122)/(BO53-BI53)</f>
        <v>0.23550724637681189</v>
      </c>
      <c r="BP124" s="424">
        <f>(BP122-BJ122)/(BP53-BJ53)</f>
        <v>8.9999999999979394</v>
      </c>
      <c r="BQ124" s="424">
        <f>(BQ122-BK122)/(BQ53-BK53)</f>
        <v>0.65441176470588103</v>
      </c>
      <c r="BR124" s="424">
        <f>(BR122-BL122)/(BR53-BL53)</f>
        <v>0.14772727272727251</v>
      </c>
      <c r="BS124" s="436">
        <f>(BS122-BM122)/(BS53-BM53)</f>
        <v>0.49856733524355429</v>
      </c>
      <c r="BT124" s="428"/>
      <c r="BU124" s="456">
        <f>(BU122-BO122)/(BU53-BO53)</f>
        <v>-9.3373493975903582E-2</v>
      </c>
      <c r="BV124" s="424">
        <f>(BV122-BP122)/(BV53-BP53)</f>
        <v>0.15370705244122962</v>
      </c>
      <c r="BW124" s="424">
        <f>(BW122-BQ122)/(BW53-BQ53)</f>
        <v>-1.0833333333333361</v>
      </c>
      <c r="BX124" s="424">
        <f>(BX122-BR122)/(BX53-BR53)</f>
        <v>-0.2180851746218351</v>
      </c>
      <c r="BY124" s="436">
        <f>(BY122-BS122)/(BY53-BS53)</f>
        <v>-0.13642882898762709</v>
      </c>
      <c r="BZ124" s="428"/>
      <c r="CA124" s="1906">
        <f>(CA122-BU122)/(CA53-BU53)</f>
        <v>0.52401746724890885</v>
      </c>
      <c r="CB124" s="424">
        <f>(CB122-BV122)/(CB53-BV53)</f>
        <v>7.3170731707317277E-2</v>
      </c>
      <c r="CC124" s="424">
        <f>(CC122-BW122)/(CC53-BW53)</f>
        <v>-1.1764705882352888</v>
      </c>
      <c r="CD124" s="424">
        <f>(CD122-BX122)/(CD53-BX53)</f>
        <v>-2.5260593082483003</v>
      </c>
      <c r="CE124" s="436">
        <f>(CE122-BY122)/(CE53-BY53)</f>
        <v>-3.945968311344247</v>
      </c>
      <c r="CF124" s="428"/>
      <c r="CG124" s="1906">
        <f>(CG122-CA122)/(CG53-CA53)</f>
        <v>-0.85000000000000142</v>
      </c>
      <c r="CH124" s="424">
        <f>(CH122-CB122)/(CH53-CB53)</f>
        <v>0.60714285714285898</v>
      </c>
      <c r="CI124" s="424">
        <f>(CI122-CC122)/(CI53-CC53)</f>
        <v>5.4982817869416167E-2</v>
      </c>
      <c r="CJ124" s="424">
        <f>(CJ122-CD122)/(CJ53-CD53)</f>
        <v>-0.73559737746696896</v>
      </c>
      <c r="CK124" s="436">
        <f>(CK122-CE122)/(CK53-CE53)</f>
        <v>-0.23048630641677093</v>
      </c>
      <c r="CL124" s="428"/>
      <c r="CM124" s="424"/>
      <c r="CN124" s="424"/>
      <c r="CO124" s="424"/>
      <c r="CP124" s="424"/>
      <c r="CQ124" s="436"/>
      <c r="CR124" s="428"/>
      <c r="CS124" s="424"/>
      <c r="CT124" s="424"/>
      <c r="CU124" s="424"/>
      <c r="CV124" s="424"/>
      <c r="CW124" s="436"/>
      <c r="CX124" s="428"/>
      <c r="CY124" s="424"/>
      <c r="CZ124" s="424"/>
      <c r="DA124" s="424"/>
      <c r="DB124" s="424"/>
      <c r="DC124" s="436"/>
      <c r="DD124" s="428"/>
      <c r="DE124" s="424"/>
      <c r="DF124" s="424"/>
      <c r="DG124" s="424"/>
      <c r="DH124" s="424"/>
      <c r="DI124" s="436"/>
    </row>
    <row r="125" spans="1:115" s="355" customFormat="1" ht="11.25" customHeight="1">
      <c r="A125" s="1608" t="s">
        <v>241</v>
      </c>
      <c r="B125" s="1882"/>
      <c r="C125" s="1883"/>
      <c r="D125" s="1882"/>
      <c r="E125" s="1883"/>
      <c r="F125" s="1882"/>
      <c r="G125" s="1883"/>
      <c r="H125" s="1882"/>
      <c r="I125" s="1883"/>
      <c r="J125" s="1882"/>
      <c r="K125" s="1883"/>
      <c r="L125" s="1882"/>
      <c r="M125" s="1883"/>
      <c r="N125" s="1882"/>
      <c r="O125" s="1883"/>
      <c r="P125" s="1882"/>
      <c r="Q125" s="1883"/>
      <c r="R125" s="1882"/>
      <c r="S125" s="2130"/>
      <c r="T125" s="1882"/>
      <c r="U125" s="1882"/>
      <c r="V125" s="1882"/>
      <c r="W125" s="1883"/>
      <c r="X125" s="1882"/>
      <c r="Y125" s="2130"/>
      <c r="Z125" s="1882"/>
      <c r="AA125" s="1882"/>
      <c r="AB125" s="1882"/>
      <c r="AC125" s="1883"/>
      <c r="AD125" s="1882"/>
      <c r="AE125" s="2130"/>
      <c r="AF125" s="1882"/>
      <c r="AG125" s="1882"/>
      <c r="AH125" s="1882"/>
      <c r="AI125" s="1883">
        <f>(AI123-AC123)*10000</f>
        <v>-287.15725533269011</v>
      </c>
      <c r="AJ125" s="1882"/>
      <c r="AK125" s="2130">
        <f>(AK123-AE123)*10000</f>
        <v>-307.7621566245889</v>
      </c>
      <c r="AL125" s="1882">
        <f>(AL123-AF123)*10000</f>
        <v>-124.80116639927554</v>
      </c>
      <c r="AM125" s="1882">
        <f>(AM123-AG123)*10000</f>
        <v>311.19228724019149</v>
      </c>
      <c r="AN125" s="1882">
        <f>(AN123-AH123)*10000</f>
        <v>439.47624309225745</v>
      </c>
      <c r="AO125" s="1883">
        <f>(AO123-AI123)*10000</f>
        <v>145.84639990919553</v>
      </c>
      <c r="AP125" s="1882"/>
      <c r="AQ125" s="2130">
        <f>(AQ123-AK123)*10000</f>
        <v>422.90545448797553</v>
      </c>
      <c r="AR125" s="1882">
        <f>(AR123-AL123)*10000</f>
        <v>706.97405550285794</v>
      </c>
      <c r="AS125" s="1882">
        <f>(AS123-AM123)*10000</f>
        <v>626.31995162115652</v>
      </c>
      <c r="AT125" s="1882">
        <f>(AT123-AN123)*10000</f>
        <v>-357.19976251069318</v>
      </c>
      <c r="AU125" s="1883">
        <f>(AU123-AO123)*10000</f>
        <v>279.36512262252216</v>
      </c>
      <c r="AV125" s="1882"/>
      <c r="AW125" s="2130">
        <f>(AW123-AQ123)*10000</f>
        <v>16.959402457923378</v>
      </c>
      <c r="AX125" s="1882">
        <f>(AX123-AR123)*10000</f>
        <v>-203.53097622216433</v>
      </c>
      <c r="AY125" s="1882">
        <f>(AY123-AS123)*10000</f>
        <v>-382.00822986392018</v>
      </c>
      <c r="AZ125" s="1882">
        <f>(AZ123-AT123)*10000</f>
        <v>-283.7059603033548</v>
      </c>
      <c r="BA125" s="1883">
        <f>(BA123-AU123)*10000</f>
        <v>-228.30538788624622</v>
      </c>
      <c r="BB125" s="1882"/>
      <c r="BC125" s="2130">
        <f>(BC123-AW123)*10000</f>
        <v>-17.538556391247379</v>
      </c>
      <c r="BD125" s="1882">
        <f>(BD123-AX123)*10000</f>
        <v>-524.13076907182301</v>
      </c>
      <c r="BE125" s="1882">
        <f>(BE123-AY123)*10000</f>
        <v>63.699884860386469</v>
      </c>
      <c r="BF125" s="1882">
        <f>(BF123-AZ123)*10000</f>
        <v>-73.509151164864448</v>
      </c>
      <c r="BG125" s="1883">
        <f>(BG123-BA123)*10000</f>
        <v>-136.05669618552488</v>
      </c>
      <c r="BH125" s="1882"/>
      <c r="BI125" s="2130">
        <f>(BI123-BC123)*10000</f>
        <v>-566.09830479177208</v>
      </c>
      <c r="BJ125" s="1882">
        <f>(BJ123-BD123)*10000</f>
        <v>330.41693154063438</v>
      </c>
      <c r="BK125" s="1882">
        <f>(BK123-BE123)*10000</f>
        <v>-181.10437790815365</v>
      </c>
      <c r="BL125" s="1882">
        <f>(BL123-BF123)*10000</f>
        <v>108.36721762380874</v>
      </c>
      <c r="BM125" s="1883">
        <f>(BM123-BG123)*10000</f>
        <v>-52.704131747584455</v>
      </c>
      <c r="BN125" s="1883"/>
      <c r="BO125" s="2130">
        <f>(BO123-BI123)*10000</f>
        <v>123.69844053012378</v>
      </c>
      <c r="BP125" s="1882">
        <f>(BP123-BJ123)*10000</f>
        <v>-21.074323426994308</v>
      </c>
      <c r="BQ125" s="1882">
        <f>(BQ123-BK123)*10000</f>
        <v>-378.56733952450958</v>
      </c>
      <c r="BR125" s="1882">
        <f>(BR123-BL123)*10000</f>
        <v>0.16122809745111599</v>
      </c>
      <c r="BS125" s="1883">
        <f>(BS123-BM123)*10000</f>
        <v>-79.986343099854167</v>
      </c>
      <c r="BT125" s="1883"/>
      <c r="BU125" s="2130">
        <f>(BU123-BO123)*10000</f>
        <v>333.94921406409566</v>
      </c>
      <c r="BV125" s="1882">
        <f>(BV123-BP123)*10000</f>
        <v>-58.353141785760371</v>
      </c>
      <c r="BW125" s="1882">
        <f>(BW123-BQ123)*10000</f>
        <v>534.46337234170608</v>
      </c>
      <c r="BX125" s="1882">
        <f>(BX123-BR123)*10000</f>
        <v>305.78753025788774</v>
      </c>
      <c r="BY125" s="1883">
        <f>(BY123-BS123)*10000</f>
        <v>284.14101553150897</v>
      </c>
      <c r="BZ125" s="428"/>
      <c r="CA125" s="2131">
        <f>(CA123-BU123)*10000</f>
        <v>274.01878768866129</v>
      </c>
      <c r="CB125" s="1882">
        <f>(CB123-BV123)*10000</f>
        <v>21.383093564107391</v>
      </c>
      <c r="CC125" s="1882">
        <f>(CC123-BW123)*10000</f>
        <v>185.21662558035834</v>
      </c>
      <c r="CD125" s="1882">
        <f>(CD123-BX123)*10000</f>
        <v>255.97849719496941</v>
      </c>
      <c r="CE125" s="1883">
        <f>(CE123-BY123)*10000</f>
        <v>186.39671382223193</v>
      </c>
      <c r="CF125" s="428"/>
      <c r="CG125" s="2131">
        <f>(CG123-CA123)*10000</f>
        <v>113.41047381020181</v>
      </c>
      <c r="CH125" s="1882">
        <f>(CH123-CB123)*10000</f>
        <v>229.76589229250027</v>
      </c>
      <c r="CI125" s="1882">
        <f>(CI123-CC123)*10000</f>
        <v>-74.446590307920559</v>
      </c>
      <c r="CJ125" s="1882">
        <f>(CJ123-CD123)*10000</f>
        <v>-955.0776033640858</v>
      </c>
      <c r="CK125" s="1883">
        <f>(CK123-CE123)*10000</f>
        <v>-221.09647132252442</v>
      </c>
      <c r="CL125" s="428"/>
      <c r="CM125" s="1268"/>
      <c r="CN125" s="1268"/>
      <c r="CO125" s="1268"/>
      <c r="CP125" s="1268"/>
      <c r="CQ125" s="1269"/>
      <c r="CR125" s="428"/>
      <c r="CS125" s="1268"/>
      <c r="CT125" s="1268"/>
      <c r="CU125" s="1268"/>
      <c r="CV125" s="1268"/>
      <c r="CW125" s="1269"/>
      <c r="CX125" s="428"/>
      <c r="CY125" s="1268"/>
      <c r="CZ125" s="1268"/>
      <c r="DA125" s="1268"/>
      <c r="DB125" s="1268"/>
      <c r="DC125" s="1269"/>
      <c r="DD125" s="428"/>
      <c r="DE125" s="1268"/>
      <c r="DF125" s="1268"/>
      <c r="DG125" s="1268"/>
      <c r="DH125" s="1268"/>
      <c r="DI125" s="1269"/>
    </row>
    <row r="126" spans="1:115" s="355" customFormat="1" ht="11.25" customHeight="1">
      <c r="A126" s="1608" t="s">
        <v>242</v>
      </c>
      <c r="B126" s="353"/>
      <c r="C126" s="428"/>
      <c r="D126" s="353"/>
      <c r="E126" s="428"/>
      <c r="F126" s="353"/>
      <c r="G126" s="428"/>
      <c r="H126" s="353"/>
      <c r="I126" s="428"/>
      <c r="J126" s="353"/>
      <c r="K126" s="428"/>
      <c r="L126" s="353"/>
      <c r="M126" s="428"/>
      <c r="N126" s="353"/>
      <c r="O126" s="428"/>
      <c r="P126" s="353"/>
      <c r="Q126" s="428"/>
      <c r="R126" s="353"/>
      <c r="S126" s="418"/>
      <c r="T126" s="353"/>
      <c r="U126" s="353"/>
      <c r="V126" s="353"/>
      <c r="W126" s="428"/>
      <c r="X126" s="353"/>
      <c r="Y126" s="418"/>
      <c r="Z126" s="353"/>
      <c r="AA126" s="353"/>
      <c r="AB126" s="353"/>
      <c r="AC126" s="428"/>
      <c r="AD126" s="353"/>
      <c r="AE126" s="456"/>
      <c r="AF126" s="424"/>
      <c r="AG126" s="424"/>
      <c r="AH126" s="424"/>
      <c r="AI126" s="436">
        <f>AI122/AC122-1</f>
        <v>-0.1428571428571429</v>
      </c>
      <c r="AJ126" s="353"/>
      <c r="AK126" s="456">
        <f>AK122/AE122-1</f>
        <v>-0.31666666666666654</v>
      </c>
      <c r="AL126" s="424">
        <f>AL122/AF122-1</f>
        <v>-0.30434782608695643</v>
      </c>
      <c r="AM126" s="424">
        <f>AM122/AG122-1</f>
        <v>0.51111111111111107</v>
      </c>
      <c r="AN126" s="424">
        <f>AN122/AH122-1</f>
        <v>0.42970297029702942</v>
      </c>
      <c r="AO126" s="436">
        <f>AO122/AI122-1</f>
        <v>0.11601307189542465</v>
      </c>
      <c r="AP126" s="353"/>
      <c r="AQ126" s="456">
        <f>AQ122/AK122-1</f>
        <v>0.83536585365853644</v>
      </c>
      <c r="AR126" s="424">
        <f>AR122/AL122-1</f>
        <v>1.1490384615384617</v>
      </c>
      <c r="AS126" s="424">
        <f>AS122/AM122-1</f>
        <v>0.82352941176470607</v>
      </c>
      <c r="AT126" s="424">
        <f>AT122/AN122-1</f>
        <v>-6.7867036011080462E-2</v>
      </c>
      <c r="AU126" s="436">
        <f>AU122/AO122-1</f>
        <v>0.40336749633967783</v>
      </c>
      <c r="AV126" s="353"/>
      <c r="AW126" s="456">
        <f>AW122/AQ122-1</f>
        <v>0.308970099667774</v>
      </c>
      <c r="AX126" s="424">
        <f>AX122/AR122-1</f>
        <v>0.15436241610738244</v>
      </c>
      <c r="AY126" s="424">
        <f>AY122/AS122-1</f>
        <v>5.4435483870967749E-2</v>
      </c>
      <c r="AZ126" s="424">
        <f>AZ122/AT122-1</f>
        <v>-4.3090638930163294E-2</v>
      </c>
      <c r="BA126" s="436">
        <f>BA122/AU122-1</f>
        <v>8.3463745435576442E-2</v>
      </c>
      <c r="BB126" s="353"/>
      <c r="BC126" s="456">
        <f>BC122/AW122-1</f>
        <v>0.1091370558375635</v>
      </c>
      <c r="BD126" s="424">
        <f>BD122/AX122-1</f>
        <v>-0.35271317829457371</v>
      </c>
      <c r="BE126" s="424">
        <f>BE122/AY122-1</f>
        <v>8.6042065009560131E-2</v>
      </c>
      <c r="BF126" s="424">
        <f>BF122/AZ122-1</f>
        <v>2.6397515527950333E-2</v>
      </c>
      <c r="BG126" s="436">
        <f>BG122/BA122-1</f>
        <v>-3.7072701011073739E-2</v>
      </c>
      <c r="BH126" s="353"/>
      <c r="BI126" s="456">
        <f>BI122/BC122-1</f>
        <v>-0.50572082379862704</v>
      </c>
      <c r="BJ126" s="424">
        <f>BJ122/BD122-1</f>
        <v>0.47904191616766467</v>
      </c>
      <c r="BK126" s="424">
        <f>BK122/BE122-1</f>
        <v>-0.12676056338028174</v>
      </c>
      <c r="BL126" s="424">
        <f>BL122/BF122-1</f>
        <v>0.14372163388804848</v>
      </c>
      <c r="BM126" s="436">
        <f>BM122/BG122-1</f>
        <v>-1.8999999999999906E-2</v>
      </c>
      <c r="BN126" s="428"/>
      <c r="BO126" s="456">
        <f>BO122/BI122-1</f>
        <v>0.30092592592592582</v>
      </c>
      <c r="BP126" s="424">
        <f>BP122/BJ122-1</f>
        <v>-1.8218623481781382E-2</v>
      </c>
      <c r="BQ126" s="424">
        <f>BQ122/BK122-1</f>
        <v>-0.35887096774193539</v>
      </c>
      <c r="BR126" s="424">
        <f>BR122/BL122-1</f>
        <v>-6.8783068783068502E-2</v>
      </c>
      <c r="BS126" s="436">
        <f>BS122/BM122-1</f>
        <v>-8.8685015290519753E-2</v>
      </c>
      <c r="BT126" s="428"/>
      <c r="BU126" s="456">
        <f>BU122/BO122-1</f>
        <v>0.22064056939501753</v>
      </c>
      <c r="BV126" s="424">
        <f>BV122/BP122-1</f>
        <v>-0.17525773195876293</v>
      </c>
      <c r="BW126" s="424">
        <f>BW122/BQ122-1</f>
        <v>0.57232704402515711</v>
      </c>
      <c r="BX126" s="424">
        <f>BX122/BR122-1</f>
        <v>0.11363636363636309</v>
      </c>
      <c r="BY126" s="436">
        <f>BY122/BS122-1</f>
        <v>0.13366890380313179</v>
      </c>
      <c r="BZ126" s="428"/>
      <c r="CA126" s="1906">
        <f>CA122/BU122-1</f>
        <v>0.34985422740524785</v>
      </c>
      <c r="CB126" s="424">
        <f>CB122/BV122-1</f>
        <v>-3.7499999999999978E-2</v>
      </c>
      <c r="CC126" s="424">
        <f>CC122/BW122-1</f>
        <v>0.12000000000000011</v>
      </c>
      <c r="CD126" s="424">
        <f>CD122/BX122-1</f>
        <v>0.13265306122449005</v>
      </c>
      <c r="CE126" s="436">
        <f>CE122/BY122-1</f>
        <v>0.13270843611248173</v>
      </c>
      <c r="CF126" s="428"/>
      <c r="CG126" s="1906">
        <f>CG122/CA122-1</f>
        <v>7.3434125269978612E-2</v>
      </c>
      <c r="CH126" s="424">
        <f>CH122/CB122-1</f>
        <v>0.26493506493506502</v>
      </c>
      <c r="CI126" s="424">
        <f>CI122/CC122-1</f>
        <v>2.8571428571428692E-2</v>
      </c>
      <c r="CJ126" s="424">
        <f>CJ122/CD122-1</f>
        <v>-0.40765765765765782</v>
      </c>
      <c r="CK126" s="436">
        <f>CK122/CE122-1</f>
        <v>-9.1463414634146423E-2</v>
      </c>
      <c r="CL126" s="428"/>
      <c r="CM126" s="424"/>
      <c r="CN126" s="424"/>
      <c r="CO126" s="424"/>
      <c r="CP126" s="424"/>
      <c r="CQ126" s="436"/>
      <c r="CR126" s="428"/>
      <c r="CS126" s="424"/>
      <c r="CT126" s="424"/>
      <c r="CU126" s="424"/>
      <c r="CV126" s="424"/>
      <c r="CW126" s="436"/>
      <c r="CX126" s="428"/>
      <c r="CY126" s="424"/>
      <c r="CZ126" s="424"/>
      <c r="DA126" s="424"/>
      <c r="DB126" s="424"/>
      <c r="DC126" s="436"/>
      <c r="DD126" s="428"/>
      <c r="DE126" s="424"/>
      <c r="DF126" s="424"/>
      <c r="DG126" s="424"/>
      <c r="DH126" s="424"/>
      <c r="DI126" s="436"/>
    </row>
    <row r="127" spans="1:115" s="355" customFormat="1" ht="11.25" customHeight="1">
      <c r="A127" s="418"/>
      <c r="B127" s="353"/>
      <c r="C127" s="428"/>
      <c r="D127" s="353"/>
      <c r="E127" s="428"/>
      <c r="F127" s="353"/>
      <c r="G127" s="428"/>
      <c r="H127" s="353"/>
      <c r="I127" s="428"/>
      <c r="J127" s="353"/>
      <c r="K127" s="428"/>
      <c r="L127" s="353"/>
      <c r="M127" s="428"/>
      <c r="N127" s="353"/>
      <c r="O127" s="428"/>
      <c r="P127" s="353"/>
      <c r="Q127" s="428"/>
      <c r="R127" s="353"/>
      <c r="S127" s="418"/>
      <c r="T127" s="353"/>
      <c r="U127" s="353"/>
      <c r="V127" s="353"/>
      <c r="W127" s="428"/>
      <c r="X127" s="353"/>
      <c r="Y127" s="418"/>
      <c r="Z127" s="353"/>
      <c r="AA127" s="353"/>
      <c r="AB127" s="353"/>
      <c r="AC127" s="428"/>
      <c r="AD127" s="353"/>
      <c r="AE127" s="418"/>
      <c r="AF127" s="353"/>
      <c r="AG127" s="353"/>
      <c r="AH127" s="353"/>
      <c r="AI127" s="428"/>
      <c r="AJ127" s="353"/>
      <c r="AK127" s="418"/>
      <c r="AL127" s="353"/>
      <c r="AM127" s="353"/>
      <c r="AN127" s="353"/>
      <c r="AO127" s="428"/>
      <c r="AP127" s="353"/>
      <c r="AQ127" s="418"/>
      <c r="AR127" s="353"/>
      <c r="AS127" s="353"/>
      <c r="AT127" s="353"/>
      <c r="AU127" s="428"/>
      <c r="AV127" s="353"/>
      <c r="AW127" s="418"/>
      <c r="AX127" s="353"/>
      <c r="AY127" s="353"/>
      <c r="AZ127" s="353"/>
      <c r="BA127" s="428"/>
      <c r="BB127" s="353"/>
      <c r="BC127" s="418"/>
      <c r="BD127" s="353"/>
      <c r="BE127" s="353"/>
      <c r="BF127" s="1265"/>
      <c r="BG127" s="428"/>
      <c r="BH127" s="353"/>
      <c r="BI127" s="418"/>
      <c r="BJ127" s="353"/>
      <c r="BK127" s="353"/>
      <c r="BL127" s="1265"/>
      <c r="BM127" s="428"/>
      <c r="BN127" s="428"/>
      <c r="BO127" s="418"/>
      <c r="BP127" s="353"/>
      <c r="BQ127" s="353"/>
      <c r="BR127" s="1265"/>
      <c r="BS127" s="428"/>
      <c r="BT127" s="428"/>
      <c r="BU127" s="418"/>
      <c r="BV127" s="353"/>
      <c r="BW127" s="353"/>
      <c r="BX127" s="353"/>
      <c r="BY127" s="428"/>
      <c r="BZ127" s="428"/>
      <c r="CA127" s="585"/>
      <c r="CB127" s="353"/>
      <c r="CC127" s="353"/>
      <c r="CD127" s="353"/>
      <c r="CE127" s="428"/>
      <c r="CF127" s="428"/>
      <c r="CG127" s="353"/>
      <c r="CH127" s="353"/>
      <c r="CI127" s="353"/>
      <c r="CJ127" s="353"/>
      <c r="CK127" s="428"/>
      <c r="CL127" s="428"/>
      <c r="CM127" s="353"/>
      <c r="CN127" s="353"/>
      <c r="CO127" s="353"/>
      <c r="CP127" s="1265"/>
      <c r="CQ127" s="428"/>
      <c r="CR127" s="428"/>
      <c r="CS127" s="353"/>
      <c r="CT127" s="353"/>
      <c r="CU127" s="353"/>
      <c r="CV127" s="1265"/>
      <c r="CW127" s="428"/>
      <c r="CX127" s="428"/>
      <c r="CY127" s="353"/>
      <c r="CZ127" s="353"/>
      <c r="DA127" s="353"/>
      <c r="DB127" s="1265"/>
      <c r="DC127" s="428"/>
      <c r="DD127" s="428"/>
      <c r="DE127" s="353"/>
      <c r="DF127" s="353"/>
      <c r="DG127" s="353"/>
      <c r="DH127" s="1265"/>
      <c r="DI127" s="428"/>
    </row>
    <row r="128" spans="1:115" s="355" customFormat="1" ht="11.25" customHeight="1">
      <c r="A128" s="1462" t="s">
        <v>470</v>
      </c>
      <c r="B128" s="353"/>
      <c r="C128" s="155"/>
      <c r="D128" s="157"/>
      <c r="E128" s="155"/>
      <c r="F128" s="157"/>
      <c r="G128" s="155"/>
      <c r="H128" s="157"/>
      <c r="I128" s="155"/>
      <c r="J128" s="157"/>
      <c r="K128" s="155"/>
      <c r="L128" s="157"/>
      <c r="M128" s="155"/>
      <c r="N128" s="157"/>
      <c r="O128" s="155"/>
      <c r="P128" s="157"/>
      <c r="Q128" s="155"/>
      <c r="R128" s="157"/>
      <c r="S128" s="331"/>
      <c r="T128" s="157"/>
      <c r="U128" s="157"/>
      <c r="V128" s="157"/>
      <c r="W128" s="155"/>
      <c r="X128" s="157"/>
      <c r="Y128" s="331"/>
      <c r="Z128" s="157"/>
      <c r="AA128" s="157"/>
      <c r="AB128" s="157"/>
      <c r="AC128" s="1189">
        <v>-5.0999999999999996</v>
      </c>
      <c r="AD128" s="157"/>
      <c r="AE128" s="1267">
        <v>-2.4</v>
      </c>
      <c r="AF128" s="1266">
        <v>-1.3</v>
      </c>
      <c r="AG128" s="1266">
        <v>-2.9</v>
      </c>
      <c r="AH128" s="1266">
        <f>-8.2-AE128-AF128-AG128</f>
        <v>-1.5999999999999992</v>
      </c>
      <c r="AI128" s="155">
        <f>SUM(AE128:AH128)</f>
        <v>-8.1999999999999993</v>
      </c>
      <c r="AJ128" s="157"/>
      <c r="AK128" s="1267">
        <f>-3.5-AL128</f>
        <v>-1.9</v>
      </c>
      <c r="AL128" s="1266">
        <v>-1.6</v>
      </c>
      <c r="AM128" s="1266">
        <v>-1.1000000000000001</v>
      </c>
      <c r="AN128" s="1266">
        <f>-5.7-AK128-AL128-AM128</f>
        <v>-1.1000000000000001</v>
      </c>
      <c r="AO128" s="155">
        <f>SUM(AK128:AN128)</f>
        <v>-5.6999999999999993</v>
      </c>
      <c r="AP128" s="157"/>
      <c r="AQ128" s="1267">
        <v>-0.3</v>
      </c>
      <c r="AR128" s="1266">
        <v>-1.5</v>
      </c>
      <c r="AS128" s="1266">
        <v>-0.6</v>
      </c>
      <c r="AT128" s="1266">
        <f>-1.9-AQ128-AR128-AS128</f>
        <v>0.50000000000000011</v>
      </c>
      <c r="AU128" s="155">
        <f>SUM(AQ128:AT128)</f>
        <v>-1.9</v>
      </c>
      <c r="AV128" s="157"/>
      <c r="AW128" s="1267">
        <v>-0.5</v>
      </c>
      <c r="AX128" s="1266">
        <v>0.6</v>
      </c>
      <c r="AY128" s="1266">
        <v>0.4</v>
      </c>
      <c r="AZ128" s="1266">
        <f>0.1-AW128-AX128-AY128</f>
        <v>-0.4</v>
      </c>
      <c r="BA128" s="155">
        <f>SUM(AW128:AZ128)</f>
        <v>9.9999999999999978E-2</v>
      </c>
      <c r="BB128" s="157"/>
      <c r="BC128" s="1267">
        <v>0.3</v>
      </c>
      <c r="BD128" s="1266">
        <v>0</v>
      </c>
      <c r="BE128" s="1266">
        <v>14.7</v>
      </c>
      <c r="BF128" s="1605">
        <v>1.6</v>
      </c>
      <c r="BG128" s="155">
        <f>SUM(BC128:BF128)</f>
        <v>16.600000000000001</v>
      </c>
      <c r="BH128" s="428"/>
      <c r="BI128" s="1267">
        <v>1.3</v>
      </c>
      <c r="BJ128" s="1266">
        <v>6.6</v>
      </c>
      <c r="BK128" s="1266">
        <v>-0.8</v>
      </c>
      <c r="BL128" s="1343">
        <f>BM128-SUM(BI128:BK128)</f>
        <v>2.4000000000000004</v>
      </c>
      <c r="BM128" s="2129">
        <v>9.5</v>
      </c>
      <c r="BN128" s="428"/>
      <c r="BO128" s="1267">
        <v>2.8</v>
      </c>
      <c r="BP128" s="1266">
        <v>4.4000000000000004</v>
      </c>
      <c r="BQ128" s="1266">
        <v>3.9</v>
      </c>
      <c r="BR128" s="1343">
        <f>BS128-SUM(BO128:BQ128)</f>
        <v>-7.6999999999999993</v>
      </c>
      <c r="BS128" s="2129">
        <v>3.4</v>
      </c>
      <c r="BT128" s="428"/>
      <c r="BU128" s="1267">
        <v>1</v>
      </c>
      <c r="BV128" s="1266">
        <v>2.6</v>
      </c>
      <c r="BW128" s="1266">
        <v>2.5</v>
      </c>
      <c r="BX128" s="1343">
        <f>BY128-SUM(BU128:BW128)</f>
        <v>5.4</v>
      </c>
      <c r="BY128" s="2132">
        <v>11.5</v>
      </c>
      <c r="BZ128" s="428"/>
      <c r="CA128" s="1905">
        <v>0</v>
      </c>
      <c r="CB128" s="1447">
        <v>1.4</v>
      </c>
      <c r="CC128" s="1447">
        <v>2.7</v>
      </c>
      <c r="CD128" s="1343">
        <f>CE128-SUM(CA128:CC128)</f>
        <v>2.5</v>
      </c>
      <c r="CE128" s="2132">
        <v>6.6</v>
      </c>
      <c r="CF128" s="428"/>
      <c r="CG128" s="1905">
        <v>-0.5</v>
      </c>
      <c r="CH128" s="1447">
        <v>3</v>
      </c>
      <c r="CI128" s="1447">
        <v>1.8</v>
      </c>
      <c r="CJ128" s="1343">
        <f>CK128-SUM(CG128:CI128)</f>
        <v>3.1000000000000005</v>
      </c>
      <c r="CK128" s="2132">
        <v>7.4</v>
      </c>
      <c r="CL128" s="428"/>
      <c r="CM128" s="1262"/>
      <c r="CN128" s="1262"/>
      <c r="CO128" s="1262"/>
      <c r="CP128" s="1263"/>
      <c r="CQ128" s="155"/>
      <c r="CR128" s="428"/>
      <c r="CS128" s="1262"/>
      <c r="CT128" s="1262"/>
      <c r="CU128" s="1262"/>
      <c r="CV128" s="1263"/>
      <c r="CW128" s="155"/>
      <c r="CX128" s="428"/>
      <c r="CY128" s="1262"/>
      <c r="CZ128" s="1262"/>
      <c r="DA128" s="1262"/>
      <c r="DB128" s="1263"/>
      <c r="DC128" s="155"/>
      <c r="DD128" s="428"/>
      <c r="DE128" s="1262"/>
      <c r="DF128" s="1262"/>
      <c r="DG128" s="1262"/>
      <c r="DH128" s="1263"/>
      <c r="DI128" s="155"/>
    </row>
    <row r="129" spans="1:113" s="355" customFormat="1" ht="11.25" customHeight="1">
      <c r="A129" s="1606" t="s">
        <v>243</v>
      </c>
      <c r="B129" s="353"/>
      <c r="C129" s="428"/>
      <c r="D129" s="353"/>
      <c r="E129" s="428"/>
      <c r="F129" s="353"/>
      <c r="G129" s="428"/>
      <c r="H129" s="353"/>
      <c r="I129" s="428"/>
      <c r="J129" s="353"/>
      <c r="K129" s="428"/>
      <c r="L129" s="353"/>
      <c r="M129" s="428"/>
      <c r="N129" s="353"/>
      <c r="O129" s="428"/>
      <c r="P129" s="353"/>
      <c r="Q129" s="428"/>
      <c r="R129" s="353"/>
      <c r="S129" s="418"/>
      <c r="T129" s="353"/>
      <c r="U129" s="353"/>
      <c r="V129" s="353"/>
      <c r="W129" s="428"/>
      <c r="X129" s="353"/>
      <c r="Y129" s="418"/>
      <c r="Z129" s="353"/>
      <c r="AA129" s="353"/>
      <c r="AB129" s="353"/>
      <c r="AC129" s="436">
        <f>AC128/AC65</f>
        <v>-0.13527851458885939</v>
      </c>
      <c r="AD129" s="353"/>
      <c r="AE129" s="456">
        <f>AE128/AE65</f>
        <v>-0.24242424242424246</v>
      </c>
      <c r="AF129" s="424">
        <f>AF128/AF65</f>
        <v>-0.10400000000000001</v>
      </c>
      <c r="AG129" s="424">
        <f>AG128/AG65</f>
        <v>-0.28431372549019607</v>
      </c>
      <c r="AH129" s="424">
        <f>AH128/AH65</f>
        <v>-0.14678899082568797</v>
      </c>
      <c r="AI129" s="436">
        <f>AI128/AI65</f>
        <v>-0.18850574712643678</v>
      </c>
      <c r="AJ129" s="353"/>
      <c r="AK129" s="456">
        <f>AK128/AK65</f>
        <v>-0.23456790123456789</v>
      </c>
      <c r="AL129" s="424">
        <f>AL128/AL65</f>
        <v>-0.11678832116788321</v>
      </c>
      <c r="AM129" s="424">
        <f>AM128/AM65</f>
        <v>-7.7464788732394374E-2</v>
      </c>
      <c r="AN129" s="424">
        <f>AN128/AN65</f>
        <v>-4.6218487394957979E-2</v>
      </c>
      <c r="AO129" s="436">
        <f>AO128/AO65</f>
        <v>-9.5317725752508339E-2</v>
      </c>
      <c r="AP129" s="353"/>
      <c r="AQ129" s="456">
        <f>AQ128/AQ65</f>
        <v>-1.4492753623188406E-2</v>
      </c>
      <c r="AR129" s="424">
        <f>AR128/AR65</f>
        <v>-8.2872928176795577E-2</v>
      </c>
      <c r="AS129" s="424">
        <f>AS128/AS65</f>
        <v>-2.6785714285714288E-2</v>
      </c>
      <c r="AT129" s="424">
        <f>AT128/AT65</f>
        <v>1.7064846416382257E-2</v>
      </c>
      <c r="AU129" s="436">
        <f>AU128/AU65</f>
        <v>-2.0994475138121547E-2</v>
      </c>
      <c r="AV129" s="353"/>
      <c r="AW129" s="456">
        <f>AW128/AW65</f>
        <v>-2.0833333333333332E-2</v>
      </c>
      <c r="AX129" s="424">
        <f>AX128/AX65</f>
        <v>2.1352313167259784E-2</v>
      </c>
      <c r="AY129" s="424">
        <f>AY128/AY65</f>
        <v>1.444043321299639E-2</v>
      </c>
      <c r="AZ129" s="424">
        <f>AZ128/AZ65</f>
        <v>-1.1904761904761904E-2</v>
      </c>
      <c r="BA129" s="436">
        <f>BA128/BA65</f>
        <v>8.8183421516754824E-4</v>
      </c>
      <c r="BB129" s="353"/>
      <c r="BC129" s="456">
        <f>BC128/BC65</f>
        <v>0.01</v>
      </c>
      <c r="BD129" s="424">
        <f>BD128/BD65</f>
        <v>0</v>
      </c>
      <c r="BE129" s="424">
        <f>BE128/BE65</f>
        <v>0.34669811320754718</v>
      </c>
      <c r="BF129" s="424">
        <f>BF128/BF65</f>
        <v>4.2328042328042319E-2</v>
      </c>
      <c r="BG129" s="436">
        <f>BG128/BG65</f>
        <v>0.12187958883994125</v>
      </c>
      <c r="BH129" s="428"/>
      <c r="BI129" s="456">
        <f>BI128/BI65</f>
        <v>4.1666666666666664E-2</v>
      </c>
      <c r="BJ129" s="424">
        <f>BJ128/BJ65</f>
        <v>0.17789757412398921</v>
      </c>
      <c r="BK129" s="424">
        <f>BK128/BK65</f>
        <v>-2.4615384615384615E-2</v>
      </c>
      <c r="BL129" s="424">
        <f>BL128/BL65</f>
        <v>5.1502145922746795E-2</v>
      </c>
      <c r="BM129" s="436">
        <f>BM128/BM65</f>
        <v>6.445047489823609E-2</v>
      </c>
      <c r="BN129" s="428"/>
      <c r="BO129" s="456">
        <f>BO128/BO65</f>
        <v>8.0459770114942514E-2</v>
      </c>
      <c r="BP129" s="424">
        <f>BP128/BP65</f>
        <v>0.10628019323671499</v>
      </c>
      <c r="BQ129" s="424">
        <f>BQ128/BQ65</f>
        <v>9.7500000000000003E-2</v>
      </c>
      <c r="BR129" s="424">
        <f>BR128/BR65</f>
        <v>-0.20980926430517707</v>
      </c>
      <c r="BS129" s="436">
        <f>BS128/BS65</f>
        <v>2.2236756049705687E-2</v>
      </c>
      <c r="BT129" s="428"/>
      <c r="BU129" s="456">
        <f>BU128/BU65</f>
        <v>3.6363636363636362E-2</v>
      </c>
      <c r="BV129" s="424">
        <f>BV128/BV65</f>
        <v>8.4415584415584416E-2</v>
      </c>
      <c r="BW129" s="424">
        <f>BW128/BW65</f>
        <v>7.598784194528875E-2</v>
      </c>
      <c r="BX129" s="1879">
        <f>BX128/BX65</f>
        <v>0.12705882352941178</v>
      </c>
      <c r="BY129" s="2133">
        <f>BY128/BY65</f>
        <v>8.6013462976813768E-2</v>
      </c>
      <c r="BZ129" s="428"/>
      <c r="CA129" s="1906">
        <f>CA128/CA65</f>
        <v>0</v>
      </c>
      <c r="CB129" s="424">
        <f>CB128/CB65</f>
        <v>4.912280701754386E-2</v>
      </c>
      <c r="CC129" s="424">
        <f>CC128/CC65</f>
        <v>7.6056338028169024E-2</v>
      </c>
      <c r="CD129" s="1879">
        <f>CD128/CD65</f>
        <v>6.4102564102564097E-2</v>
      </c>
      <c r="CE129" s="2133">
        <f>CE128/CE65</f>
        <v>5.0691244239631325E-2</v>
      </c>
      <c r="CF129" s="428"/>
      <c r="CG129" s="1906">
        <f>CG128/CG65</f>
        <v>-1.2468827930174562E-2</v>
      </c>
      <c r="CH129" s="424">
        <f>CH128/CH65</f>
        <v>5.5555555555555552E-2</v>
      </c>
      <c r="CI129" s="424">
        <f>CI128/CI65</f>
        <v>3.9045553145336226E-2</v>
      </c>
      <c r="CJ129" s="1879">
        <f>CJ128/CJ65</f>
        <v>6.0722400689493063E-2</v>
      </c>
      <c r="CK129" s="2133">
        <f>CK128/CK65</f>
        <v>3.8692405831050131E-2</v>
      </c>
      <c r="CL129" s="428"/>
      <c r="CM129" s="424"/>
      <c r="CN129" s="424"/>
      <c r="CO129" s="424"/>
      <c r="CP129" s="424"/>
      <c r="CQ129" s="436"/>
      <c r="CR129" s="428"/>
      <c r="CS129" s="424"/>
      <c r="CT129" s="424"/>
      <c r="CU129" s="424"/>
      <c r="CV129" s="424"/>
      <c r="CW129" s="436"/>
      <c r="CX129" s="428"/>
      <c r="CY129" s="424"/>
      <c r="CZ129" s="424"/>
      <c r="DA129" s="424"/>
      <c r="DB129" s="424"/>
      <c r="DC129" s="436"/>
      <c r="DD129" s="428"/>
      <c r="DE129" s="424"/>
      <c r="DF129" s="424"/>
      <c r="DG129" s="424"/>
      <c r="DH129" s="424"/>
      <c r="DI129" s="436"/>
    </row>
    <row r="130" spans="1:113" s="355" customFormat="1" ht="11.25" customHeight="1">
      <c r="A130" s="1606" t="s">
        <v>244</v>
      </c>
      <c r="B130" s="353"/>
      <c r="C130" s="428"/>
      <c r="D130" s="353"/>
      <c r="E130" s="428"/>
      <c r="F130" s="353"/>
      <c r="G130" s="428"/>
      <c r="H130" s="353"/>
      <c r="I130" s="428"/>
      <c r="J130" s="353"/>
      <c r="K130" s="428"/>
      <c r="L130" s="353"/>
      <c r="M130" s="428"/>
      <c r="N130" s="353"/>
      <c r="O130" s="428"/>
      <c r="P130" s="353"/>
      <c r="Q130" s="428"/>
      <c r="R130" s="353"/>
      <c r="S130" s="418"/>
      <c r="T130" s="353"/>
      <c r="U130" s="353"/>
      <c r="V130" s="353"/>
      <c r="W130" s="428"/>
      <c r="X130" s="353"/>
      <c r="Y130" s="418"/>
      <c r="Z130" s="353"/>
      <c r="AA130" s="353"/>
      <c r="AB130" s="353"/>
      <c r="AC130" s="428"/>
      <c r="AD130" s="353"/>
      <c r="AE130" s="456"/>
      <c r="AF130" s="424"/>
      <c r="AG130" s="424"/>
      <c r="AH130" s="424"/>
      <c r="AI130" s="436">
        <f>(AI128-AC128)/(AI65-AC65)</f>
        <v>-0.53448275862068984</v>
      </c>
      <c r="AJ130" s="353"/>
      <c r="AK130" s="456">
        <f>(AK128-AE128)/(AK65-AE65)</f>
        <v>-0.27777777777777796</v>
      </c>
      <c r="AL130" s="424">
        <f>(AL128-AF128)/(AL65-AF65)</f>
        <v>-0.24999999999999981</v>
      </c>
      <c r="AM130" s="424">
        <f>(AM128-AG128)/(AM65-AG65)</f>
        <v>0.44999999999999996</v>
      </c>
      <c r="AN130" s="424">
        <f>(AN128-AH128)/(AN65-AH65)</f>
        <v>3.8759689922480543E-2</v>
      </c>
      <c r="AO130" s="436">
        <f>(AO128-AI128)/(AO65-AI65)</f>
        <v>0.1533742331288343</v>
      </c>
      <c r="AP130" s="353"/>
      <c r="AQ130" s="456">
        <f>(AQ128-AK128)/(AQ65-AK65)</f>
        <v>0.12698412698412698</v>
      </c>
      <c r="AR130" s="424">
        <f>(AR128-AL128)/(AR65-AL65)</f>
        <v>2.2727272727272745E-2</v>
      </c>
      <c r="AS130" s="424">
        <f>(AS128-AM128)/(AS65-AM65)</f>
        <v>6.097560975609758E-2</v>
      </c>
      <c r="AT130" s="424">
        <f>(AT128-AN128)/(AT65-AN65)</f>
        <v>0.29090909090909112</v>
      </c>
      <c r="AU130" s="436">
        <f>(AU128-AO128)/(AU65-AO65)</f>
        <v>0.12377850162866449</v>
      </c>
      <c r="AV130" s="353"/>
      <c r="AW130" s="456">
        <f>(AW128-AQ128)/(AW65-AQ65)</f>
        <v>-6.0606060606060594E-2</v>
      </c>
      <c r="AX130" s="424">
        <f>(AX128-AR128)/(AX65-AR65)</f>
        <v>0.21000000000000002</v>
      </c>
      <c r="AY130" s="424">
        <f>(AY128-AS128)/(AY65-AS65)</f>
        <v>0.18867924528301885</v>
      </c>
      <c r="AZ130" s="424">
        <f>(AZ128-AT128)/(AZ65-AT65)</f>
        <v>-0.20930232558139533</v>
      </c>
      <c r="BA130" s="436">
        <f>(BA128-AU128)/(BA65-AU65)</f>
        <v>8.7336244541484698E-2</v>
      </c>
      <c r="BB130" s="353"/>
      <c r="BC130" s="456">
        <f>(BC128-AW128)/(BC65-AW65)</f>
        <v>0.13333333333333333</v>
      </c>
      <c r="BD130" s="424">
        <f>(BD128-AX128)/(BD65-AX65)</f>
        <v>0.28571428571428553</v>
      </c>
      <c r="BE130" s="424">
        <f>(BE128-AY128)/(BE65-AY65)</f>
        <v>0.97278911564625847</v>
      </c>
      <c r="BF130" s="424">
        <f>(BF128-AZ128)/(BF65-AZ65)</f>
        <v>0.47619047619047505</v>
      </c>
      <c r="BG130" s="436">
        <f>(BG128-BA128)/(BG65-BA65)</f>
        <v>0.72368421052631537</v>
      </c>
      <c r="BH130" s="353"/>
      <c r="BI130" s="456">
        <f>(BI128-BC128)/(BI65-BC65)</f>
        <v>0.83333333333333137</v>
      </c>
      <c r="BJ130" s="424">
        <f>(BJ128-BD128)/(BJ65-BD65)</f>
        <v>0.59459459459459452</v>
      </c>
      <c r="BK130" s="424">
        <f>(BK128-BE128)/(BK65-BE65)</f>
        <v>1.565656565656566</v>
      </c>
      <c r="BL130" s="424">
        <f>(BL128-BF128)/(BL65-BF65)</f>
        <v>9.090909090909112E-2</v>
      </c>
      <c r="BM130" s="436">
        <f>(BM128-BG128)/(BM65-BG65)</f>
        <v>-0.63392857142857217</v>
      </c>
      <c r="BN130" s="428"/>
      <c r="BO130" s="456">
        <f>(BO128-BI128)/(BO65-BI65)</f>
        <v>0.41666666666666646</v>
      </c>
      <c r="BP130" s="424">
        <f>(BP128-BJ128)/(BP65-BJ65)</f>
        <v>-0.51162790697674432</v>
      </c>
      <c r="BQ130" s="424">
        <f>(BQ128-BK128)/(BQ65-BK65)</f>
        <v>0.62666666666666671</v>
      </c>
      <c r="BR130" s="424">
        <f>(BR128-BL128)/(BR65-BL65)</f>
        <v>1.020202020202021</v>
      </c>
      <c r="BS130" s="436">
        <f>(BS128-BM128)/(BS65-BM65)</f>
        <v>-1.1090909090909091</v>
      </c>
      <c r="BT130" s="428"/>
      <c r="BU130" s="456">
        <f>(BU128-BO128)/(BU65-BO65)</f>
        <v>0.24657534246575324</v>
      </c>
      <c r="BV130" s="424">
        <f>(BV128-BP128)/(BV65-BP65)</f>
        <v>0.16981132075471703</v>
      </c>
      <c r="BW130" s="424">
        <f>(BW128-BQ128)/(BW65-BQ65)</f>
        <v>0.19718309859154926</v>
      </c>
      <c r="BX130" s="1879">
        <f>(BX128-BR128)/(BX65-BR65)</f>
        <v>2.2586206896551735</v>
      </c>
      <c r="BY130" s="2133">
        <f>(BY128-BS128)/(BY65-BS65)</f>
        <v>-0.42187499999999961</v>
      </c>
      <c r="BZ130" s="428"/>
      <c r="CA130" s="1906">
        <f>(CA128-BU128)/(CA65-BU65)</f>
        <v>3.3333333333333255</v>
      </c>
      <c r="CB130" s="424">
        <f>(CB128-BV128)/(CB65-BV65)</f>
        <v>0.52173913043478248</v>
      </c>
      <c r="CC130" s="424">
        <f>(CC128-BW128)/(CC65-BW65)</f>
        <v>7.6923076923076955E-2</v>
      </c>
      <c r="CD130" s="1879">
        <f>(CD128-BX128)/(CD65-BX65)</f>
        <v>0.8285714285714304</v>
      </c>
      <c r="CE130" s="2133">
        <f>(CE128-BY128)/(CE65-BY65)</f>
        <v>1.4000000000000115</v>
      </c>
      <c r="CF130" s="428"/>
      <c r="CG130" s="1906">
        <f>(CG128-CA128)/(CG65-CA65)</f>
        <v>-3.8759689922480613E-2</v>
      </c>
      <c r="CH130" s="424">
        <f>(CH128-CB128)/(CH65-CB65)</f>
        <v>6.2745098039215685E-2</v>
      </c>
      <c r="CI130" s="424">
        <f>(CI128-CC128)/(CI65-CC65)</f>
        <v>-8.4905660377358486E-2</v>
      </c>
      <c r="CJ130" s="1879">
        <f>(CJ128-CD128)/(CJ65-CD65)</f>
        <v>4.9784268171257896E-2</v>
      </c>
      <c r="CK130" s="2133">
        <f>(CK128-CE128)/(CK65-CE65)</f>
        <v>1.3103583830177568E-2</v>
      </c>
      <c r="CL130" s="428"/>
      <c r="CM130" s="424"/>
      <c r="CN130" s="424"/>
      <c r="CO130" s="424"/>
      <c r="CP130" s="424"/>
      <c r="CQ130" s="436"/>
      <c r="CR130" s="428"/>
      <c r="CS130" s="424"/>
      <c r="CT130" s="424"/>
      <c r="CU130" s="424"/>
      <c r="CV130" s="424"/>
      <c r="CW130" s="436"/>
      <c r="CX130" s="428"/>
      <c r="CY130" s="424"/>
      <c r="CZ130" s="424"/>
      <c r="DA130" s="424"/>
      <c r="DB130" s="424"/>
      <c r="DC130" s="436"/>
      <c r="DD130" s="428"/>
      <c r="DE130" s="424"/>
      <c r="DF130" s="424"/>
      <c r="DG130" s="424"/>
      <c r="DH130" s="424"/>
      <c r="DI130" s="436"/>
    </row>
    <row r="131" spans="1:113" s="355" customFormat="1" ht="11.25" customHeight="1">
      <c r="A131" s="1608" t="s">
        <v>241</v>
      </c>
      <c r="B131" s="1882"/>
      <c r="C131" s="1883"/>
      <c r="D131" s="1882"/>
      <c r="E131" s="1883"/>
      <c r="F131" s="1882"/>
      <c r="G131" s="1883"/>
      <c r="H131" s="1882"/>
      <c r="I131" s="1883"/>
      <c r="J131" s="1882"/>
      <c r="K131" s="1883"/>
      <c r="L131" s="1882"/>
      <c r="M131" s="1883"/>
      <c r="N131" s="1882"/>
      <c r="O131" s="1883"/>
      <c r="P131" s="1882"/>
      <c r="Q131" s="1883"/>
      <c r="R131" s="1882"/>
      <c r="S131" s="2130"/>
      <c r="T131" s="1882"/>
      <c r="U131" s="1882"/>
      <c r="V131" s="1882"/>
      <c r="W131" s="1883"/>
      <c r="X131" s="1882"/>
      <c r="Y131" s="2130"/>
      <c r="Z131" s="1882"/>
      <c r="AA131" s="1882"/>
      <c r="AB131" s="1882"/>
      <c r="AC131" s="1883"/>
      <c r="AD131" s="1882"/>
      <c r="AE131" s="2130"/>
      <c r="AF131" s="1882"/>
      <c r="AG131" s="1882"/>
      <c r="AH131" s="1882"/>
      <c r="AI131" s="1883">
        <f>(AI129-AC129)*10000</f>
        <v>-532.2723253757739</v>
      </c>
      <c r="AJ131" s="1882"/>
      <c r="AK131" s="2130">
        <f>(AK129-AE129)*10000</f>
        <v>78.563411896745706</v>
      </c>
      <c r="AL131" s="1882">
        <f>(AL129-AF129)*10000</f>
        <v>-127.88321167883198</v>
      </c>
      <c r="AM131" s="1882">
        <f>(AM129-AG129)*10000</f>
        <v>2068.4893675780168</v>
      </c>
      <c r="AN131" s="1882">
        <f>(AN129-AH129)*10000</f>
        <v>1005.7050343072998</v>
      </c>
      <c r="AO131" s="1883">
        <f>(AO129-AI129)*10000</f>
        <v>931.88021373928439</v>
      </c>
      <c r="AP131" s="1882"/>
      <c r="AQ131" s="2130">
        <f>(AQ129-AK129)*10000</f>
        <v>2200.7514761137945</v>
      </c>
      <c r="AR131" s="1882">
        <f>(AR129-AL129)*10000</f>
        <v>339.15392991087629</v>
      </c>
      <c r="AS131" s="1882">
        <f>(AS129-AM129)*10000</f>
        <v>506.79074446680085</v>
      </c>
      <c r="AT131" s="1882">
        <f>(AT129-AN129)*10000</f>
        <v>632.83333811340242</v>
      </c>
      <c r="AU131" s="1883">
        <f>(AU129-AO129)*10000</f>
        <v>743.23250614386802</v>
      </c>
      <c r="AV131" s="1882"/>
      <c r="AW131" s="2130">
        <f>(AW129-AQ129)*10000</f>
        <v>-63.405797101449259</v>
      </c>
      <c r="AX131" s="1882">
        <f>(AX129-AR129)*10000</f>
        <v>1042.2524134405537</v>
      </c>
      <c r="AY131" s="1882">
        <f>(AY129-AS129)*10000</f>
        <v>412.26147498710674</v>
      </c>
      <c r="AZ131" s="1882">
        <f>(AZ129-AT129)*10000</f>
        <v>-289.69608321144159</v>
      </c>
      <c r="BA131" s="1883">
        <f>(BA129-AU129)*10000</f>
        <v>218.76309353289096</v>
      </c>
      <c r="BB131" s="1882"/>
      <c r="BC131" s="2130">
        <f>(BC129-AW129)*10000</f>
        <v>308.33333333333331</v>
      </c>
      <c r="BD131" s="1882">
        <f>(BD129-AX129)*10000</f>
        <v>-213.52313167259783</v>
      </c>
      <c r="BE131" s="1882">
        <f>(BE129-AY129)*10000</f>
        <v>3322.5767999455079</v>
      </c>
      <c r="BF131" s="1882">
        <f>(BF129-AZ129)*10000</f>
        <v>542.32804232804222</v>
      </c>
      <c r="BG131" s="1883">
        <f>(BG129-BA129)*10000</f>
        <v>1209.9775462477371</v>
      </c>
      <c r="BH131" s="1882"/>
      <c r="BI131" s="2130">
        <f>(BI129-BC129)*10000</f>
        <v>316.66666666666663</v>
      </c>
      <c r="BJ131" s="1882">
        <f>(BJ129-BD129)*10000</f>
        <v>1778.9757412398922</v>
      </c>
      <c r="BK131" s="1882">
        <f>(BK129-BE129)*10000</f>
        <v>-3713.1349782293178</v>
      </c>
      <c r="BL131" s="1882">
        <f>(BL129-BF129)*10000</f>
        <v>91.741035947044764</v>
      </c>
      <c r="BM131" s="1883">
        <f>(BM129-BG129)*10000</f>
        <v>-574.29113941705157</v>
      </c>
      <c r="BN131" s="1882"/>
      <c r="BO131" s="2130">
        <f>(BO129-BI129)*10000</f>
        <v>387.93103448275849</v>
      </c>
      <c r="BP131" s="1882">
        <f>(BP129-BJ129)*10000</f>
        <v>-716.17380887274226</v>
      </c>
      <c r="BQ131" s="1882">
        <f>(BQ129-BK129)*10000</f>
        <v>1221.1538461538462</v>
      </c>
      <c r="BR131" s="1882">
        <f>(BR129-BL129)*10000</f>
        <v>-2613.1141022792385</v>
      </c>
      <c r="BS131" s="1883">
        <f>(BS129-BM129)*10000</f>
        <v>-422.13718848530402</v>
      </c>
      <c r="BT131" s="1882"/>
      <c r="BU131" s="2130">
        <f>(BU129-BO129)*10000</f>
        <v>-440.96133751306149</v>
      </c>
      <c r="BV131" s="1882">
        <f>(BV129-BP129)*10000</f>
        <v>-218.64608821130574</v>
      </c>
      <c r="BW131" s="1882">
        <f>(BW129-BQ129)*10000</f>
        <v>-215.12158054711253</v>
      </c>
      <c r="BX131" s="1882">
        <f>(BX129-BR129)*10000</f>
        <v>3368.6808783458887</v>
      </c>
      <c r="BY131" s="1883">
        <f>(BY129-BS129)*10000</f>
        <v>637.76706927108069</v>
      </c>
      <c r="BZ131" s="353"/>
      <c r="CA131" s="2131">
        <f>(CA129-BU129)*10000</f>
        <v>-363.63636363636363</v>
      </c>
      <c r="CB131" s="1882">
        <f>(CB129-BV129)*10000</f>
        <v>-352.92777398040556</v>
      </c>
      <c r="CC131" s="1882">
        <f>(CC129-BW129)*10000</f>
        <v>0.68496082880273312</v>
      </c>
      <c r="CD131" s="1882">
        <f>(CD129-BX129)*10000</f>
        <v>-629.5625942684768</v>
      </c>
      <c r="CE131" s="1883">
        <f>(CE129-BY129)*10000</f>
        <v>-353.22218737182442</v>
      </c>
      <c r="CF131" s="353"/>
      <c r="CG131" s="2131">
        <f>(CG129-CA129)*10000</f>
        <v>-124.68827930174562</v>
      </c>
      <c r="CH131" s="1882">
        <f>(CH129-CB129)*10000</f>
        <v>64.327485380116926</v>
      </c>
      <c r="CI131" s="1882">
        <f>(CI129-CC129)*10000</f>
        <v>-370.10784882832797</v>
      </c>
      <c r="CJ131" s="1882">
        <f>(CJ129-CD129)*10000</f>
        <v>-33.80163413071034</v>
      </c>
      <c r="CK131" s="1883">
        <f>(CK129-CE129)*10000</f>
        <v>-119.98838408581194</v>
      </c>
      <c r="CL131" s="353"/>
      <c r="CM131" s="1270"/>
      <c r="CN131" s="1268"/>
      <c r="CO131" s="1268"/>
      <c r="CP131" s="1268"/>
      <c r="CQ131" s="1269"/>
      <c r="CR131" s="353"/>
      <c r="CS131" s="1270"/>
      <c r="CT131" s="1268"/>
      <c r="CU131" s="1268"/>
      <c r="CV131" s="1268"/>
      <c r="CW131" s="1269"/>
      <c r="CX131" s="353"/>
      <c r="CY131" s="1270"/>
      <c r="CZ131" s="1268"/>
      <c r="DA131" s="1268"/>
      <c r="DB131" s="1268"/>
      <c r="DC131" s="1269"/>
      <c r="DD131" s="353"/>
      <c r="DE131" s="1270"/>
      <c r="DF131" s="1268"/>
      <c r="DG131" s="1268"/>
      <c r="DH131" s="1268"/>
      <c r="DI131" s="1269"/>
    </row>
    <row r="132" spans="1:113" s="355" customFormat="1" ht="11.25" customHeight="1">
      <c r="A132" s="1608" t="s">
        <v>242</v>
      </c>
      <c r="B132" s="353"/>
      <c r="C132" s="428"/>
      <c r="D132" s="353"/>
      <c r="E132" s="428"/>
      <c r="F132" s="353"/>
      <c r="G132" s="428"/>
      <c r="H132" s="353"/>
      <c r="I132" s="428"/>
      <c r="J132" s="353"/>
      <c r="K132" s="428"/>
      <c r="L132" s="353"/>
      <c r="M132" s="428"/>
      <c r="N132" s="353"/>
      <c r="O132" s="428"/>
      <c r="P132" s="353"/>
      <c r="Q132" s="428"/>
      <c r="R132" s="353"/>
      <c r="S132" s="418"/>
      <c r="T132" s="353"/>
      <c r="U132" s="353"/>
      <c r="V132" s="353"/>
      <c r="W132" s="428"/>
      <c r="X132" s="353"/>
      <c r="Y132" s="418"/>
      <c r="Z132" s="353"/>
      <c r="AA132" s="353"/>
      <c r="AB132" s="353"/>
      <c r="AC132" s="428"/>
      <c r="AD132" s="353"/>
      <c r="AE132" s="456"/>
      <c r="AF132" s="424"/>
      <c r="AG132" s="424"/>
      <c r="AH132" s="424"/>
      <c r="AI132" s="436">
        <f>AI128/AC128-1</f>
        <v>0.60784313725490202</v>
      </c>
      <c r="AJ132" s="353"/>
      <c r="AK132" s="456">
        <f>AK128/AE128-1</f>
        <v>-0.20833333333333337</v>
      </c>
      <c r="AL132" s="424">
        <f>AL128/AF128-1</f>
        <v>0.23076923076923084</v>
      </c>
      <c r="AM132" s="424">
        <f>AM128/AG128-1</f>
        <v>-0.6206896551724137</v>
      </c>
      <c r="AN132" s="424">
        <f>AN128/AH128-1</f>
        <v>-0.31249999999999956</v>
      </c>
      <c r="AO132" s="436">
        <f>AO128/AI128-1</f>
        <v>-0.30487804878048785</v>
      </c>
      <c r="AP132" s="353"/>
      <c r="AQ132" s="456">
        <f>AQ128/AK128-1</f>
        <v>-0.84210526315789469</v>
      </c>
      <c r="AR132" s="424">
        <f>AR128/AL128-1</f>
        <v>-6.25E-2</v>
      </c>
      <c r="AS132" s="424">
        <f>AS128/AM128-1</f>
        <v>-0.45454545454545459</v>
      </c>
      <c r="AT132" s="424">
        <f>AT128/AN128-1</f>
        <v>-1.4545454545454546</v>
      </c>
      <c r="AU132" s="436">
        <f>AU128/AO128-1</f>
        <v>-0.66666666666666663</v>
      </c>
      <c r="AV132" s="353"/>
      <c r="AW132" s="456">
        <f>AW128/AQ128-1</f>
        <v>0.66666666666666674</v>
      </c>
      <c r="AX132" s="424">
        <f>AX128/AR128-1</f>
        <v>-1.4</v>
      </c>
      <c r="AY132" s="424">
        <f>AY128/AS128-1</f>
        <v>-1.6666666666666667</v>
      </c>
      <c r="AZ132" s="424">
        <f>AZ128/AT128-1</f>
        <v>-1.7999999999999998</v>
      </c>
      <c r="BA132" s="436">
        <f>BA128/AU128-1</f>
        <v>-1.0526315789473684</v>
      </c>
      <c r="BB132" s="353"/>
      <c r="BC132" s="456">
        <f>BC128/AW128-1</f>
        <v>-1.6</v>
      </c>
      <c r="BD132" s="424">
        <f>BD128/AX128-1</f>
        <v>-1</v>
      </c>
      <c r="BE132" s="424">
        <f>BE128/AY128-1</f>
        <v>35.749999999999993</v>
      </c>
      <c r="BF132" s="424">
        <f>BF128/AZ128-1</f>
        <v>-5</v>
      </c>
      <c r="BG132" s="436">
        <f>BG128/BA128-1</f>
        <v>165.00000000000006</v>
      </c>
      <c r="BH132" s="353"/>
      <c r="BI132" s="456">
        <f>BI128/BC128-1</f>
        <v>3.3333333333333339</v>
      </c>
      <c r="BJ132" s="105" t="s">
        <v>270</v>
      </c>
      <c r="BK132" s="424">
        <f>BK128/BE128-1</f>
        <v>-1.0544217687074831</v>
      </c>
      <c r="BL132" s="424">
        <f>BL128/BF128-1</f>
        <v>0.50000000000000022</v>
      </c>
      <c r="BM132" s="436">
        <f>BM128/BG128-1</f>
        <v>-0.42771084337349408</v>
      </c>
      <c r="BN132" s="353"/>
      <c r="BO132" s="456">
        <f>BO128/BI128-1</f>
        <v>1.1538461538461537</v>
      </c>
      <c r="BP132" s="424">
        <f>BP128/BJ128-1</f>
        <v>-0.33333333333333326</v>
      </c>
      <c r="BQ132" s="424">
        <f>BQ128/BK128-1</f>
        <v>-5.875</v>
      </c>
      <c r="BR132" s="424">
        <f>BR128/BL128-1</f>
        <v>-4.2083333333333321</v>
      </c>
      <c r="BS132" s="436">
        <f>BS128/BM128-1</f>
        <v>-0.64210526315789473</v>
      </c>
      <c r="BT132" s="353"/>
      <c r="BU132" s="456">
        <f>BU128/BO128-1</f>
        <v>-0.64285714285714279</v>
      </c>
      <c r="BV132" s="424">
        <f>BV128/BP128-1</f>
        <v>-0.40909090909090917</v>
      </c>
      <c r="BW132" s="424">
        <f>BW128/BQ128-1</f>
        <v>-0.35897435897435892</v>
      </c>
      <c r="BX132" s="1879">
        <f>BX128/BR128-1</f>
        <v>-1.7012987012987013</v>
      </c>
      <c r="BY132" s="2133">
        <f>BY128/BS128-1</f>
        <v>2.3823529411764706</v>
      </c>
      <c r="BZ132" s="353"/>
      <c r="CA132" s="1906">
        <f>CA128/BU128-1</f>
        <v>-1</v>
      </c>
      <c r="CB132" s="424">
        <f>CB128/BV128-1</f>
        <v>-0.46153846153846156</v>
      </c>
      <c r="CC132" s="424">
        <f>CC128/BW128-1</f>
        <v>8.0000000000000071E-2</v>
      </c>
      <c r="CD132" s="1879">
        <f>CD128/BX128-1</f>
        <v>-0.53703703703703709</v>
      </c>
      <c r="CE132" s="2133">
        <f>CE128/BY128-1</f>
        <v>-0.42608695652173911</v>
      </c>
      <c r="CF132" s="353"/>
      <c r="CG132" s="1915" t="s">
        <v>517</v>
      </c>
      <c r="CH132" s="1458" t="s">
        <v>517</v>
      </c>
      <c r="CI132" s="1458" t="s">
        <v>517</v>
      </c>
      <c r="CJ132" s="1879">
        <f>CJ128/CD128-1</f>
        <v>0.24000000000000021</v>
      </c>
      <c r="CK132" s="2133">
        <f>CK128/CE128-1</f>
        <v>0.12121212121212133</v>
      </c>
      <c r="CL132" s="353"/>
      <c r="CM132" s="456"/>
      <c r="CN132" s="424"/>
      <c r="CO132" s="424"/>
      <c r="CP132" s="424"/>
      <c r="CQ132" s="436"/>
      <c r="CR132" s="353"/>
      <c r="CS132" s="456"/>
      <c r="CT132" s="424"/>
      <c r="CU132" s="424"/>
      <c r="CV132" s="424"/>
      <c r="CW132" s="436"/>
      <c r="CX132" s="353"/>
      <c r="CY132" s="456"/>
      <c r="CZ132" s="424"/>
      <c r="DA132" s="424"/>
      <c r="DB132" s="424"/>
      <c r="DC132" s="436"/>
      <c r="DD132" s="353"/>
      <c r="DE132" s="456"/>
      <c r="DF132" s="424"/>
      <c r="DG132" s="424"/>
      <c r="DH132" s="424"/>
      <c r="DI132" s="436"/>
    </row>
    <row r="133" spans="1:113" s="355" customFormat="1" ht="11.25" customHeight="1">
      <c r="A133" s="1462" t="s">
        <v>17</v>
      </c>
      <c r="B133" s="353"/>
      <c r="C133" s="155"/>
      <c r="D133" s="157"/>
      <c r="E133" s="155"/>
      <c r="F133" s="157"/>
      <c r="G133" s="155"/>
      <c r="H133" s="157"/>
      <c r="I133" s="155"/>
      <c r="J133" s="157"/>
      <c r="K133" s="155"/>
      <c r="L133" s="157"/>
      <c r="M133" s="155"/>
      <c r="N133" s="157"/>
      <c r="O133" s="155"/>
      <c r="P133" s="157"/>
      <c r="Q133" s="155"/>
      <c r="R133" s="157"/>
      <c r="S133" s="331"/>
      <c r="T133" s="157"/>
      <c r="U133" s="157"/>
      <c r="V133" s="157"/>
      <c r="W133" s="155"/>
      <c r="X133" s="157"/>
      <c r="Y133" s="331"/>
      <c r="Z133" s="157"/>
      <c r="AA133" s="157"/>
      <c r="AB133" s="157"/>
      <c r="AC133" s="1189">
        <f>0+2.2+7.4</f>
        <v>9.6000000000000014</v>
      </c>
      <c r="AD133" s="157"/>
      <c r="AE133" s="1267">
        <f>0+0.7</f>
        <v>0.7</v>
      </c>
      <c r="AF133" s="1266">
        <f>0.2+1.1</f>
        <v>1.3</v>
      </c>
      <c r="AG133" s="1266">
        <f>0+1.3</f>
        <v>1.3</v>
      </c>
      <c r="AH133" s="1266">
        <f>0.2+2.3+4.5-AE133-AF133-AG133</f>
        <v>3.7</v>
      </c>
      <c r="AI133" s="155">
        <f>SUM(AE133:AH133)</f>
        <v>7</v>
      </c>
      <c r="AJ133" s="157"/>
      <c r="AK133" s="1267">
        <f>1.1-AL133</f>
        <v>0.60000000000000009</v>
      </c>
      <c r="AL133" s="1266">
        <v>0.5</v>
      </c>
      <c r="AM133" s="1266">
        <v>0.3</v>
      </c>
      <c r="AN133" s="1266">
        <f>1.3-AK133-AL133-AM133</f>
        <v>-0.10000000000000003</v>
      </c>
      <c r="AO133" s="155">
        <f>SUM(AK133:AN133)</f>
        <v>1.3</v>
      </c>
      <c r="AP133" s="157"/>
      <c r="AQ133" s="1267">
        <v>-0.3</v>
      </c>
      <c r="AR133" s="1266">
        <v>-0.8</v>
      </c>
      <c r="AS133" s="1266">
        <v>-0.3</v>
      </c>
      <c r="AT133" s="1266">
        <f>-2.2-AQ133-AR133-AS133</f>
        <v>-0.8</v>
      </c>
      <c r="AU133" s="155">
        <f>SUM(AQ133:AT133)</f>
        <v>-2.2000000000000002</v>
      </c>
      <c r="AV133" s="157"/>
      <c r="AW133" s="1267">
        <v>-1.3</v>
      </c>
      <c r="AX133" s="1266">
        <v>0</v>
      </c>
      <c r="AY133" s="1266">
        <v>-0.5</v>
      </c>
      <c r="AZ133" s="1266">
        <f>-3.1-AW133-AX133-AY133</f>
        <v>-1.3</v>
      </c>
      <c r="BA133" s="155">
        <f>SUM(AW133:AZ133)</f>
        <v>-3.1</v>
      </c>
      <c r="BB133" s="157"/>
      <c r="BC133" s="1267">
        <v>-0.4</v>
      </c>
      <c r="BD133" s="1266">
        <v>-0.4</v>
      </c>
      <c r="BE133" s="1266">
        <v>-2.1</v>
      </c>
      <c r="BF133" s="1266">
        <v>5.3</v>
      </c>
      <c r="BG133" s="155">
        <f>SUM(BC133:BF133)</f>
        <v>2.3999999999999995</v>
      </c>
      <c r="BH133" s="353"/>
      <c r="BI133" s="1267">
        <v>0.7</v>
      </c>
      <c r="BJ133" s="1266">
        <v>-2.7</v>
      </c>
      <c r="BK133" s="1266">
        <v>-1.5</v>
      </c>
      <c r="BL133" s="1343">
        <f>BM133-SUM(BI133:BK133)</f>
        <v>3.3</v>
      </c>
      <c r="BM133" s="2129">
        <v>-0.2</v>
      </c>
      <c r="BN133" s="353"/>
      <c r="BO133" s="1267">
        <v>1.2</v>
      </c>
      <c r="BP133" s="1266">
        <v>-0.2</v>
      </c>
      <c r="BQ133" s="1266">
        <v>0.2</v>
      </c>
      <c r="BR133" s="1343">
        <f>BS133-SUM(BO133:BQ133)</f>
        <v>1.0000000000000002</v>
      </c>
      <c r="BS133" s="2129">
        <v>2.2000000000000002</v>
      </c>
      <c r="BT133" s="353"/>
      <c r="BU133" s="1267">
        <v>0.5</v>
      </c>
      <c r="BV133" s="1266">
        <v>0.3</v>
      </c>
      <c r="BW133" s="1266">
        <v>0.3</v>
      </c>
      <c r="BX133" s="1343">
        <f>BY133-SUM(BU133:BW133)</f>
        <v>-0.10000000000000009</v>
      </c>
      <c r="BY133" s="2132">
        <v>1</v>
      </c>
      <c r="BZ133" s="353"/>
      <c r="CA133" s="1905">
        <v>1</v>
      </c>
      <c r="CB133" s="1266">
        <v>0.1</v>
      </c>
      <c r="CC133" s="1266">
        <v>-0.1</v>
      </c>
      <c r="CD133" s="1343">
        <f>CE133-SUM(CA133:CC133)</f>
        <v>0.7</v>
      </c>
      <c r="CE133" s="2132">
        <v>1.7</v>
      </c>
      <c r="CF133" s="353"/>
      <c r="CG133" s="1267">
        <v>0</v>
      </c>
      <c r="CH133" s="1266">
        <v>0</v>
      </c>
      <c r="CI133" s="1266">
        <v>5</v>
      </c>
      <c r="CJ133" s="1343">
        <f>CK133-SUM(CG133:CI133)</f>
        <v>-6.3</v>
      </c>
      <c r="CK133" s="2132">
        <v>-1.3</v>
      </c>
      <c r="CL133" s="353"/>
      <c r="CM133" s="1267"/>
      <c r="CN133" s="1266"/>
      <c r="CO133" s="1266"/>
      <c r="CP133" s="1266"/>
      <c r="CQ133" s="155"/>
      <c r="CR133" s="353"/>
      <c r="CS133" s="1267"/>
      <c r="CT133" s="1266"/>
      <c r="CU133" s="1266"/>
      <c r="CV133" s="1266"/>
      <c r="CW133" s="155"/>
      <c r="CX133" s="353"/>
      <c r="CY133" s="1267"/>
      <c r="CZ133" s="1266"/>
      <c r="DA133" s="1266"/>
      <c r="DB133" s="1266"/>
      <c r="DC133" s="155"/>
      <c r="DD133" s="353"/>
      <c r="DE133" s="1267"/>
      <c r="DF133" s="1266"/>
      <c r="DG133" s="1266"/>
      <c r="DH133" s="1266"/>
      <c r="DI133" s="155"/>
    </row>
    <row r="134" spans="1:113" s="355" customFormat="1" ht="11.25" customHeight="1">
      <c r="A134" s="1465" t="s">
        <v>255</v>
      </c>
      <c r="B134" s="853"/>
      <c r="C134" s="854"/>
      <c r="D134" s="853"/>
      <c r="E134" s="854"/>
      <c r="F134" s="853"/>
      <c r="G134" s="854"/>
      <c r="H134" s="853"/>
      <c r="I134" s="854"/>
      <c r="J134" s="853"/>
      <c r="K134" s="854"/>
      <c r="L134" s="853"/>
      <c r="M134" s="854"/>
      <c r="N134" s="853"/>
      <c r="O134" s="854"/>
      <c r="P134" s="853"/>
      <c r="Q134" s="854"/>
      <c r="R134" s="853"/>
      <c r="S134" s="1503"/>
      <c r="T134" s="853"/>
      <c r="U134" s="853"/>
      <c r="V134" s="853"/>
      <c r="W134" s="854"/>
      <c r="X134" s="853"/>
      <c r="Y134" s="1503"/>
      <c r="Z134" s="853"/>
      <c r="AA134" s="853"/>
      <c r="AB134" s="853"/>
      <c r="AC134" s="1510">
        <f>AC122+AC128+AC133</f>
        <v>147.30000000000001</v>
      </c>
      <c r="AD134" s="853"/>
      <c r="AE134" s="1511">
        <f>AE122+AE128+AE133</f>
        <v>22.3</v>
      </c>
      <c r="AF134" s="1512">
        <f>AF122+AF128+AF133</f>
        <v>29.9</v>
      </c>
      <c r="AG134" s="1512">
        <f>AG122+AG128+AG133</f>
        <v>16.399999999999999</v>
      </c>
      <c r="AH134" s="1512">
        <f>AH122+AH128+AH133</f>
        <v>52.6</v>
      </c>
      <c r="AI134" s="1510">
        <f>AI122+AI128+AI133</f>
        <v>121.2</v>
      </c>
      <c r="AJ134" s="853"/>
      <c r="AK134" s="1511">
        <f>AK122+AK128+AK133</f>
        <v>15.100000000000001</v>
      </c>
      <c r="AL134" s="1512">
        <f>AL122+AL128+AL133</f>
        <v>19.7</v>
      </c>
      <c r="AM134" s="1512">
        <f>AM122+AM128+AM133</f>
        <v>26.4</v>
      </c>
      <c r="AN134" s="1512">
        <f>AN122+AN128+AN133</f>
        <v>71</v>
      </c>
      <c r="AO134" s="1510">
        <f>AO122+AO128+AO133</f>
        <v>132.20000000000002</v>
      </c>
      <c r="AP134" s="853"/>
      <c r="AQ134" s="1511">
        <f>AQ122+AQ128+AQ133</f>
        <v>29.5</v>
      </c>
      <c r="AR134" s="1512">
        <f>AR122+AR128+AR133</f>
        <v>42.400000000000006</v>
      </c>
      <c r="AS134" s="1512">
        <f>AS122+AS128+AS133</f>
        <v>48.7</v>
      </c>
      <c r="AT134" s="1512">
        <f>AT122+AT128+AT133</f>
        <v>66.999999999999986</v>
      </c>
      <c r="AU134" s="1510">
        <f>AU122+AU128+AU133</f>
        <v>187.6</v>
      </c>
      <c r="AV134" s="853"/>
      <c r="AW134" s="1511">
        <f>AW122+AW128+AW133</f>
        <v>37.6</v>
      </c>
      <c r="AX134" s="1512">
        <f>AX122+AX128+AX133</f>
        <v>52.2</v>
      </c>
      <c r="AY134" s="1512">
        <f>AY122+AY128+AY133</f>
        <v>52.199999999999996</v>
      </c>
      <c r="AZ134" s="1512">
        <f>AZ122+AZ128+AZ133</f>
        <v>62.699999999999996</v>
      </c>
      <c r="BA134" s="1510">
        <f>BA122+BA128+BA133</f>
        <v>204.7</v>
      </c>
      <c r="BB134" s="853"/>
      <c r="BC134" s="1511">
        <f>BC122+BC128+BC133</f>
        <v>43.6</v>
      </c>
      <c r="BD134" s="1512">
        <f>BD122+BD128+BD133</f>
        <v>33</v>
      </c>
      <c r="BE134" s="1512">
        <f>BE122+BE128+BE133</f>
        <v>69.400000000000006</v>
      </c>
      <c r="BF134" s="1512">
        <f>BF122+BF128+BF133</f>
        <v>72.999999999999986</v>
      </c>
      <c r="BG134" s="1510">
        <f>BG122+BG128+BG133</f>
        <v>218.99999999999997</v>
      </c>
      <c r="BH134" s="853"/>
      <c r="BI134" s="1511">
        <f>BI122+BI128+BI133</f>
        <v>23.6</v>
      </c>
      <c r="BJ134" s="1512">
        <f>BJ122+BJ128+BJ133</f>
        <v>53.3</v>
      </c>
      <c r="BK134" s="1512">
        <f>BK122+BK128+BK133</f>
        <v>47.3</v>
      </c>
      <c r="BL134" s="1512">
        <f>BL122+BL128+BL133</f>
        <v>81.3</v>
      </c>
      <c r="BM134" s="1510">
        <f>BM122+BM128+BM133</f>
        <v>205.5</v>
      </c>
      <c r="BN134" s="853"/>
      <c r="BO134" s="1511">
        <f>BO122+BO128+BO133</f>
        <v>32.1</v>
      </c>
      <c r="BP134" s="1512">
        <f>BP122+BP128+BP133</f>
        <v>52.699999999999996</v>
      </c>
      <c r="BQ134" s="1512">
        <f>BQ122+BQ128+BQ133</f>
        <v>35.900000000000006</v>
      </c>
      <c r="BR134" s="1512">
        <f>BR122+BR128+BR133</f>
        <v>63.700000000000017</v>
      </c>
      <c r="BS134" s="1510">
        <f>BS122+BS128+BS133</f>
        <v>184.4</v>
      </c>
      <c r="BT134" s="853"/>
      <c r="BU134" s="1511">
        <f>BU122+BU128+BU133</f>
        <v>35.799999999999997</v>
      </c>
      <c r="BV134" s="1512">
        <f>BV122+BV128+BV133</f>
        <v>42.9</v>
      </c>
      <c r="BW134" s="1512">
        <f>BW122+BW128+BW133</f>
        <v>52.8</v>
      </c>
      <c r="BX134" s="1884">
        <f>BX122+BX128+BX133</f>
        <v>83.7</v>
      </c>
      <c r="BY134" s="1885">
        <f>BY122+BY128+BY133</f>
        <v>215.2</v>
      </c>
      <c r="BZ134" s="853"/>
      <c r="CA134" s="1511">
        <f>CA122+CA128+CA133</f>
        <v>47.3</v>
      </c>
      <c r="CB134" s="1512">
        <f>CB122+CB128+CB133</f>
        <v>40</v>
      </c>
      <c r="CC134" s="1512">
        <f>CC122+CC128+CC133</f>
        <v>58.6</v>
      </c>
      <c r="CD134" s="1884">
        <f>CD122+CD128+CD133</f>
        <v>92.000000000000014</v>
      </c>
      <c r="CE134" s="1885">
        <f>CE122+CE128+CE133</f>
        <v>237.9</v>
      </c>
      <c r="CF134" s="853"/>
      <c r="CG134" s="1511">
        <f>CG122+CG128+CG133</f>
        <v>49.2</v>
      </c>
      <c r="CH134" s="1512">
        <f>CH122+CH128+CH133</f>
        <v>51.7</v>
      </c>
      <c r="CI134" s="1512">
        <f>CI122+CI128+CI133</f>
        <v>64.400000000000006</v>
      </c>
      <c r="CJ134" s="1884">
        <f>CJ122+CJ128+CJ133</f>
        <v>49.4</v>
      </c>
      <c r="CK134" s="1885">
        <f>CK122+CK128+CK133</f>
        <v>214.7</v>
      </c>
      <c r="CL134" s="853"/>
      <c r="CM134" s="1511"/>
      <c r="CN134" s="1512"/>
      <c r="CO134" s="1512"/>
      <c r="CP134" s="1512"/>
      <c r="CQ134" s="1510"/>
      <c r="CR134" s="853"/>
      <c r="CS134" s="1511"/>
      <c r="CT134" s="1512"/>
      <c r="CU134" s="1512"/>
      <c r="CV134" s="1512"/>
      <c r="CW134" s="1510"/>
      <c r="CX134" s="853"/>
      <c r="CY134" s="1511"/>
      <c r="CZ134" s="1512"/>
      <c r="DA134" s="1512"/>
      <c r="DB134" s="1512"/>
      <c r="DC134" s="1510"/>
      <c r="DD134" s="853"/>
      <c r="DE134" s="1511"/>
      <c r="DF134" s="1512"/>
      <c r="DG134" s="1512"/>
      <c r="DH134" s="1512"/>
      <c r="DI134" s="1510"/>
    </row>
    <row r="135" spans="1:113" s="355" customFormat="1" ht="11.25" hidden="1" customHeight="1" outlineLevel="1">
      <c r="A135" s="527" t="s">
        <v>349</v>
      </c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624"/>
      <c r="AD135" s="9"/>
      <c r="AE135" s="624">
        <f>ROUND(AE120-IS!AE15,3)</f>
        <v>0</v>
      </c>
      <c r="AF135" s="624">
        <f>ROUND(AF120-IS!AF15,3)</f>
        <v>0</v>
      </c>
      <c r="AG135" s="624">
        <f>ROUND(AG120-IS!AG15,3)</f>
        <v>0</v>
      </c>
      <c r="AH135" s="624">
        <f>ROUND(AH120-IS!AH15,3)</f>
        <v>0</v>
      </c>
      <c r="AI135" s="624">
        <f>ROUND(AI120-IS!AI15,3)</f>
        <v>0</v>
      </c>
      <c r="AJ135" s="9"/>
      <c r="AK135" s="624">
        <f>ROUND(AK120-IS!AK15,3)</f>
        <v>0</v>
      </c>
      <c r="AL135" s="624">
        <f>ROUND(AL120-IS!AL15,3)</f>
        <v>0</v>
      </c>
      <c r="AM135" s="624">
        <f>ROUND(AM120-IS!AM15,3)</f>
        <v>0</v>
      </c>
      <c r="AN135" s="624">
        <f>ROUND(AN120-IS!AN15,3)</f>
        <v>0</v>
      </c>
      <c r="AO135" s="624">
        <f>ROUND(AO120-IS!AO15,3)</f>
        <v>0</v>
      </c>
      <c r="AP135" s="9"/>
      <c r="AQ135" s="624">
        <f>ROUND(AQ120-IS!AQ15,3)</f>
        <v>0</v>
      </c>
      <c r="AR135" s="624">
        <f>ROUND(AR120-IS!AR15,3)</f>
        <v>0</v>
      </c>
      <c r="AS135" s="624">
        <f>ROUND(AS120-IS!AS15,3)</f>
        <v>0</v>
      </c>
      <c r="AT135" s="624">
        <f>ROUND(AT120-IS!AT15,3)</f>
        <v>0</v>
      </c>
      <c r="AU135" s="624">
        <f>ROUND(AU120-IS!AU15,3)</f>
        <v>0</v>
      </c>
      <c r="AV135" s="9"/>
      <c r="AW135" s="624">
        <f>ROUND(AW120-IS!AW15,3)</f>
        <v>0</v>
      </c>
      <c r="AX135" s="624">
        <f>ROUND(AX120-IS!AX15,3)</f>
        <v>0</v>
      </c>
      <c r="AY135" s="624">
        <f>ROUND(AY120-IS!AY15,3)</f>
        <v>0</v>
      </c>
      <c r="AZ135" s="624">
        <f>ROUND(AZ120-IS!AZ15,3)</f>
        <v>0</v>
      </c>
      <c r="BA135" s="624">
        <f>ROUND(BA120-IS!BA15,3)</f>
        <v>0</v>
      </c>
      <c r="BB135" s="9"/>
      <c r="BC135" s="624">
        <f>ROUND(BC120-IS!BC15,3)</f>
        <v>0</v>
      </c>
      <c r="BD135" s="624">
        <f>ROUND(BD120-IS!BD15,3)</f>
        <v>0</v>
      </c>
      <c r="BE135" s="624">
        <f>ROUND(BE120-IS!BE15,3)</f>
        <v>0</v>
      </c>
      <c r="BF135" s="624">
        <f>ROUND(BF120-IS!BF15,3)</f>
        <v>0</v>
      </c>
      <c r="BG135" s="624">
        <f>ROUND(BG120-IS!BG15,3)</f>
        <v>0</v>
      </c>
      <c r="BH135" s="9"/>
      <c r="BI135" s="624"/>
      <c r="BJ135" s="624"/>
      <c r="BK135" s="624"/>
      <c r="BL135" s="624"/>
      <c r="BM135" s="624"/>
      <c r="BN135" s="9"/>
      <c r="BO135" s="624"/>
      <c r="BP135" s="624"/>
      <c r="BQ135" s="624"/>
      <c r="BR135" s="624"/>
      <c r="BS135" s="624"/>
      <c r="BT135" s="9"/>
      <c r="BU135" s="624"/>
      <c r="BV135" s="624"/>
      <c r="BW135" s="624"/>
      <c r="BX135" s="624"/>
      <c r="BY135" s="624"/>
      <c r="BZ135" s="9"/>
      <c r="CA135" s="624"/>
      <c r="CB135" s="624"/>
      <c r="CC135" s="624"/>
      <c r="CD135" s="624"/>
      <c r="CE135" s="624"/>
      <c r="CF135" s="9"/>
      <c r="CG135" s="624"/>
      <c r="CH135" s="624"/>
      <c r="CI135" s="624"/>
      <c r="CJ135" s="624"/>
      <c r="CK135" s="624"/>
      <c r="CL135" s="9"/>
      <c r="CM135" s="624"/>
      <c r="CN135" s="624"/>
      <c r="CO135" s="624"/>
      <c r="CP135" s="624"/>
      <c r="CQ135" s="624"/>
      <c r="CR135" s="9"/>
      <c r="CS135" s="624"/>
      <c r="CT135" s="624"/>
      <c r="CU135" s="624"/>
      <c r="CV135" s="624"/>
      <c r="CW135" s="624"/>
      <c r="CX135" s="9"/>
      <c r="CY135" s="624"/>
      <c r="CZ135" s="624"/>
      <c r="DA135" s="624"/>
      <c r="DB135" s="624"/>
      <c r="DC135" s="624"/>
      <c r="DD135" s="9"/>
      <c r="DE135" s="624"/>
      <c r="DF135" s="624"/>
      <c r="DG135" s="624"/>
      <c r="DH135" s="624"/>
      <c r="DI135" s="624"/>
    </row>
    <row r="136" spans="1:113" s="355" customFormat="1" ht="11.25" hidden="1" customHeight="1" outlineLevel="1">
      <c r="A136" s="527" t="s">
        <v>348</v>
      </c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624">
        <f>ROUND(AC134-IS!AC20,3)</f>
        <v>0</v>
      </c>
      <c r="AD136" s="9"/>
      <c r="AE136" s="624">
        <f>ROUND(AE134-IS!AE20,3)</f>
        <v>0</v>
      </c>
      <c r="AF136" s="624">
        <f>ROUND(AF134-IS!AF20,3)</f>
        <v>0</v>
      </c>
      <c r="AG136" s="624">
        <f>ROUND(AG134-IS!AG20,3)</f>
        <v>0</v>
      </c>
      <c r="AH136" s="624">
        <f>ROUND(AH134-IS!AH20,3)</f>
        <v>0</v>
      </c>
      <c r="AI136" s="624">
        <f>ROUND(AI134-IS!AI20,3)</f>
        <v>0</v>
      </c>
      <c r="AJ136" s="9"/>
      <c r="AK136" s="624">
        <f>ROUND(AK134-IS!AK20,3)</f>
        <v>0</v>
      </c>
      <c r="AL136" s="624">
        <f>ROUND(AL134-IS!AL20,3)</f>
        <v>0</v>
      </c>
      <c r="AM136" s="624">
        <f>ROUND(AM134-IS!AM20,3)</f>
        <v>0</v>
      </c>
      <c r="AN136" s="624">
        <f>ROUND(AN134-IS!AN20,3)</f>
        <v>0</v>
      </c>
      <c r="AO136" s="624">
        <f>ROUND(AO134-IS!AO20,3)</f>
        <v>0</v>
      </c>
      <c r="AP136" s="9"/>
      <c r="AQ136" s="624">
        <f>ROUND(AQ134-IS!AQ20,3)</f>
        <v>0</v>
      </c>
      <c r="AR136" s="624">
        <f>ROUND(AR134-IS!AR20,3)</f>
        <v>0</v>
      </c>
      <c r="AS136" s="624">
        <f>ROUND(AS134-IS!AS20,3)</f>
        <v>0</v>
      </c>
      <c r="AT136" s="624">
        <f>ROUND(AT134-IS!AT20,3)</f>
        <v>0</v>
      </c>
      <c r="AU136" s="624">
        <f>ROUND(AU134-IS!AU20,3)</f>
        <v>0</v>
      </c>
      <c r="AV136" s="9"/>
      <c r="AW136" s="624">
        <f>ROUND(AW134-IS!AW20,3)</f>
        <v>0</v>
      </c>
      <c r="AX136" s="624">
        <f>ROUND(AX134-IS!AX20,3)</f>
        <v>0</v>
      </c>
      <c r="AY136" s="624">
        <f>ROUND(AY134-IS!AY20,3)</f>
        <v>0</v>
      </c>
      <c r="AZ136" s="624">
        <f>ROUND(AZ134-IS!AZ20,3)</f>
        <v>0</v>
      </c>
      <c r="BA136" s="624">
        <f>ROUND(BA134-IS!BA20,3)</f>
        <v>0</v>
      </c>
      <c r="BB136" s="9"/>
      <c r="BC136" s="624">
        <f>ROUND(BC134-IS!BC20,3)</f>
        <v>0</v>
      </c>
      <c r="BD136" s="624">
        <f>ROUND(BD134-IS!BD20,3)</f>
        <v>0</v>
      </c>
      <c r="BE136" s="624">
        <f>ROUND(BE134-IS!BE20,3)</f>
        <v>0</v>
      </c>
      <c r="BF136" s="624">
        <f>ROUND(BF134-IS!BF20,3)</f>
        <v>0</v>
      </c>
      <c r="BG136" s="624">
        <f>ROUND(BG134-IS!BG20,3)</f>
        <v>0</v>
      </c>
      <c r="BH136" s="9"/>
      <c r="BI136" s="624">
        <f>ROUND(BI134-IS!BI20,3)</f>
        <v>0</v>
      </c>
      <c r="BJ136" s="624">
        <f>ROUND(BJ134-IS!BJ20,3)</f>
        <v>0</v>
      </c>
      <c r="BK136" s="624">
        <f>ROUND(BK134-IS!BK20,3)</f>
        <v>0</v>
      </c>
      <c r="BL136" s="624">
        <f>ROUND(BL134-IS!BL20,3)</f>
        <v>0</v>
      </c>
      <c r="BM136" s="624">
        <f>ROUND(BM134-IS!BM20,3)</f>
        <v>0</v>
      </c>
      <c r="BN136" s="9"/>
      <c r="BO136" s="624">
        <f>ROUND(BO134-IS!BO20,3)</f>
        <v>0</v>
      </c>
      <c r="BP136" s="624">
        <f>ROUND(BP134-IS!BP20,3)</f>
        <v>0</v>
      </c>
      <c r="BQ136" s="624">
        <f>ROUND(BQ134-IS!BQ20,3)</f>
        <v>0</v>
      </c>
      <c r="BR136" s="624">
        <f>ROUND(BR134-IS!BR20,3)</f>
        <v>0</v>
      </c>
      <c r="BS136" s="624">
        <f>ROUND(BS134-IS!BS20,3)</f>
        <v>0</v>
      </c>
      <c r="BT136" s="9"/>
      <c r="BU136" s="624">
        <f>ROUND(BU134-IS!BU20,3)</f>
        <v>0</v>
      </c>
      <c r="BV136" s="624">
        <f>ROUND(BV134-IS!BV20,3)</f>
        <v>0</v>
      </c>
      <c r="BW136" s="624">
        <f>ROUND(BW134-IS!BW20,3)</f>
        <v>0</v>
      </c>
      <c r="BX136" s="624">
        <f>ROUND(BX134-IS!BX20,3)</f>
        <v>0</v>
      </c>
      <c r="BY136" s="624">
        <f>ROUND(BY134-IS!BY20,3)</f>
        <v>0</v>
      </c>
      <c r="BZ136" s="9"/>
      <c r="CA136" s="624">
        <f>ROUND(CA134-IS!CA20,3)</f>
        <v>0</v>
      </c>
      <c r="CB136" s="624">
        <f>ROUND(CB134-IS!CB20,3)</f>
        <v>0</v>
      </c>
      <c r="CC136" s="624">
        <f>ROUND(CC134-IS!CC20,3)</f>
        <v>0</v>
      </c>
      <c r="CD136" s="624">
        <f>ROUND(CD134-IS!CD20,3)</f>
        <v>0</v>
      </c>
      <c r="CE136" s="624">
        <f>ROUND(CE134-IS!CE20,3)</f>
        <v>0</v>
      </c>
      <c r="CF136" s="9"/>
      <c r="CG136" s="624">
        <f>ROUND(CG134-IS!CG20,3)</f>
        <v>0</v>
      </c>
      <c r="CH136" s="624">
        <f>ROUND(CH134-IS!CH20,3)</f>
        <v>0</v>
      </c>
      <c r="CI136" s="624">
        <f>ROUND(CI134-IS!CI20,3)</f>
        <v>0</v>
      </c>
      <c r="CJ136" s="624"/>
      <c r="CK136" s="624"/>
      <c r="CL136" s="9"/>
      <c r="CM136" s="624"/>
      <c r="CN136" s="624"/>
      <c r="CO136" s="624"/>
      <c r="CP136" s="624"/>
      <c r="CQ136" s="624"/>
      <c r="CR136" s="9"/>
      <c r="CS136" s="624"/>
      <c r="CT136" s="624"/>
      <c r="CU136" s="624"/>
      <c r="CV136" s="624"/>
      <c r="CW136" s="624"/>
      <c r="CX136" s="9"/>
      <c r="CY136" s="624"/>
      <c r="CZ136" s="624"/>
      <c r="DA136" s="624"/>
      <c r="DB136" s="624"/>
      <c r="DC136" s="624"/>
      <c r="DD136" s="9"/>
      <c r="DE136" s="624"/>
      <c r="DF136" s="624"/>
      <c r="DG136" s="624"/>
      <c r="DH136" s="624"/>
      <c r="DI136" s="624"/>
    </row>
    <row r="137" spans="1:113" s="355" customFormat="1" ht="11.25" customHeight="1" collapsed="1">
      <c r="A137" s="527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624"/>
      <c r="AD137" s="9"/>
      <c r="AE137" s="624"/>
      <c r="AF137" s="624"/>
      <c r="AG137" s="624"/>
      <c r="AH137" s="624"/>
      <c r="AI137" s="624"/>
      <c r="AJ137" s="9"/>
      <c r="AK137" s="624"/>
      <c r="AL137" s="624"/>
      <c r="AM137" s="624"/>
      <c r="AN137" s="624"/>
      <c r="AO137" s="624"/>
      <c r="AP137" s="9"/>
      <c r="AQ137" s="624"/>
      <c r="AR137" s="624"/>
      <c r="AS137" s="624"/>
      <c r="AT137" s="624"/>
      <c r="AU137" s="624"/>
      <c r="AV137" s="9"/>
      <c r="AW137" s="624"/>
      <c r="AX137" s="624"/>
      <c r="AY137" s="624"/>
      <c r="AZ137" s="624"/>
      <c r="BA137" s="624"/>
      <c r="BB137" s="9"/>
      <c r="BC137" s="624"/>
      <c r="BD137" s="624"/>
      <c r="BE137" s="624"/>
      <c r="BF137" s="624"/>
      <c r="BG137" s="624"/>
      <c r="BH137" s="9"/>
      <c r="BI137" s="624"/>
      <c r="BJ137" s="624"/>
      <c r="BK137" s="624"/>
      <c r="BL137" s="624"/>
      <c r="BM137" s="624"/>
      <c r="BN137" s="9"/>
      <c r="BO137" s="624"/>
      <c r="BP137" s="624"/>
      <c r="BQ137" s="624"/>
      <c r="BR137" s="624"/>
      <c r="BS137" s="624"/>
      <c r="BT137" s="9"/>
      <c r="BU137" s="624"/>
      <c r="BV137" s="624"/>
      <c r="BW137" s="624"/>
      <c r="BX137" s="624"/>
      <c r="BY137" s="624"/>
      <c r="BZ137" s="9"/>
      <c r="CA137" s="624"/>
      <c r="CB137" s="624"/>
      <c r="CC137" s="624"/>
      <c r="CD137" s="624"/>
      <c r="CE137" s="624"/>
      <c r="CF137" s="9"/>
      <c r="CG137" s="624"/>
      <c r="CH137" s="624"/>
      <c r="CI137" s="624"/>
      <c r="CJ137" s="624"/>
      <c r="CK137" s="624"/>
      <c r="CL137" s="9"/>
      <c r="CM137" s="624"/>
      <c r="CN137" s="624"/>
      <c r="CO137" s="624"/>
      <c r="CP137" s="624"/>
      <c r="CQ137" s="624"/>
      <c r="CR137" s="9"/>
      <c r="CS137" s="624"/>
      <c r="CT137" s="624"/>
      <c r="CU137" s="624"/>
      <c r="CV137" s="624"/>
      <c r="CW137" s="624"/>
      <c r="CX137" s="9"/>
      <c r="CY137" s="624"/>
      <c r="CZ137" s="624"/>
      <c r="DA137" s="624"/>
      <c r="DB137" s="624"/>
      <c r="DC137" s="624"/>
      <c r="DD137" s="9"/>
      <c r="DE137" s="624"/>
      <c r="DF137" s="624"/>
      <c r="DG137" s="624"/>
      <c r="DH137" s="624"/>
      <c r="DI137" s="624"/>
    </row>
    <row r="138" spans="1:113" s="355" customFormat="1" ht="11.25" customHeight="1">
      <c r="A138" s="527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624"/>
      <c r="AD138" s="9"/>
      <c r="AE138" s="624"/>
      <c r="AF138" s="624"/>
      <c r="AG138" s="624"/>
      <c r="AH138" s="624"/>
      <c r="AI138" s="624"/>
      <c r="AJ138" s="9"/>
      <c r="AK138" s="624"/>
      <c r="AL138" s="624"/>
      <c r="AM138" s="624"/>
      <c r="AN138" s="624"/>
      <c r="AO138" s="624"/>
      <c r="AP138" s="9"/>
      <c r="AQ138" s="624"/>
      <c r="AR138" s="624"/>
      <c r="AS138" s="624"/>
      <c r="AT138" s="624"/>
      <c r="AU138" s="624"/>
      <c r="AV138" s="9"/>
      <c r="AW138" s="624"/>
      <c r="AX138" s="624"/>
      <c r="AY138" s="624"/>
      <c r="AZ138" s="624"/>
      <c r="BA138" s="624"/>
      <c r="BB138" s="9"/>
      <c r="BC138" s="624"/>
      <c r="BD138" s="624"/>
      <c r="BE138" s="624"/>
      <c r="BF138" s="624"/>
      <c r="BG138" s="624"/>
      <c r="BH138" s="9"/>
      <c r="BI138" s="624"/>
      <c r="BJ138" s="624"/>
      <c r="BK138" s="624"/>
      <c r="BL138" s="624"/>
      <c r="BM138" s="624"/>
      <c r="BN138" s="9"/>
      <c r="BO138" s="624"/>
      <c r="BP138" s="624"/>
      <c r="BQ138" s="624"/>
      <c r="BR138" s="624"/>
      <c r="BS138" s="624"/>
      <c r="BT138" s="9"/>
      <c r="BU138" s="624"/>
      <c r="BV138" s="624"/>
      <c r="BW138" s="624"/>
      <c r="BX138" s="624"/>
      <c r="BY138" s="624"/>
      <c r="BZ138" s="9"/>
      <c r="CA138" s="624"/>
      <c r="CB138" s="624"/>
      <c r="CC138" s="624"/>
      <c r="CD138" s="624"/>
      <c r="CE138" s="624"/>
      <c r="CF138" s="9"/>
      <c r="CG138" s="624"/>
      <c r="CH138" s="624"/>
      <c r="CI138" s="624"/>
      <c r="CJ138" s="624"/>
      <c r="CK138" s="624"/>
      <c r="CL138" s="9"/>
      <c r="CM138" s="624"/>
      <c r="CN138" s="624"/>
      <c r="CO138" s="624"/>
      <c r="CP138" s="624"/>
      <c r="CQ138" s="624"/>
      <c r="CR138" s="9"/>
      <c r="CS138" s="624"/>
      <c r="CT138" s="624"/>
      <c r="CU138" s="624"/>
      <c r="CV138" s="624"/>
      <c r="CW138" s="624"/>
      <c r="CX138" s="9"/>
      <c r="CY138" s="624"/>
      <c r="CZ138" s="624"/>
      <c r="DA138" s="624"/>
      <c r="DB138" s="624"/>
      <c r="DC138" s="624"/>
      <c r="DD138" s="9"/>
      <c r="DE138" s="624"/>
      <c r="DF138" s="624"/>
      <c r="DG138" s="624"/>
      <c r="DH138" s="624"/>
      <c r="DI138" s="624"/>
    </row>
    <row r="139" spans="1:113" s="1369" customFormat="1" ht="13.5" customHeight="1">
      <c r="A139" s="1626" t="s">
        <v>395</v>
      </c>
      <c r="B139" s="1627"/>
      <c r="C139" s="1628"/>
      <c r="D139" s="1627"/>
      <c r="E139" s="1628"/>
      <c r="F139" s="1627"/>
      <c r="G139" s="1628"/>
      <c r="H139" s="1627"/>
      <c r="I139" s="1628"/>
      <c r="J139" s="1627"/>
      <c r="K139" s="1628"/>
      <c r="L139" s="1627"/>
      <c r="M139" s="1628"/>
      <c r="N139" s="1627"/>
      <c r="O139" s="1628"/>
      <c r="P139" s="1627"/>
      <c r="Q139" s="1628"/>
      <c r="R139" s="1627"/>
      <c r="S139" s="1627"/>
      <c r="T139" s="1627"/>
      <c r="U139" s="1627"/>
      <c r="V139" s="1627"/>
      <c r="W139" s="1627"/>
      <c r="X139" s="1627"/>
      <c r="Y139" s="1627"/>
      <c r="Z139" s="1627"/>
      <c r="AA139" s="1627"/>
      <c r="AB139" s="1627"/>
      <c r="AC139" s="1627"/>
      <c r="AD139" s="1627"/>
      <c r="AE139" s="1627"/>
      <c r="AF139" s="1627"/>
      <c r="AG139" s="1627"/>
      <c r="AH139" s="1627"/>
      <c r="AI139" s="1627"/>
      <c r="AJ139" s="1627"/>
      <c r="AK139" s="1627"/>
      <c r="AL139" s="1627"/>
      <c r="AM139" s="1627"/>
      <c r="AN139" s="1627"/>
      <c r="AO139" s="1627"/>
      <c r="AP139" s="1627"/>
      <c r="AQ139" s="1627"/>
      <c r="AR139" s="1627"/>
      <c r="AS139" s="1627"/>
      <c r="AT139" s="1627"/>
      <c r="AU139" s="1627"/>
      <c r="AV139" s="1627"/>
      <c r="AW139" s="1627"/>
      <c r="AX139" s="1627"/>
      <c r="AY139" s="1627"/>
      <c r="AZ139" s="1627"/>
      <c r="BA139" s="1627"/>
      <c r="BB139" s="1627"/>
      <c r="BC139" s="1627"/>
      <c r="BD139" s="1627"/>
      <c r="BE139" s="1627"/>
      <c r="BF139" s="1627"/>
      <c r="BG139" s="1627"/>
      <c r="BH139" s="1627"/>
      <c r="BI139" s="1627"/>
      <c r="BJ139" s="1627"/>
      <c r="BK139" s="1627"/>
      <c r="BL139" s="1627"/>
      <c r="BM139" s="1627"/>
      <c r="BN139" s="1627"/>
      <c r="BO139" s="1627"/>
      <c r="BP139" s="1627"/>
      <c r="BQ139" s="1627"/>
      <c r="BR139" s="1627"/>
      <c r="BS139" s="1629"/>
      <c r="BT139" s="1627"/>
      <c r="BU139" s="1627"/>
      <c r="BV139" s="1627"/>
      <c r="BW139" s="1627"/>
      <c r="BX139" s="1627"/>
      <c r="BY139" s="1629"/>
      <c r="BZ139" s="1627"/>
      <c r="CA139" s="1627"/>
      <c r="CB139" s="1627"/>
      <c r="CC139" s="1627"/>
      <c r="CD139" s="1629"/>
      <c r="CE139" s="1629"/>
      <c r="CF139" s="1627"/>
      <c r="CG139" s="1627"/>
      <c r="CH139" s="1627"/>
      <c r="CI139" s="1627"/>
      <c r="CJ139" s="1629"/>
      <c r="CK139" s="1629"/>
      <c r="CL139" s="1627"/>
      <c r="CM139" s="1627"/>
      <c r="CN139" s="1627"/>
      <c r="CO139" s="1627"/>
      <c r="CP139" s="1629"/>
      <c r="CQ139" s="1629"/>
      <c r="CR139" s="1627"/>
      <c r="CS139" s="1627"/>
      <c r="CT139" s="1627"/>
      <c r="CU139" s="1627"/>
      <c r="CV139" s="1629"/>
      <c r="CW139" s="1629"/>
      <c r="CX139" s="1627"/>
      <c r="CY139" s="1627"/>
      <c r="CZ139" s="1627"/>
      <c r="DA139" s="1627"/>
      <c r="DB139" s="1629"/>
      <c r="DC139" s="1629"/>
      <c r="DD139" s="1627"/>
      <c r="DE139" s="1627"/>
      <c r="DF139" s="1627"/>
      <c r="DG139" s="1627"/>
      <c r="DH139" s="1629"/>
      <c r="DI139" s="1629"/>
    </row>
    <row r="140" spans="1:113" s="1369" customFormat="1" ht="13.5" customHeight="1">
      <c r="A140" s="1467" t="s">
        <v>411</v>
      </c>
      <c r="B140" s="1468"/>
      <c r="C140" s="1470"/>
      <c r="D140" s="1468"/>
      <c r="E140" s="1470"/>
      <c r="F140" s="1468"/>
      <c r="G140" s="1470"/>
      <c r="H140" s="1468"/>
      <c r="I140" s="1470"/>
      <c r="J140" s="1468"/>
      <c r="K140" s="1470"/>
      <c r="L140" s="1468"/>
      <c r="M140" s="1470"/>
      <c r="N140" s="1468"/>
      <c r="O140" s="1470"/>
      <c r="P140" s="1468"/>
      <c r="Q140" s="1470"/>
      <c r="R140" s="1468"/>
      <c r="S140" s="1469"/>
      <c r="T140" s="1468"/>
      <c r="U140" s="1468"/>
      <c r="V140" s="1468"/>
      <c r="W140" s="1470"/>
      <c r="X140" s="1468"/>
      <c r="Y140" s="1469"/>
      <c r="Z140" s="1468"/>
      <c r="AA140" s="1468"/>
      <c r="AB140" s="1468"/>
      <c r="AC140" s="1470"/>
      <c r="AD140" s="1468"/>
      <c r="AE140" s="1469"/>
      <c r="AF140" s="1468"/>
      <c r="AG140" s="1468"/>
      <c r="AH140" s="1471"/>
      <c r="AI140" s="1470"/>
      <c r="AJ140" s="1468"/>
      <c r="AK140" s="1469"/>
      <c r="AL140" s="1468"/>
      <c r="AM140" s="1468"/>
      <c r="AN140" s="1471"/>
      <c r="AO140" s="1470"/>
      <c r="AP140" s="1468"/>
      <c r="AQ140" s="1469"/>
      <c r="AR140" s="1468"/>
      <c r="AS140" s="1468"/>
      <c r="AT140" s="1468"/>
      <c r="AU140" s="1470"/>
      <c r="AV140" s="1468"/>
      <c r="AW140" s="1469"/>
      <c r="AX140" s="1468"/>
      <c r="AY140" s="1468"/>
      <c r="AZ140" s="1471"/>
      <c r="BA140" s="1470"/>
      <c r="BB140" s="1468"/>
      <c r="BC140" s="1469"/>
      <c r="BD140" s="1468"/>
      <c r="BE140" s="1468"/>
      <c r="BF140" s="1468"/>
      <c r="BG140" s="1470"/>
      <c r="BH140" s="1468"/>
      <c r="BI140" s="1469"/>
      <c r="BJ140" s="1468"/>
      <c r="BK140" s="1468"/>
      <c r="BL140" s="1471"/>
      <c r="BM140" s="1470"/>
      <c r="BN140" s="1468"/>
      <c r="BO140" s="1469"/>
      <c r="BP140" s="1468"/>
      <c r="BQ140" s="1468"/>
      <c r="BR140" s="1468"/>
      <c r="BS140" s="1470"/>
      <c r="BT140" s="1468"/>
      <c r="BU140" s="1469"/>
      <c r="BV140" s="1468"/>
      <c r="BW140" s="1468"/>
      <c r="BX140" s="1468"/>
      <c r="BY140" s="1470"/>
      <c r="BZ140" s="1468"/>
      <c r="CA140" s="1469"/>
      <c r="CB140" s="1468"/>
      <c r="CC140" s="1468"/>
      <c r="CD140" s="1468"/>
      <c r="CE140" s="1470"/>
      <c r="CF140" s="1468"/>
      <c r="CG140" s="1469"/>
      <c r="CH140" s="1468"/>
      <c r="CI140" s="1468"/>
      <c r="CJ140" s="1468"/>
      <c r="CK140" s="1470"/>
      <c r="CL140" s="1468"/>
      <c r="CM140" s="1469"/>
      <c r="CN140" s="1468"/>
      <c r="CO140" s="1468"/>
      <c r="CP140" s="1468"/>
      <c r="CQ140" s="1470"/>
      <c r="CR140" s="1468"/>
      <c r="CS140" s="1469"/>
      <c r="CT140" s="1468"/>
      <c r="CU140" s="1468"/>
      <c r="CV140" s="1468"/>
      <c r="CW140" s="1470"/>
      <c r="CX140" s="1468"/>
      <c r="CY140" s="1469"/>
      <c r="CZ140" s="1468"/>
      <c r="DA140" s="1468"/>
      <c r="DB140" s="1468"/>
      <c r="DC140" s="1470"/>
      <c r="DD140" s="1468"/>
      <c r="DE140" s="1469"/>
      <c r="DF140" s="1468"/>
      <c r="DG140" s="1468"/>
      <c r="DH140" s="1468"/>
      <c r="DI140" s="1470"/>
    </row>
    <row r="141" spans="1:113" s="1372" customFormat="1" ht="11.25">
      <c r="A141" s="1371" t="s">
        <v>396</v>
      </c>
      <c r="C141" s="1373"/>
      <c r="E141" s="1373"/>
      <c r="G141" s="1373"/>
      <c r="I141" s="1373"/>
      <c r="K141" s="1373"/>
      <c r="M141" s="1373"/>
      <c r="O141" s="1373"/>
      <c r="Q141" s="1373"/>
      <c r="S141" s="1374"/>
      <c r="T141" s="1375"/>
      <c r="U141" s="1375"/>
      <c r="V141" s="1375"/>
      <c r="W141" s="1376"/>
      <c r="X141" s="1377"/>
      <c r="Y141" s="1374"/>
      <c r="Z141" s="1375"/>
      <c r="AA141" s="1375"/>
      <c r="AB141" s="1375"/>
      <c r="AC141" s="1376"/>
      <c r="AD141" s="1377"/>
      <c r="AE141" s="1374"/>
      <c r="AF141" s="1375"/>
      <c r="AG141" s="1375"/>
      <c r="AH141" s="1378"/>
      <c r="AI141" s="1373"/>
      <c r="AJ141" s="1377"/>
      <c r="AK141" s="1374"/>
      <c r="AL141" s="1375"/>
      <c r="AM141" s="1375"/>
      <c r="AN141" s="1378"/>
      <c r="AO141" s="1373"/>
      <c r="AP141" s="1377"/>
      <c r="AQ141" s="1379">
        <f t="shared" ref="AQ141:AT144" si="46">IF(ISERROR(AQ$145*AQ148),"NM",AQ$145*AQ148)</f>
        <v>56.182695992030034</v>
      </c>
      <c r="AR141" s="1377">
        <f t="shared" si="46"/>
        <v>60.8763889953253</v>
      </c>
      <c r="AS141" s="1377">
        <f t="shared" si="46"/>
        <v>62.757912483715216</v>
      </c>
      <c r="AT141" s="1378">
        <f t="shared" si="46"/>
        <v>84.183002528929421</v>
      </c>
      <c r="AU141" s="1373">
        <v>264</v>
      </c>
      <c r="AV141" s="1377"/>
      <c r="AW141" s="1379">
        <f t="shared" ref="AW141:AZ144" si="47">IF(ISERROR(AW$145*AW148),"NM",AW$145*AW148)</f>
        <v>66.830780408064413</v>
      </c>
      <c r="AX141" s="1377">
        <f t="shared" si="47"/>
        <v>75.105067506205728</v>
      </c>
      <c r="AY141" s="1377">
        <f t="shared" si="47"/>
        <v>78.324925833989212</v>
      </c>
      <c r="AZ141" s="1378">
        <f t="shared" si="47"/>
        <v>88.939226251740607</v>
      </c>
      <c r="BA141" s="1373">
        <v>309.2</v>
      </c>
      <c r="BB141" s="1377"/>
      <c r="BC141" s="1379">
        <f t="shared" ref="BC141:BF144" si="48">IF(ISERROR(BC$145*BC148),"NM",BC$145*BC148)</f>
        <v>85.40377358490565</v>
      </c>
      <c r="BD141" s="1377">
        <f t="shared" si="48"/>
        <v>88.583253321424579</v>
      </c>
      <c r="BE141" s="1377">
        <f t="shared" si="48"/>
        <v>94.289471921402239</v>
      </c>
      <c r="BF141" s="1378">
        <f t="shared" si="48"/>
        <v>108.92350117226749</v>
      </c>
      <c r="BG141" s="1373">
        <v>377.2</v>
      </c>
      <c r="BH141" s="1377"/>
      <c r="BI141" s="1379">
        <f t="shared" ref="BI141:BL144" si="49">IF(ISERROR(BI$145*BI148),"NM",BI$145*BI148)</f>
        <v>76.930509948896386</v>
      </c>
      <c r="BJ141" s="1377">
        <f t="shared" si="49"/>
        <v>88.957013156464072</v>
      </c>
      <c r="BK141" s="1377">
        <f t="shared" si="49"/>
        <v>85.847722083288019</v>
      </c>
      <c r="BL141" s="1378">
        <f t="shared" si="49"/>
        <v>107.96475481135153</v>
      </c>
      <c r="BM141" s="1373">
        <v>359.7</v>
      </c>
      <c r="BN141" s="1377"/>
      <c r="BO141" s="1379">
        <f t="shared" ref="BO141:BR144" si="50">IF(ISERROR(BO$145*BO148),"NM",BO$145*BO148)</f>
        <v>90.787837912543566</v>
      </c>
      <c r="BP141" s="1377">
        <f t="shared" si="50"/>
        <v>98.008867267400092</v>
      </c>
      <c r="BQ141" s="1377">
        <f t="shared" si="50"/>
        <v>89.952169826966681</v>
      </c>
      <c r="BR141" s="1378">
        <f t="shared" si="50"/>
        <v>108.85112499308975</v>
      </c>
      <c r="BS141" s="1373">
        <v>387.6</v>
      </c>
      <c r="BT141" s="1377"/>
      <c r="BU141" s="1379">
        <f t="shared" ref="BU141:BX144" si="51">IF(ISERROR(BU$145*BU148),"NM",BU$145*BU148)</f>
        <v>82.812784825717443</v>
      </c>
      <c r="BV141" s="1377">
        <f t="shared" si="51"/>
        <v>92.769060229092233</v>
      </c>
      <c r="BW141" s="1377">
        <f t="shared" si="51"/>
        <v>92.792486759453126</v>
      </c>
      <c r="BX141" s="1378">
        <f t="shared" si="51"/>
        <v>112.0256681857371</v>
      </c>
      <c r="BY141" s="1373">
        <v>380.4</v>
      </c>
      <c r="BZ141" s="1377"/>
      <c r="CA141" s="1379">
        <f t="shared" ref="CA141:CD141" si="52">IF(ISERROR(CA$145*CA148),"NM",CA$145*CA148)</f>
        <v>99.761856885744464</v>
      </c>
      <c r="CB141" s="1377">
        <f t="shared" si="52"/>
        <v>98.778588717184917</v>
      </c>
      <c r="CC141" s="1377">
        <f t="shared" si="52"/>
        <v>104.67819772854219</v>
      </c>
      <c r="CD141" s="1378">
        <f t="shared" si="52"/>
        <v>124.98135666852853</v>
      </c>
      <c r="CE141" s="1373">
        <v>428.2</v>
      </c>
      <c r="CF141" s="1377"/>
      <c r="CG141" s="1379">
        <f t="shared" ref="CG141" si="53">IF(ISERROR(CG$145*CG148),"NM",CG$145*CG148)</f>
        <v>102.28646434555949</v>
      </c>
      <c r="CH141" s="1377">
        <f t="shared" ref="CH141:CK144" si="54">IF(ISERROR(CH$145*CH148),"NM",CH$145*CH148)</f>
        <v>110.25890895550178</v>
      </c>
      <c r="CI141" s="1377">
        <f t="shared" si="54"/>
        <v>115.75989573636195</v>
      </c>
      <c r="CJ141" s="1378">
        <f t="shared" si="54"/>
        <v>140.97939551914612</v>
      </c>
      <c r="CK141" s="1376">
        <f t="shared" si="54"/>
        <v>469.28466455656934</v>
      </c>
      <c r="CL141" s="1377"/>
      <c r="CM141" s="1379">
        <f t="shared" ref="CM141:CQ144" si="55">IF(ISERROR(CM$145*CM148),"NM",CM$145*CM148)</f>
        <v>112.59143155670047</v>
      </c>
      <c r="CN141" s="1377">
        <f t="shared" si="55"/>
        <v>115.41025508918422</v>
      </c>
      <c r="CO141" s="1377">
        <f t="shared" si="55"/>
        <v>119.85236208082652</v>
      </c>
      <c r="CP141" s="1378">
        <f t="shared" si="55"/>
        <v>148.23105454355337</v>
      </c>
      <c r="CQ141" s="1376">
        <f t="shared" si="55"/>
        <v>496.0851032702646</v>
      </c>
      <c r="CR141" s="1377"/>
      <c r="CS141" s="1379">
        <f t="shared" ref="CS141:CW144" si="56">IF(ISERROR(CS$145*CS148),"NM",CS$145*CS148)</f>
        <v>114.54877626723491</v>
      </c>
      <c r="CT141" s="1377">
        <f t="shared" si="56"/>
        <v>119.42832485342495</v>
      </c>
      <c r="CU141" s="1377">
        <f t="shared" si="56"/>
        <v>121.65665889791151</v>
      </c>
      <c r="CV141" s="1378">
        <f t="shared" si="56"/>
        <v>155.43279900400279</v>
      </c>
      <c r="CW141" s="1376">
        <f t="shared" si="56"/>
        <v>511.06655902257415</v>
      </c>
      <c r="CX141" s="1377"/>
      <c r="CY141" s="1379">
        <f t="shared" ref="CY141:DC141" si="57">IF(ISERROR(CY$145*CY148),"NM",CY$145*CY148)</f>
        <v>117.63724887891132</v>
      </c>
      <c r="CZ141" s="1377">
        <f t="shared" si="57"/>
        <v>120.62170578046583</v>
      </c>
      <c r="DA141" s="1377">
        <f t="shared" si="57"/>
        <v>125.8786993040506</v>
      </c>
      <c r="DB141" s="1378">
        <f t="shared" si="57"/>
        <v>158.39608204170415</v>
      </c>
      <c r="DC141" s="1376">
        <f t="shared" si="57"/>
        <v>522.53373600513191</v>
      </c>
      <c r="DD141" s="1377"/>
      <c r="DE141" s="1379">
        <f t="shared" ref="DE141:DI141" si="58">IF(ISERROR(DE$145*DE148),"NM",DE$145*DE148)</f>
        <v>119.54870329894389</v>
      </c>
      <c r="DF141" s="1377">
        <f t="shared" si="58"/>
        <v>124.50892327921848</v>
      </c>
      <c r="DG141" s="1377">
        <f t="shared" si="58"/>
        <v>127.76243749629985</v>
      </c>
      <c r="DH141" s="1378">
        <f t="shared" si="58"/>
        <v>162.85672149905633</v>
      </c>
      <c r="DI141" s="1376">
        <f t="shared" si="58"/>
        <v>534.67678557351849</v>
      </c>
    </row>
    <row r="142" spans="1:113" s="1381" customFormat="1" ht="11.25">
      <c r="A142" s="1380" t="s">
        <v>350</v>
      </c>
      <c r="C142" s="1373"/>
      <c r="E142" s="1373"/>
      <c r="G142" s="1373"/>
      <c r="I142" s="1373"/>
      <c r="K142" s="1373"/>
      <c r="M142" s="1373"/>
      <c r="O142" s="1373"/>
      <c r="Q142" s="1373"/>
      <c r="S142" s="1374"/>
      <c r="T142" s="1375"/>
      <c r="U142" s="1375"/>
      <c r="V142" s="1375"/>
      <c r="W142" s="1376"/>
      <c r="X142" s="1377"/>
      <c r="Y142" s="1374"/>
      <c r="Z142" s="1375"/>
      <c r="AA142" s="1375"/>
      <c r="AB142" s="1375"/>
      <c r="AC142" s="1376"/>
      <c r="AD142" s="1377"/>
      <c r="AE142" s="1374"/>
      <c r="AF142" s="1375"/>
      <c r="AG142" s="1375"/>
      <c r="AH142" s="1378"/>
      <c r="AI142" s="1373"/>
      <c r="AJ142" s="1377"/>
      <c r="AK142" s="1374"/>
      <c r="AL142" s="1375"/>
      <c r="AM142" s="1375"/>
      <c r="AN142" s="1378"/>
      <c r="AO142" s="1373"/>
      <c r="AP142" s="1377"/>
      <c r="AQ142" s="1379">
        <f t="shared" si="46"/>
        <v>120.38845122231589</v>
      </c>
      <c r="AR142" s="1377">
        <f t="shared" si="46"/>
        <v>130.44611081308912</v>
      </c>
      <c r="AS142" s="1377">
        <f t="shared" si="46"/>
        <v>134.47784504559738</v>
      </c>
      <c r="AT142" s="1377">
        <f t="shared" si="46"/>
        <v>180.38759291899765</v>
      </c>
      <c r="AU142" s="1373">
        <v>565.70000000000005</v>
      </c>
      <c r="AV142" s="1377"/>
      <c r="AW142" s="1379">
        <f t="shared" si="47"/>
        <v>146.65163165223709</v>
      </c>
      <c r="AX142" s="1377">
        <f t="shared" si="47"/>
        <v>164.80850033299026</v>
      </c>
      <c r="AY142" s="1377">
        <f t="shared" si="47"/>
        <v>171.87406914088513</v>
      </c>
      <c r="AZ142" s="1377">
        <f t="shared" si="47"/>
        <v>195.16579887388747</v>
      </c>
      <c r="BA142" s="1373">
        <v>678.5</v>
      </c>
      <c r="BB142" s="1377"/>
      <c r="BC142" s="1379">
        <f t="shared" si="48"/>
        <v>159.87169811320754</v>
      </c>
      <c r="BD142" s="1377">
        <f t="shared" si="48"/>
        <v>165.82352908339845</v>
      </c>
      <c r="BE142" s="1377">
        <f t="shared" si="48"/>
        <v>176.50529195042981</v>
      </c>
      <c r="BF142" s="1377">
        <f t="shared" si="48"/>
        <v>203.89948085296416</v>
      </c>
      <c r="BG142" s="1373">
        <v>706.1</v>
      </c>
      <c r="BH142" s="1377"/>
      <c r="BI142" s="1379">
        <f t="shared" si="49"/>
        <v>165.23912145264762</v>
      </c>
      <c r="BJ142" s="1377">
        <f t="shared" si="49"/>
        <v>191.07086006306406</v>
      </c>
      <c r="BK142" s="1377">
        <f t="shared" si="49"/>
        <v>184.39241056866371</v>
      </c>
      <c r="BL142" s="1377">
        <f t="shared" si="49"/>
        <v>231.89760791562466</v>
      </c>
      <c r="BM142" s="1373">
        <v>772.6</v>
      </c>
      <c r="BN142" s="1377"/>
      <c r="BO142" s="1379">
        <f t="shared" si="50"/>
        <v>172.86229200066342</v>
      </c>
      <c r="BP142" s="1377">
        <f t="shared" si="50"/>
        <v>186.61131074133453</v>
      </c>
      <c r="BQ142" s="1377">
        <f t="shared" si="50"/>
        <v>171.27115926806349</v>
      </c>
      <c r="BR142" s="1377">
        <f t="shared" si="50"/>
        <v>207.25523798993868</v>
      </c>
      <c r="BS142" s="1373">
        <v>738</v>
      </c>
      <c r="BT142" s="1377"/>
      <c r="BU142" s="1379">
        <f t="shared" si="51"/>
        <v>147.70892351274784</v>
      </c>
      <c r="BV142" s="1377">
        <f t="shared" si="51"/>
        <v>165.46742209631725</v>
      </c>
      <c r="BW142" s="1377">
        <f t="shared" si="51"/>
        <v>165.50920679886684</v>
      </c>
      <c r="BX142" s="1377">
        <f t="shared" si="51"/>
        <v>199.81444759206789</v>
      </c>
      <c r="BY142" s="1373">
        <f>198.9+479.6</f>
        <v>678.5</v>
      </c>
      <c r="BZ142" s="1377"/>
      <c r="CA142" s="1379">
        <f t="shared" ref="CA142:CD142" si="59">IF(ISERROR(CA$145*CA149),"NM",CA$145*CA149)</f>
        <v>135.80379817538636</v>
      </c>
      <c r="CB142" s="1377">
        <f t="shared" si="59"/>
        <v>134.46529510333275</v>
      </c>
      <c r="CC142" s="1377">
        <f t="shared" si="59"/>
        <v>142.49631353565445</v>
      </c>
      <c r="CD142" s="1377">
        <f t="shared" si="59"/>
        <v>170.13459318562653</v>
      </c>
      <c r="CE142" s="1373">
        <v>582.9</v>
      </c>
      <c r="CF142" s="1377"/>
      <c r="CG142" s="1379">
        <f t="shared" ref="CG142" si="60">IF(ISERROR(CG$145*CG149),"NM",CG$145*CG149)</f>
        <v>139.24049525228079</v>
      </c>
      <c r="CH142" s="1377">
        <f t="shared" si="54"/>
        <v>150.09322286352636</v>
      </c>
      <c r="CI142" s="1377">
        <f t="shared" si="54"/>
        <v>157.58160491528582</v>
      </c>
      <c r="CJ142" s="1377">
        <f t="shared" si="54"/>
        <v>191.9123999255261</v>
      </c>
      <c r="CK142" s="1376">
        <f t="shared" si="54"/>
        <v>638.82772295661903</v>
      </c>
      <c r="CL142" s="1377"/>
      <c r="CM142" s="1379">
        <f t="shared" si="55"/>
        <v>153.26843870714785</v>
      </c>
      <c r="CN142" s="1377">
        <f t="shared" si="55"/>
        <v>157.10564617348314</v>
      </c>
      <c r="CO142" s="1377">
        <f t="shared" si="55"/>
        <v>163.15259658317089</v>
      </c>
      <c r="CP142" s="1377">
        <f t="shared" si="55"/>
        <v>201.78393669649057</v>
      </c>
      <c r="CQ142" s="1376">
        <f t="shared" si="55"/>
        <v>675.31061816029239</v>
      </c>
      <c r="CR142" s="1377"/>
      <c r="CS142" s="1379">
        <f t="shared" si="56"/>
        <v>155.93293247587863</v>
      </c>
      <c r="CT142" s="1377">
        <f t="shared" si="56"/>
        <v>162.57536328132042</v>
      </c>
      <c r="CU142" s="1377">
        <f t="shared" si="56"/>
        <v>165.60874934981931</v>
      </c>
      <c r="CV142" s="1377">
        <f t="shared" si="56"/>
        <v>211.58752578102107</v>
      </c>
      <c r="CW142" s="1376">
        <f t="shared" si="56"/>
        <v>695.70457088803937</v>
      </c>
      <c r="CX142" s="1377"/>
      <c r="CY142" s="1379">
        <f t="shared" ref="CY142:DC142" si="61">IF(ISERROR(CY$145*CY149),"NM",CY$145*CY149)</f>
        <v>160.13720778028355</v>
      </c>
      <c r="CZ142" s="1377">
        <f t="shared" si="61"/>
        <v>164.19988860213343</v>
      </c>
      <c r="DA142" s="1377">
        <f t="shared" si="61"/>
        <v>171.3561275673309</v>
      </c>
      <c r="DB142" s="1377">
        <f t="shared" si="61"/>
        <v>215.62138305023203</v>
      </c>
      <c r="DC142" s="1376">
        <f t="shared" si="61"/>
        <v>711.3146069999799</v>
      </c>
      <c r="DD142" s="1377"/>
      <c r="DE142" s="1379">
        <f t="shared" ref="DE142:DI142" si="62">IF(ISERROR(DE$145*DE149),"NM",DE$145*DE149)</f>
        <v>162.73923202464829</v>
      </c>
      <c r="DF142" s="1377">
        <f t="shared" si="62"/>
        <v>169.49147916734341</v>
      </c>
      <c r="DG142" s="1377">
        <f t="shared" si="62"/>
        <v>173.92042227135261</v>
      </c>
      <c r="DH142" s="1377">
        <f t="shared" si="62"/>
        <v>221.69356133068644</v>
      </c>
      <c r="DI142" s="1376">
        <f t="shared" si="62"/>
        <v>727.84469479403072</v>
      </c>
    </row>
    <row r="143" spans="1:113" s="1381" customFormat="1" ht="11.25">
      <c r="A143" s="1380" t="s">
        <v>353</v>
      </c>
      <c r="C143" s="1373"/>
      <c r="E143" s="1373"/>
      <c r="G143" s="1373"/>
      <c r="I143" s="1373"/>
      <c r="K143" s="1373"/>
      <c r="M143" s="1373"/>
      <c r="O143" s="1373"/>
      <c r="Q143" s="1373"/>
      <c r="S143" s="1374"/>
      <c r="T143" s="1375"/>
      <c r="U143" s="1375"/>
      <c r="V143" s="1375"/>
      <c r="W143" s="1376"/>
      <c r="X143" s="1377"/>
      <c r="Y143" s="1374"/>
      <c r="Z143" s="1375"/>
      <c r="AA143" s="1375"/>
      <c r="AB143" s="1375"/>
      <c r="AC143" s="1376"/>
      <c r="AD143" s="1377"/>
      <c r="AE143" s="1374"/>
      <c r="AF143" s="1375"/>
      <c r="AG143" s="1375"/>
      <c r="AH143" s="1378"/>
      <c r="AI143" s="1373"/>
      <c r="AJ143" s="1377"/>
      <c r="AK143" s="1374"/>
      <c r="AL143" s="1375"/>
      <c r="AM143" s="1375"/>
      <c r="AN143" s="1378"/>
      <c r="AO143" s="1373"/>
      <c r="AP143" s="1377"/>
      <c r="AQ143" s="1379">
        <f t="shared" si="46"/>
        <v>72.93109816844202</v>
      </c>
      <c r="AR143" s="1377">
        <f t="shared" si="46"/>
        <v>79.024009502643864</v>
      </c>
      <c r="AS143" s="1377">
        <f t="shared" si="46"/>
        <v>81.466426546095477</v>
      </c>
      <c r="AT143" s="1377">
        <f t="shared" si="46"/>
        <v>109.2784657828186</v>
      </c>
      <c r="AU143" s="1373">
        <v>342.7</v>
      </c>
      <c r="AV143" s="1377"/>
      <c r="AW143" s="1379">
        <f t="shared" si="47"/>
        <v>108.22177150814314</v>
      </c>
      <c r="AX143" s="1377">
        <f t="shared" si="47"/>
        <v>121.62065750438943</v>
      </c>
      <c r="AY143" s="1377">
        <f t="shared" si="47"/>
        <v>126.83470363867531</v>
      </c>
      <c r="AZ143" s="1377">
        <f t="shared" si="47"/>
        <v>144.02286734879212</v>
      </c>
      <c r="BA143" s="1373">
        <v>500.7</v>
      </c>
      <c r="BB143" s="1377"/>
      <c r="BC143" s="1379">
        <f t="shared" si="48"/>
        <v>119.02641509433963</v>
      </c>
      <c r="BD143" s="1377">
        <f t="shared" si="48"/>
        <v>123.45762532097802</v>
      </c>
      <c r="BE143" s="1377">
        <f t="shared" si="48"/>
        <v>131.41032711845486</v>
      </c>
      <c r="BF143" s="1377">
        <f t="shared" si="48"/>
        <v>151.80563246622756</v>
      </c>
      <c r="BG143" s="1373">
        <v>525.70000000000005</v>
      </c>
      <c r="BH143" s="1377"/>
      <c r="BI143" s="1379">
        <f t="shared" si="49"/>
        <v>113.16078068935522</v>
      </c>
      <c r="BJ143" s="1377">
        <f t="shared" si="49"/>
        <v>130.85114167663369</v>
      </c>
      <c r="BK143" s="1377">
        <f t="shared" si="49"/>
        <v>126.27753615309339</v>
      </c>
      <c r="BL143" s="1377">
        <f t="shared" si="49"/>
        <v>158.81054148091769</v>
      </c>
      <c r="BM143" s="1373">
        <v>529.1</v>
      </c>
      <c r="BN143" s="1377"/>
      <c r="BO143" s="1379">
        <f t="shared" si="50"/>
        <v>116.06133561833161</v>
      </c>
      <c r="BP143" s="1377">
        <f t="shared" si="50"/>
        <v>125.29255348554371</v>
      </c>
      <c r="BQ143" s="1377">
        <f t="shared" si="50"/>
        <v>114.9930344408204</v>
      </c>
      <c r="BR143" s="1377">
        <f t="shared" si="50"/>
        <v>139.15307645530436</v>
      </c>
      <c r="BS143" s="1373">
        <v>495.5</v>
      </c>
      <c r="BT143" s="1377"/>
      <c r="BU143" s="1379">
        <f t="shared" si="51"/>
        <v>90.3234080551792</v>
      </c>
      <c r="BV143" s="1377">
        <f t="shared" si="51"/>
        <v>101.18265796280329</v>
      </c>
      <c r="BW143" s="1377">
        <f t="shared" si="51"/>
        <v>101.20820913905654</v>
      </c>
      <c r="BX143" s="1377">
        <f t="shared" si="51"/>
        <v>122.18572484296089</v>
      </c>
      <c r="BY143" s="1373">
        <v>414.9</v>
      </c>
      <c r="BZ143" s="1377"/>
      <c r="CA143" s="1379">
        <f t="shared" ref="CA143:CD143" si="63">IF(ISERROR(CA$145*CA150),"NM",CA$145*CA150)</f>
        <v>106.72794637870047</v>
      </c>
      <c r="CB143" s="1377">
        <f t="shared" si="63"/>
        <v>105.67601936324711</v>
      </c>
      <c r="CC143" s="1377">
        <f t="shared" si="63"/>
        <v>111.98758145596726</v>
      </c>
      <c r="CD143" s="1377">
        <f t="shared" si="63"/>
        <v>133.7084528020853</v>
      </c>
      <c r="CE143" s="1373">
        <v>458.1</v>
      </c>
      <c r="CF143" s="1377"/>
      <c r="CG143" s="1379">
        <f t="shared" ref="CG143" si="64">IF(ISERROR(CG$145*CG150),"NM",CG$145*CG150)</f>
        <v>109.42884006702666</v>
      </c>
      <c r="CH143" s="1377">
        <f t="shared" si="54"/>
        <v>117.95797803016201</v>
      </c>
      <c r="CI143" s="1377">
        <f t="shared" si="54"/>
        <v>123.8430832247254</v>
      </c>
      <c r="CJ143" s="1377">
        <f t="shared" si="54"/>
        <v>150.82358964811033</v>
      </c>
      <c r="CK143" s="1376">
        <f t="shared" si="54"/>
        <v>502.05349097002437</v>
      </c>
      <c r="CL143" s="1377"/>
      <c r="CM143" s="1379">
        <f t="shared" si="55"/>
        <v>120.45337411519031</v>
      </c>
      <c r="CN143" s="1377">
        <f t="shared" si="55"/>
        <v>123.46902815589746</v>
      </c>
      <c r="CO143" s="1377">
        <f t="shared" si="55"/>
        <v>128.22131496783427</v>
      </c>
      <c r="CP143" s="1377">
        <f t="shared" si="55"/>
        <v>158.58161159832278</v>
      </c>
      <c r="CQ143" s="1376">
        <f t="shared" si="55"/>
        <v>530.72532883724477</v>
      </c>
      <c r="CR143" s="1377"/>
      <c r="CS143" s="1379">
        <f t="shared" si="56"/>
        <v>122.54739469411565</v>
      </c>
      <c r="CT143" s="1377">
        <f t="shared" si="56"/>
        <v>127.76766841511905</v>
      </c>
      <c r="CU143" s="1377">
        <f t="shared" si="56"/>
        <v>130.15160074996095</v>
      </c>
      <c r="CV143" s="1377">
        <f t="shared" si="56"/>
        <v>166.28623359115761</v>
      </c>
      <c r="CW143" s="1376">
        <f t="shared" si="56"/>
        <v>546.7528974503532</v>
      </c>
      <c r="CX143" s="1377"/>
      <c r="CY143" s="1379">
        <f t="shared" ref="CY143:DC143" si="65">IF(ISERROR(CY$145*CY150),"NM",CY$145*CY150)</f>
        <v>125.85152664976479</v>
      </c>
      <c r="CZ143" s="1377">
        <f t="shared" si="65"/>
        <v>129.04437977120833</v>
      </c>
      <c r="DA143" s="1377">
        <f t="shared" si="65"/>
        <v>134.66845434653337</v>
      </c>
      <c r="DB143" s="1377">
        <f t="shared" si="65"/>
        <v>169.45643433747009</v>
      </c>
      <c r="DC143" s="1376">
        <f t="shared" si="65"/>
        <v>559.02079510497651</v>
      </c>
      <c r="DD143" s="1377"/>
      <c r="DE143" s="1379">
        <f t="shared" ref="DE143:DI143" si="66">IF(ISERROR(DE$145*DE150),"NM",DE$145*DE150)</f>
        <v>127.89645254844979</v>
      </c>
      <c r="DF143" s="1377">
        <f t="shared" si="66"/>
        <v>133.20303071978046</v>
      </c>
      <c r="DG143" s="1377">
        <f t="shared" si="66"/>
        <v>136.68372867131006</v>
      </c>
      <c r="DH143" s="1377">
        <f t="shared" si="66"/>
        <v>174.22854768500167</v>
      </c>
      <c r="DI143" s="1376">
        <f t="shared" si="66"/>
        <v>572.01175962454192</v>
      </c>
    </row>
    <row r="144" spans="1:113" s="1381" customFormat="1" ht="11.25">
      <c r="A144" s="1380" t="s">
        <v>397</v>
      </c>
      <c r="C144" s="1373"/>
      <c r="E144" s="1373"/>
      <c r="G144" s="1373"/>
      <c r="I144" s="1373"/>
      <c r="K144" s="1373"/>
      <c r="M144" s="1373"/>
      <c r="O144" s="1373"/>
      <c r="Q144" s="1373"/>
      <c r="S144" s="1374"/>
      <c r="T144" s="1375"/>
      <c r="U144" s="1375"/>
      <c r="V144" s="1375"/>
      <c r="W144" s="1376"/>
      <c r="X144" s="1377"/>
      <c r="Y144" s="1374"/>
      <c r="Z144" s="1375"/>
      <c r="AA144" s="1375"/>
      <c r="AB144" s="1375"/>
      <c r="AC144" s="1376"/>
      <c r="AD144" s="1377"/>
      <c r="AE144" s="1374"/>
      <c r="AF144" s="1375"/>
      <c r="AG144" s="1375"/>
      <c r="AH144" s="1378"/>
      <c r="AI144" s="1373"/>
      <c r="AJ144" s="1377"/>
      <c r="AK144" s="1374"/>
      <c r="AL144" s="1375"/>
      <c r="AM144" s="1375"/>
      <c r="AN144" s="1378"/>
      <c r="AO144" s="1373"/>
      <c r="AP144" s="1377"/>
      <c r="AQ144" s="1379">
        <f t="shared" si="46"/>
        <v>28.197754617212041</v>
      </c>
      <c r="AR144" s="1377">
        <f t="shared" si="46"/>
        <v>30.553490688941675</v>
      </c>
      <c r="AS144" s="1377">
        <f t="shared" si="46"/>
        <v>31.497815924591919</v>
      </c>
      <c r="AT144" s="1377">
        <f t="shared" si="46"/>
        <v>42.250938769254347</v>
      </c>
      <c r="AU144" s="1373">
        <v>132.5</v>
      </c>
      <c r="AV144" s="1377"/>
      <c r="AW144" s="1379">
        <f t="shared" si="47"/>
        <v>35.295816431555373</v>
      </c>
      <c r="AX144" s="1377">
        <f t="shared" si="47"/>
        <v>39.665774656414612</v>
      </c>
      <c r="AY144" s="1377">
        <f t="shared" si="47"/>
        <v>41.366301386450324</v>
      </c>
      <c r="AZ144" s="1377">
        <f t="shared" si="47"/>
        <v>46.972107525579702</v>
      </c>
      <c r="BA144" s="1373">
        <v>163.30000000000001</v>
      </c>
      <c r="BB144" s="1377"/>
      <c r="BC144" s="1379">
        <f t="shared" si="48"/>
        <v>41.298113207547175</v>
      </c>
      <c r="BD144" s="1377">
        <f t="shared" si="48"/>
        <v>42.835592274198959</v>
      </c>
      <c r="BE144" s="1377">
        <f t="shared" si="48"/>
        <v>45.594909009713078</v>
      </c>
      <c r="BF144" s="1377">
        <f t="shared" si="48"/>
        <v>52.671385508540816</v>
      </c>
      <c r="BG144" s="1373">
        <v>182.4</v>
      </c>
      <c r="BH144" s="1377"/>
      <c r="BI144" s="1379">
        <f t="shared" si="49"/>
        <v>38.069587909100797</v>
      </c>
      <c r="BJ144" s="1377">
        <f t="shared" si="49"/>
        <v>44.020985103838207</v>
      </c>
      <c r="BK144" s="1377">
        <f t="shared" si="49"/>
        <v>42.482331194954874</v>
      </c>
      <c r="BL144" s="1377">
        <f t="shared" si="49"/>
        <v>53.427095792106122</v>
      </c>
      <c r="BM144" s="1373">
        <v>178</v>
      </c>
      <c r="BN144" s="1377"/>
      <c r="BO144" s="1379">
        <f t="shared" si="50"/>
        <v>43.988534468461502</v>
      </c>
      <c r="BP144" s="1377">
        <f t="shared" si="50"/>
        <v>47.487268505721708</v>
      </c>
      <c r="BQ144" s="1377">
        <f t="shared" si="50"/>
        <v>43.583636464149485</v>
      </c>
      <c r="BR144" s="1377">
        <f t="shared" si="50"/>
        <v>52.740560561667323</v>
      </c>
      <c r="BS144" s="1373">
        <v>187.8</v>
      </c>
      <c r="BT144" s="1377"/>
      <c r="BU144" s="1379">
        <f t="shared" si="51"/>
        <v>32.654883606355455</v>
      </c>
      <c r="BV144" s="1377">
        <f t="shared" si="51"/>
        <v>36.580859711787163</v>
      </c>
      <c r="BW144" s="1377">
        <f t="shared" si="51"/>
        <v>36.590097302623469</v>
      </c>
      <c r="BX144" s="1377">
        <f t="shared" si="51"/>
        <v>44.17415937923387</v>
      </c>
      <c r="BY144" s="1373">
        <v>150</v>
      </c>
      <c r="BZ144" s="1377"/>
      <c r="CA144" s="1379">
        <f t="shared" ref="CA144:CD144" si="67">IF(ISERROR(CA$145*CA151),"NM",CA$145*CA151)</f>
        <v>33.106398560168813</v>
      </c>
      <c r="CB144" s="1377">
        <f t="shared" si="67"/>
        <v>32.780096816235343</v>
      </c>
      <c r="CC144" s="1377">
        <f t="shared" si="67"/>
        <v>34.737907279836158</v>
      </c>
      <c r="CD144" s="1377">
        <f t="shared" si="67"/>
        <v>41.475597343759695</v>
      </c>
      <c r="CE144" s="1373">
        <v>142.1</v>
      </c>
      <c r="CF144" s="1377"/>
      <c r="CG144" s="1379">
        <f t="shared" ref="CG144" si="68">IF(ISERROR(CG$145*CG151),"NM",CG$145*CG151)</f>
        <v>33.944200335133125</v>
      </c>
      <c r="CH144" s="1377">
        <f t="shared" si="54"/>
        <v>36.589890150809907</v>
      </c>
      <c r="CI144" s="1377">
        <f t="shared" si="54"/>
        <v>38.415416123626883</v>
      </c>
      <c r="CJ144" s="1377">
        <f t="shared" si="54"/>
        <v>46.784614907217801</v>
      </c>
      <c r="CK144" s="1376">
        <f t="shared" si="54"/>
        <v>155.7341215167877</v>
      </c>
      <c r="CL144" s="1377"/>
      <c r="CM144" s="1379">
        <f t="shared" si="55"/>
        <v>37.363947744528573</v>
      </c>
      <c r="CN144" s="1377">
        <f t="shared" si="55"/>
        <v>38.29938638060036</v>
      </c>
      <c r="CO144" s="1377">
        <f t="shared" si="55"/>
        <v>39.773518570026731</v>
      </c>
      <c r="CP144" s="1377">
        <f t="shared" si="55"/>
        <v>49.191108945910628</v>
      </c>
      <c r="CQ144" s="1376">
        <f t="shared" si="55"/>
        <v>164.62796164106629</v>
      </c>
      <c r="CR144" s="1377"/>
      <c r="CS144" s="1379">
        <f t="shared" si="56"/>
        <v>38.013500951831105</v>
      </c>
      <c r="CT144" s="1377">
        <f t="shared" si="56"/>
        <v>39.632800003903981</v>
      </c>
      <c r="CU144" s="1377">
        <f t="shared" si="56"/>
        <v>40.372282179806689</v>
      </c>
      <c r="CV144" s="1377">
        <f t="shared" si="56"/>
        <v>51.581038623233987</v>
      </c>
      <c r="CW144" s="1376">
        <f t="shared" si="56"/>
        <v>169.59962175877575</v>
      </c>
      <c r="CX144" s="1377"/>
      <c r="CY144" s="1379">
        <f t="shared" ref="CY144:DC144" si="69">IF(ISERROR(CY$145*CY151),"NM",CY$145*CY151)</f>
        <v>39.038423787233299</v>
      </c>
      <c r="CZ144" s="1377">
        <f t="shared" si="69"/>
        <v>40.028828564699189</v>
      </c>
      <c r="DA144" s="1377">
        <f t="shared" si="69"/>
        <v>41.773384332334395</v>
      </c>
      <c r="DB144" s="1377">
        <f t="shared" si="69"/>
        <v>52.564416763489398</v>
      </c>
      <c r="DC144" s="1376">
        <f t="shared" si="69"/>
        <v>173.40505344775627</v>
      </c>
      <c r="DD144" s="1377"/>
      <c r="DE144" s="1379">
        <f t="shared" ref="DE144:DI144" si="70">IF(ISERROR(DE$145*DE151),"NM",DE$145*DE151)</f>
        <v>39.672748105511268</v>
      </c>
      <c r="DF144" s="1377">
        <f t="shared" si="70"/>
        <v>41.31881830447675</v>
      </c>
      <c r="DG144" s="1377">
        <f t="shared" si="70"/>
        <v>42.398510901971527</v>
      </c>
      <c r="DH144" s="1377">
        <f t="shared" si="70"/>
        <v>54.044699030863853</v>
      </c>
      <c r="DI144" s="1376">
        <f t="shared" si="70"/>
        <v>177.4347763428234</v>
      </c>
    </row>
    <row r="145" spans="1:113" s="1381" customFormat="1" ht="11.25">
      <c r="A145" s="1479" t="s">
        <v>3</v>
      </c>
      <c r="B145" s="1480"/>
      <c r="C145" s="1481"/>
      <c r="D145" s="1480"/>
      <c r="E145" s="1481"/>
      <c r="F145" s="1480"/>
      <c r="G145" s="1481"/>
      <c r="H145" s="1480"/>
      <c r="I145" s="1481"/>
      <c r="J145" s="1480"/>
      <c r="K145" s="1481"/>
      <c r="L145" s="1480"/>
      <c r="M145" s="1481"/>
      <c r="N145" s="1480"/>
      <c r="O145" s="1481"/>
      <c r="P145" s="1480"/>
      <c r="Q145" s="1481"/>
      <c r="R145" s="1480"/>
      <c r="S145" s="1484"/>
      <c r="T145" s="1485"/>
      <c r="U145" s="1485"/>
      <c r="V145" s="1485"/>
      <c r="W145" s="1481"/>
      <c r="X145" s="1483"/>
      <c r="Y145" s="1484"/>
      <c r="Z145" s="1485"/>
      <c r="AA145" s="1485"/>
      <c r="AB145" s="1485"/>
      <c r="AC145" s="1481"/>
      <c r="AD145" s="1483"/>
      <c r="AE145" s="1484"/>
      <c r="AF145" s="1485"/>
      <c r="AG145" s="1485"/>
      <c r="AH145" s="1482"/>
      <c r="AI145" s="1481"/>
      <c r="AJ145" s="1483"/>
      <c r="AK145" s="1484"/>
      <c r="AL145" s="1485"/>
      <c r="AM145" s="1485"/>
      <c r="AN145" s="1482"/>
      <c r="AO145" s="1481"/>
      <c r="AP145" s="1483"/>
      <c r="AQ145" s="1486">
        <f>IS!AQ9</f>
        <v>277.7</v>
      </c>
      <c r="AR145" s="1487">
        <f>IS!AR9</f>
        <v>300.89999999999998</v>
      </c>
      <c r="AS145" s="1487">
        <f>IS!AS9</f>
        <v>310.2</v>
      </c>
      <c r="AT145" s="1488">
        <f>IS!AT9</f>
        <v>416.1</v>
      </c>
      <c r="AU145" s="1481">
        <f>SUM(AU141:AU144)</f>
        <v>1304.9000000000001</v>
      </c>
      <c r="AV145" s="1483"/>
      <c r="AW145" s="1486">
        <f>IS!AW9</f>
        <v>357</v>
      </c>
      <c r="AX145" s="1487">
        <f>IS!AX9</f>
        <v>401.20000000000005</v>
      </c>
      <c r="AY145" s="1487">
        <f>IS!AY9</f>
        <v>418.4</v>
      </c>
      <c r="AZ145" s="1487">
        <f>IS!AZ9</f>
        <v>475.09999999999991</v>
      </c>
      <c r="BA145" s="1481">
        <f>SUM(BA141:BA144)</f>
        <v>1651.7</v>
      </c>
      <c r="BB145" s="1483"/>
      <c r="BC145" s="1486">
        <f>IS!BC9</f>
        <v>405.6</v>
      </c>
      <c r="BD145" s="1487">
        <f>IS!BD9</f>
        <v>420.70000000000005</v>
      </c>
      <c r="BE145" s="1487">
        <f>IS!BE9</f>
        <v>447.8</v>
      </c>
      <c r="BF145" s="1487">
        <f>IS!BF9</f>
        <v>517.30000000000007</v>
      </c>
      <c r="BG145" s="1481">
        <f>SUM(BG141:BG144)</f>
        <v>1791.4</v>
      </c>
      <c r="BH145" s="1483"/>
      <c r="BI145" s="1486">
        <f>IS!BI9</f>
        <v>393.40000000000003</v>
      </c>
      <c r="BJ145" s="1487">
        <f>IS!BJ9</f>
        <v>454.90000000000003</v>
      </c>
      <c r="BK145" s="1487">
        <f>IS!BK9</f>
        <v>439</v>
      </c>
      <c r="BL145" s="1487">
        <f>IS!BL9</f>
        <v>552.1</v>
      </c>
      <c r="BM145" s="1481">
        <f>SUM(BM141:BM144)</f>
        <v>1839.4</v>
      </c>
      <c r="BN145" s="1483"/>
      <c r="BO145" s="1486">
        <f>IS!BO9</f>
        <v>423.70000000000005</v>
      </c>
      <c r="BP145" s="1487">
        <f>IS!BP9</f>
        <v>457.4</v>
      </c>
      <c r="BQ145" s="1487">
        <f>IS!BQ9</f>
        <v>419.8</v>
      </c>
      <c r="BR145" s="1487">
        <f>IS!BR9</f>
        <v>508.00000000000006</v>
      </c>
      <c r="BS145" s="1481">
        <f>SUM(BS141:BS144)</f>
        <v>1808.8999999999999</v>
      </c>
      <c r="BT145" s="1489"/>
      <c r="BU145" s="1486">
        <f>IS!BU9</f>
        <v>353.5</v>
      </c>
      <c r="BV145" s="1487">
        <f>IS!BV9</f>
        <v>396</v>
      </c>
      <c r="BW145" s="1487">
        <f>IS!BW9</f>
        <v>396.1</v>
      </c>
      <c r="BX145" s="1487">
        <f>IS!BX9</f>
        <v>478.19999999999982</v>
      </c>
      <c r="BY145" s="1481">
        <f>SUM(BY141:BY144)</f>
        <v>1623.8000000000002</v>
      </c>
      <c r="BZ145" s="1489"/>
      <c r="CA145" s="1486">
        <f>IS!CA9</f>
        <v>375.40000000000003</v>
      </c>
      <c r="CB145" s="1487">
        <f>IS!CB9</f>
        <v>371.70000000000005</v>
      </c>
      <c r="CC145" s="1487">
        <f>IS!CC9</f>
        <v>393.9</v>
      </c>
      <c r="CD145" s="1487">
        <f>IS!CD9</f>
        <v>470.29999999999995</v>
      </c>
      <c r="CE145" s="1481">
        <f>SUM(CE141:CE144)</f>
        <v>1611.2999999999997</v>
      </c>
      <c r="CF145" s="1489"/>
      <c r="CG145" s="1486">
        <f>IS!CG9</f>
        <v>384.9</v>
      </c>
      <c r="CH145" s="1487">
        <f>IS!CH9</f>
        <v>414.9</v>
      </c>
      <c r="CI145" s="1487">
        <f>IS!CI9</f>
        <v>435.59999999999997</v>
      </c>
      <c r="CJ145" s="1487">
        <f>IS!CJ9</f>
        <v>530.50000000000023</v>
      </c>
      <c r="CK145" s="1490">
        <f>IS!CK9</f>
        <v>1765.9</v>
      </c>
      <c r="CL145" s="1489"/>
      <c r="CM145" s="1486">
        <f>IS!CM9</f>
        <v>423.67719212356712</v>
      </c>
      <c r="CN145" s="1487">
        <f>IS!CN9</f>
        <v>434.28431579916509</v>
      </c>
      <c r="CO145" s="1487">
        <f>IS!CO9</f>
        <v>450.99979220185833</v>
      </c>
      <c r="CP145" s="1487">
        <f>IS!CP9</f>
        <v>557.78771178427723</v>
      </c>
      <c r="CQ145" s="1490">
        <f>IS!CQ9</f>
        <v>1866.7490119088677</v>
      </c>
      <c r="CR145" s="1489"/>
      <c r="CS145" s="1486">
        <f>IS!CS9</f>
        <v>431.04260438906022</v>
      </c>
      <c r="CT145" s="1487">
        <f>IS!CT9</f>
        <v>449.4041565537683</v>
      </c>
      <c r="CU145" s="1487">
        <f>IS!CU9</f>
        <v>457.78929117749834</v>
      </c>
      <c r="CV145" s="1487">
        <f>IS!CV9</f>
        <v>584.88759699941534</v>
      </c>
      <c r="CW145" s="1490">
        <f>IS!CW9</f>
        <v>1923.1236491197421</v>
      </c>
      <c r="CX145" s="1489"/>
      <c r="CY145" s="1486">
        <f>IS!CY9</f>
        <v>442.66440709619286</v>
      </c>
      <c r="CZ145" s="1487">
        <f>IS!CZ9</f>
        <v>453.8948027185067</v>
      </c>
      <c r="DA145" s="1487">
        <f>IS!DA9</f>
        <v>473.67666555024914</v>
      </c>
      <c r="DB145" s="1487">
        <f>IS!DB9</f>
        <v>596.03831619289554</v>
      </c>
      <c r="DC145" s="1490">
        <f>IS!DC9</f>
        <v>1966.2741915578442</v>
      </c>
      <c r="DD145" s="1489"/>
      <c r="DE145" s="1486">
        <f>IS!DE9</f>
        <v>449.85713597755313</v>
      </c>
      <c r="DF145" s="1487">
        <f>IS!DF9</f>
        <v>468.52225147081901</v>
      </c>
      <c r="DG145" s="1487">
        <f>IS!DG9</f>
        <v>480.76509934093394</v>
      </c>
      <c r="DH145" s="1487">
        <f>IS!DH9</f>
        <v>612.82352954560815</v>
      </c>
      <c r="DI145" s="1490">
        <f>IS!DI9</f>
        <v>2011.9680163349142</v>
      </c>
    </row>
    <row r="146" spans="1:113" s="1385" customFormat="1" ht="11.25">
      <c r="A146" s="1382" t="s">
        <v>68</v>
      </c>
      <c r="B146" s="1383"/>
      <c r="C146" s="1502"/>
      <c r="D146" s="1383"/>
      <c r="E146" s="1502"/>
      <c r="F146" s="1383"/>
      <c r="G146" s="1502"/>
      <c r="H146" s="1383"/>
      <c r="I146" s="1502"/>
      <c r="J146" s="1383"/>
      <c r="K146" s="1502"/>
      <c r="L146" s="1383"/>
      <c r="M146" s="1502"/>
      <c r="N146" s="1383"/>
      <c r="O146" s="1502"/>
      <c r="P146" s="1383"/>
      <c r="Q146" s="1502"/>
      <c r="R146" s="1384"/>
      <c r="S146" s="1501"/>
      <c r="T146" s="1383"/>
      <c r="U146" s="1383"/>
      <c r="V146" s="1383"/>
      <c r="W146" s="1502"/>
      <c r="X146" s="1383"/>
      <c r="Y146" s="1501"/>
      <c r="Z146" s="1383"/>
      <c r="AA146" s="1383"/>
      <c r="AB146" s="1383"/>
      <c r="AC146" s="1502"/>
      <c r="AD146" s="1383"/>
      <c r="AE146" s="1501"/>
      <c r="AF146" s="1383"/>
      <c r="AG146" s="1383"/>
      <c r="AH146" s="1383"/>
      <c r="AI146" s="1502"/>
      <c r="AJ146" s="1383"/>
      <c r="AK146" s="1501"/>
      <c r="AL146" s="1383"/>
      <c r="AM146" s="1383"/>
      <c r="AN146" s="1383"/>
      <c r="AO146" s="1502"/>
      <c r="AP146" s="1383"/>
      <c r="AQ146" s="1501"/>
      <c r="AR146" s="1383"/>
      <c r="AS146" s="1383"/>
      <c r="AT146" s="1383"/>
      <c r="AU146" s="1502">
        <f>IS!AU9-AU145</f>
        <v>0</v>
      </c>
      <c r="AV146" s="1383"/>
      <c r="AW146" s="1501"/>
      <c r="AX146" s="1383"/>
      <c r="AY146" s="1383"/>
      <c r="AZ146" s="1383"/>
      <c r="BA146" s="1502">
        <f>IS!BA9-BA145</f>
        <v>0</v>
      </c>
      <c r="BB146" s="1383"/>
      <c r="BC146" s="1501"/>
      <c r="BD146" s="1383"/>
      <c r="BE146" s="1383"/>
      <c r="BF146" s="1383"/>
      <c r="BG146" s="1502">
        <f>IS!BG9-BG145</f>
        <v>0</v>
      </c>
      <c r="BH146" s="1383"/>
      <c r="BI146" s="1501"/>
      <c r="BJ146" s="1383"/>
      <c r="BK146" s="1383"/>
      <c r="BL146" s="1383"/>
      <c r="BM146" s="1502">
        <f>IS!BM9-BM145</f>
        <v>0</v>
      </c>
      <c r="BN146" s="1383"/>
      <c r="BO146" s="1501"/>
      <c r="BP146" s="1383"/>
      <c r="BQ146" s="1383"/>
      <c r="BR146" s="1383"/>
      <c r="BS146" s="1502">
        <f>IS!BS9-BS145</f>
        <v>0</v>
      </c>
      <c r="BT146" s="1383"/>
      <c r="BU146" s="1501"/>
      <c r="BV146" s="1383"/>
      <c r="BW146" s="1383"/>
      <c r="BX146" s="1383"/>
      <c r="BY146" s="1502">
        <f>IS!BY9-BY145</f>
        <v>0</v>
      </c>
      <c r="BZ146" s="1383"/>
      <c r="CA146" s="1501"/>
      <c r="CB146" s="1383"/>
      <c r="CC146" s="1383"/>
      <c r="CD146" s="1383"/>
      <c r="CE146" s="1502">
        <f>IS!CE9-CE145</f>
        <v>0</v>
      </c>
      <c r="CF146" s="1383"/>
      <c r="CG146" s="1501"/>
      <c r="CH146" s="1383"/>
      <c r="CI146" s="1383"/>
      <c r="CJ146" s="1383"/>
      <c r="CK146" s="1502">
        <f>CK145-SUM(CK141:CK144)</f>
        <v>0</v>
      </c>
      <c r="CL146" s="1383"/>
      <c r="CM146" s="1501"/>
      <c r="CN146" s="1383"/>
      <c r="CO146" s="1383"/>
      <c r="CP146" s="1383"/>
      <c r="CQ146" s="1502">
        <f>CQ145-SUM(CQ141:CQ144)</f>
        <v>0</v>
      </c>
      <c r="CR146" s="1383"/>
      <c r="CS146" s="1501"/>
      <c r="CT146" s="1383"/>
      <c r="CU146" s="1383"/>
      <c r="CV146" s="1383"/>
      <c r="CW146" s="1502">
        <f>CW145-SUM(CW141:CW144)</f>
        <v>0</v>
      </c>
      <c r="CX146" s="1383"/>
      <c r="CY146" s="1501"/>
      <c r="CZ146" s="1383"/>
      <c r="DA146" s="1383"/>
      <c r="DB146" s="1383"/>
      <c r="DC146" s="1502">
        <f>DC145-SUM(DC141:DC144)</f>
        <v>0</v>
      </c>
      <c r="DD146" s="1383"/>
      <c r="DE146" s="1501"/>
      <c r="DF146" s="1383"/>
      <c r="DG146" s="1383"/>
      <c r="DH146" s="1383"/>
      <c r="DI146" s="1502">
        <f>DI145-SUM(DI141:DI144)</f>
        <v>0</v>
      </c>
    </row>
    <row r="147" spans="1:113" s="1369" customFormat="1" ht="13.5" customHeight="1">
      <c r="A147" s="1467" t="s">
        <v>398</v>
      </c>
      <c r="B147" s="1468"/>
      <c r="C147" s="1470"/>
      <c r="D147" s="1468"/>
      <c r="E147" s="1470"/>
      <c r="F147" s="1468"/>
      <c r="G147" s="1470"/>
      <c r="H147" s="1468"/>
      <c r="I147" s="1470"/>
      <c r="J147" s="1468"/>
      <c r="K147" s="1470"/>
      <c r="L147" s="1468"/>
      <c r="M147" s="1470"/>
      <c r="N147" s="1468"/>
      <c r="O147" s="1470"/>
      <c r="P147" s="1468"/>
      <c r="Q147" s="1470"/>
      <c r="R147" s="1468"/>
      <c r="S147" s="1469"/>
      <c r="T147" s="1468"/>
      <c r="U147" s="1468"/>
      <c r="V147" s="1468"/>
      <c r="W147" s="1470"/>
      <c r="X147" s="1468"/>
      <c r="Y147" s="1469"/>
      <c r="Z147" s="1468"/>
      <c r="AA147" s="1468"/>
      <c r="AB147" s="1468"/>
      <c r="AC147" s="1470"/>
      <c r="AD147" s="1468"/>
      <c r="AE147" s="1469"/>
      <c r="AF147" s="1468"/>
      <c r="AG147" s="1468"/>
      <c r="AH147" s="1471"/>
      <c r="AI147" s="1470"/>
      <c r="AJ147" s="1468"/>
      <c r="AK147" s="1469"/>
      <c r="AL147" s="1468"/>
      <c r="AM147" s="1468"/>
      <c r="AN147" s="1471"/>
      <c r="AO147" s="1470"/>
      <c r="AP147" s="1468"/>
      <c r="AQ147" s="1469"/>
      <c r="AR147" s="1468"/>
      <c r="AS147" s="1468"/>
      <c r="AT147" s="1468"/>
      <c r="AU147" s="1470"/>
      <c r="AV147" s="1468"/>
      <c r="AW147" s="1469"/>
      <c r="AX147" s="1468"/>
      <c r="AY147" s="1468"/>
      <c r="AZ147" s="1471"/>
      <c r="BA147" s="1470"/>
      <c r="BB147" s="1468"/>
      <c r="BC147" s="1469"/>
      <c r="BD147" s="1468"/>
      <c r="BE147" s="1468"/>
      <c r="BF147" s="1468"/>
      <c r="BG147" s="1470"/>
      <c r="BH147" s="1468"/>
      <c r="BI147" s="1469"/>
      <c r="BJ147" s="1468"/>
      <c r="BK147" s="1468"/>
      <c r="BL147" s="1471"/>
      <c r="BM147" s="1470"/>
      <c r="BN147" s="1468"/>
      <c r="BO147" s="1469"/>
      <c r="BP147" s="1468"/>
      <c r="BQ147" s="1468"/>
      <c r="BR147" s="1468"/>
      <c r="BS147" s="1470"/>
      <c r="BT147" s="1468"/>
      <c r="BU147" s="1469"/>
      <c r="BV147" s="1468"/>
      <c r="BW147" s="1468"/>
      <c r="BX147" s="1468"/>
      <c r="BY147" s="1470"/>
      <c r="BZ147" s="1468"/>
      <c r="CA147" s="1469"/>
      <c r="CB147" s="1468"/>
      <c r="CC147" s="1468"/>
      <c r="CD147" s="1468"/>
      <c r="CE147" s="1470"/>
      <c r="CF147" s="1468"/>
      <c r="CG147" s="1469"/>
      <c r="CH147" s="1468"/>
      <c r="CI147" s="1468"/>
      <c r="CJ147" s="1468"/>
      <c r="CK147" s="1470"/>
      <c r="CL147" s="1468"/>
      <c r="CM147" s="1469"/>
      <c r="CN147" s="1468"/>
      <c r="CO147" s="1468"/>
      <c r="CP147" s="1468"/>
      <c r="CQ147" s="1470"/>
      <c r="CR147" s="1468"/>
      <c r="CS147" s="1469"/>
      <c r="CT147" s="1468"/>
      <c r="CU147" s="1468"/>
      <c r="CV147" s="1468"/>
      <c r="CW147" s="1470"/>
      <c r="CX147" s="1468"/>
      <c r="CY147" s="1469"/>
      <c r="CZ147" s="1468"/>
      <c r="DA147" s="1468"/>
      <c r="DB147" s="1468"/>
      <c r="DC147" s="1470"/>
      <c r="DD147" s="1468"/>
      <c r="DE147" s="1469"/>
      <c r="DF147" s="1468"/>
      <c r="DG147" s="1468"/>
      <c r="DH147" s="1468"/>
      <c r="DI147" s="1470"/>
    </row>
    <row r="148" spans="1:113" s="1372" customFormat="1" ht="11.25">
      <c r="A148" s="1386" t="str">
        <f>A141</f>
        <v>United States</v>
      </c>
      <c r="B148" s="1387"/>
      <c r="C148" s="1388" t="str">
        <f>IF(ISERROR(C141/C$145),"NM",C141/C$145)</f>
        <v>NM</v>
      </c>
      <c r="D148" s="1387"/>
      <c r="E148" s="1388" t="str">
        <f>IF(ISERROR(E141/E$145),"NM",E141/E$145)</f>
        <v>NM</v>
      </c>
      <c r="F148" s="1387"/>
      <c r="G148" s="1388" t="str">
        <f>IF(ISERROR(G141/G$145),"NM",G141/G$145)</f>
        <v>NM</v>
      </c>
      <c r="H148" s="1387"/>
      <c r="I148" s="1388" t="str">
        <f>IF(ISERROR(I141/I$145),"NM",I141/I$145)</f>
        <v>NM</v>
      </c>
      <c r="J148" s="1387"/>
      <c r="K148" s="1388" t="str">
        <f>IF(ISERROR(K141/K$145),"NM",K141/K$145)</f>
        <v>NM</v>
      </c>
      <c r="L148" s="1387"/>
      <c r="M148" s="1388" t="str">
        <f>IF(ISERROR(M141/M$145),"NM",M141/M$145)</f>
        <v>NM</v>
      </c>
      <c r="N148" s="1387"/>
      <c r="O148" s="1388" t="str">
        <f>IF(ISERROR(O141/O$145),"NM",O141/O$145)</f>
        <v>NM</v>
      </c>
      <c r="P148" s="1387"/>
      <c r="Q148" s="1388" t="str">
        <f>IF(ISERROR(Q141/Q$145),"NM",Q141/Q$145)</f>
        <v>NM</v>
      </c>
      <c r="R148" s="1387"/>
      <c r="S148" s="1389" t="str">
        <f t="shared" ref="S148:W152" si="71">IF(ISERROR(S141/S$145),"NM",S141/S$145)</f>
        <v>NM</v>
      </c>
      <c r="T148" s="1390" t="str">
        <f t="shared" si="71"/>
        <v>NM</v>
      </c>
      <c r="U148" s="1390" t="str">
        <f t="shared" si="71"/>
        <v>NM</v>
      </c>
      <c r="V148" s="1390" t="str">
        <f t="shared" si="71"/>
        <v>NM</v>
      </c>
      <c r="W148" s="1388" t="str">
        <f t="shared" si="71"/>
        <v>NM</v>
      </c>
      <c r="X148" s="1390"/>
      <c r="Y148" s="1389" t="str">
        <f t="shared" ref="Y148:AC152" si="72">IF(ISERROR(Y141/Y$145),"NM",Y141/Y$145)</f>
        <v>NM</v>
      </c>
      <c r="Z148" s="1390" t="str">
        <f t="shared" si="72"/>
        <v>NM</v>
      </c>
      <c r="AA148" s="1390" t="str">
        <f t="shared" si="72"/>
        <v>NM</v>
      </c>
      <c r="AB148" s="1390" t="str">
        <f t="shared" si="72"/>
        <v>NM</v>
      </c>
      <c r="AC148" s="1388" t="str">
        <f t="shared" si="72"/>
        <v>NM</v>
      </c>
      <c r="AD148" s="1390"/>
      <c r="AE148" s="1389" t="str">
        <f t="shared" ref="AE148:AI152" si="73">IF(ISERROR(AE141/AE$145),"NM",AE141/AE$145)</f>
        <v>NM</v>
      </c>
      <c r="AF148" s="1390" t="str">
        <f t="shared" si="73"/>
        <v>NM</v>
      </c>
      <c r="AG148" s="1390" t="str">
        <f t="shared" si="73"/>
        <v>NM</v>
      </c>
      <c r="AH148" s="1390" t="str">
        <f t="shared" si="73"/>
        <v>NM</v>
      </c>
      <c r="AI148" s="1388" t="str">
        <f t="shared" si="73"/>
        <v>NM</v>
      </c>
      <c r="AJ148" s="1390"/>
      <c r="AK148" s="1389" t="str">
        <f t="shared" ref="AK148:AO152" si="74">IF(ISERROR(AK141/AK$145),"NM",AK141/AK$145)</f>
        <v>NM</v>
      </c>
      <c r="AL148" s="1390" t="str">
        <f t="shared" si="74"/>
        <v>NM</v>
      </c>
      <c r="AM148" s="1390" t="str">
        <f t="shared" si="74"/>
        <v>NM</v>
      </c>
      <c r="AN148" s="1390" t="str">
        <f t="shared" si="74"/>
        <v>NM</v>
      </c>
      <c r="AO148" s="1388" t="str">
        <f t="shared" si="74"/>
        <v>NM</v>
      </c>
      <c r="AP148" s="1390"/>
      <c r="AQ148" s="1391">
        <f t="shared" ref="AQ148:AT151" si="75">AR148</f>
        <v>0.20231435359031341</v>
      </c>
      <c r="AR148" s="1392">
        <f t="shared" si="75"/>
        <v>0.20231435359031341</v>
      </c>
      <c r="AS148" s="1392">
        <f t="shared" si="75"/>
        <v>0.20231435359031341</v>
      </c>
      <c r="AT148" s="1392">
        <f t="shared" si="75"/>
        <v>0.20231435359031341</v>
      </c>
      <c r="AU148" s="1388">
        <f>IF(ISERROR(AU141/AU$145),"NM",AU141/AU$145)</f>
        <v>0.20231435359031341</v>
      </c>
      <c r="AV148" s="1390"/>
      <c r="AW148" s="1391">
        <f t="shared" ref="AW148:AZ151" si="76">AX148</f>
        <v>0.18720106556880789</v>
      </c>
      <c r="AX148" s="1392">
        <f t="shared" si="76"/>
        <v>0.18720106556880789</v>
      </c>
      <c r="AY148" s="1392">
        <f t="shared" si="76"/>
        <v>0.18720106556880789</v>
      </c>
      <c r="AZ148" s="1392">
        <f t="shared" si="76"/>
        <v>0.18720106556880789</v>
      </c>
      <c r="BA148" s="1388">
        <f>IF(ISERROR(BA141/BA$145),"NM",BA141/BA$145)</f>
        <v>0.18720106556880789</v>
      </c>
      <c r="BB148" s="1390"/>
      <c r="BC148" s="1391">
        <f t="shared" ref="BC148:BF151" si="77">BD148</f>
        <v>0.21056157195489558</v>
      </c>
      <c r="BD148" s="1392">
        <f t="shared" si="77"/>
        <v>0.21056157195489558</v>
      </c>
      <c r="BE148" s="1392">
        <f t="shared" si="77"/>
        <v>0.21056157195489558</v>
      </c>
      <c r="BF148" s="1392">
        <f t="shared" si="77"/>
        <v>0.21056157195489558</v>
      </c>
      <c r="BG148" s="1388">
        <f>IF(ISERROR(BG141/BG$145),"NM",BG141/BG$145)</f>
        <v>0.21056157195489558</v>
      </c>
      <c r="BH148" s="1390"/>
      <c r="BI148" s="1391">
        <f t="shared" ref="BI148:BL151" si="78">BJ148</f>
        <v>0.19555289768402739</v>
      </c>
      <c r="BJ148" s="1392">
        <f t="shared" si="78"/>
        <v>0.19555289768402739</v>
      </c>
      <c r="BK148" s="1392">
        <f t="shared" si="78"/>
        <v>0.19555289768402739</v>
      </c>
      <c r="BL148" s="1392">
        <f t="shared" si="78"/>
        <v>0.19555289768402739</v>
      </c>
      <c r="BM148" s="1388">
        <f>IF(ISERROR(BM141/BM$145),"NM",BM141/BM$145)</f>
        <v>0.19555289768402739</v>
      </c>
      <c r="BN148" s="1390"/>
      <c r="BO148" s="1391">
        <f t="shared" ref="BO148:BR151" si="79">BP148</f>
        <v>0.21427386809663335</v>
      </c>
      <c r="BP148" s="1392">
        <f t="shared" si="79"/>
        <v>0.21427386809663335</v>
      </c>
      <c r="BQ148" s="1392">
        <f t="shared" si="79"/>
        <v>0.21427386809663335</v>
      </c>
      <c r="BR148" s="1392">
        <f t="shared" si="79"/>
        <v>0.21427386809663335</v>
      </c>
      <c r="BS148" s="1388">
        <f>IF(ISERROR(BS141/BS$145),"NM",BS141/BS$145)</f>
        <v>0.21427386809663335</v>
      </c>
      <c r="BT148" s="1392"/>
      <c r="BU148" s="1391">
        <f t="shared" ref="BU148:BU151" si="80">BV148</f>
        <v>0.23426530360881878</v>
      </c>
      <c r="BV148" s="1392">
        <f t="shared" ref="BV148:BV151" si="81">BW148</f>
        <v>0.23426530360881878</v>
      </c>
      <c r="BW148" s="1392">
        <f t="shared" ref="BW148:BW151" si="82">BX148</f>
        <v>0.23426530360881878</v>
      </c>
      <c r="BX148" s="1392">
        <f t="shared" ref="BX148:BX151" si="83">BY148</f>
        <v>0.23426530360881878</v>
      </c>
      <c r="BY148" s="1388">
        <f>IF(ISERROR(BY141/BY$145),"NM",BY141/BY$145)</f>
        <v>0.23426530360881878</v>
      </c>
      <c r="BZ148" s="1392"/>
      <c r="CA148" s="1391">
        <f t="shared" ref="CA148:CA151" si="84">CB148</f>
        <v>0.2657481536647428</v>
      </c>
      <c r="CB148" s="1392">
        <f t="shared" ref="CB148:CB151" si="85">CC148</f>
        <v>0.2657481536647428</v>
      </c>
      <c r="CC148" s="1392">
        <f t="shared" ref="CC148:CC151" si="86">CD148</f>
        <v>0.2657481536647428</v>
      </c>
      <c r="CD148" s="1392">
        <f t="shared" ref="CD148:CD151" si="87">CE148</f>
        <v>0.2657481536647428</v>
      </c>
      <c r="CE148" s="1388">
        <f>IF(ISERROR(CE141/CE$145),"NM",CE141/CE$145)</f>
        <v>0.2657481536647428</v>
      </c>
      <c r="CF148" s="1392"/>
      <c r="CG148" s="1391">
        <f>CE148</f>
        <v>0.2657481536647428</v>
      </c>
      <c r="CH148" s="1392">
        <f t="shared" ref="CH148:CK152" si="88">CG148</f>
        <v>0.2657481536647428</v>
      </c>
      <c r="CI148" s="1392">
        <f t="shared" si="88"/>
        <v>0.2657481536647428</v>
      </c>
      <c r="CJ148" s="1392">
        <f t="shared" si="88"/>
        <v>0.2657481536647428</v>
      </c>
      <c r="CK148" s="1393">
        <f t="shared" si="88"/>
        <v>0.2657481536647428</v>
      </c>
      <c r="CL148" s="1392"/>
      <c r="CM148" s="1391">
        <f>CK148</f>
        <v>0.2657481536647428</v>
      </c>
      <c r="CN148" s="1392">
        <f t="shared" ref="CN148:CQ152" si="89">CM148</f>
        <v>0.2657481536647428</v>
      </c>
      <c r="CO148" s="1392">
        <f t="shared" si="89"/>
        <v>0.2657481536647428</v>
      </c>
      <c r="CP148" s="1392">
        <f t="shared" si="89"/>
        <v>0.2657481536647428</v>
      </c>
      <c r="CQ148" s="1393">
        <f t="shared" si="89"/>
        <v>0.2657481536647428</v>
      </c>
      <c r="CR148" s="1392"/>
      <c r="CS148" s="1391">
        <f>CQ148</f>
        <v>0.2657481536647428</v>
      </c>
      <c r="CT148" s="1392">
        <f t="shared" ref="CT148:CW152" si="90">CS148</f>
        <v>0.2657481536647428</v>
      </c>
      <c r="CU148" s="1392">
        <f t="shared" si="90"/>
        <v>0.2657481536647428</v>
      </c>
      <c r="CV148" s="1392">
        <f t="shared" si="90"/>
        <v>0.2657481536647428</v>
      </c>
      <c r="CW148" s="1393">
        <f t="shared" si="90"/>
        <v>0.2657481536647428</v>
      </c>
      <c r="CX148" s="1392"/>
      <c r="CY148" s="1391">
        <f>CW148</f>
        <v>0.2657481536647428</v>
      </c>
      <c r="CZ148" s="1392">
        <f t="shared" ref="CZ148:CZ152" si="91">CY148</f>
        <v>0.2657481536647428</v>
      </c>
      <c r="DA148" s="1392">
        <f t="shared" ref="DA148:DA152" si="92">CZ148</f>
        <v>0.2657481536647428</v>
      </c>
      <c r="DB148" s="1392">
        <f t="shared" ref="DB148:DB152" si="93">DA148</f>
        <v>0.2657481536647428</v>
      </c>
      <c r="DC148" s="1393">
        <f t="shared" ref="DC148:DC152" si="94">DB148</f>
        <v>0.2657481536647428</v>
      </c>
      <c r="DD148" s="1392"/>
      <c r="DE148" s="1391">
        <f>DC148</f>
        <v>0.2657481536647428</v>
      </c>
      <c r="DF148" s="1392">
        <f t="shared" ref="DF148:DF152" si="95">DE148</f>
        <v>0.2657481536647428</v>
      </c>
      <c r="DG148" s="1392">
        <f t="shared" ref="DG148:DG152" si="96">DF148</f>
        <v>0.2657481536647428</v>
      </c>
      <c r="DH148" s="1392">
        <f t="shared" ref="DH148:DH152" si="97">DG148</f>
        <v>0.2657481536647428</v>
      </c>
      <c r="DI148" s="1393">
        <f t="shared" ref="DI148:DI152" si="98">DH148</f>
        <v>0.2657481536647428</v>
      </c>
    </row>
    <row r="149" spans="1:113" s="1381" customFormat="1" ht="11.25">
      <c r="A149" s="1394" t="str">
        <f>A142</f>
        <v>Europe</v>
      </c>
      <c r="B149" s="1387"/>
      <c r="C149" s="1388" t="str">
        <f>IF(ISERROR(C142/C$145),"NM",C142/C$145)</f>
        <v>NM</v>
      </c>
      <c r="D149" s="1387"/>
      <c r="E149" s="1388" t="str">
        <f>IF(ISERROR(E142/E$145),"NM",E142/E$145)</f>
        <v>NM</v>
      </c>
      <c r="F149" s="1387"/>
      <c r="G149" s="1388" t="str">
        <f>IF(ISERROR(G142/G$145),"NM",G142/G$145)</f>
        <v>NM</v>
      </c>
      <c r="H149" s="1387"/>
      <c r="I149" s="1388" t="str">
        <f>IF(ISERROR(I142/I$145),"NM",I142/I$145)</f>
        <v>NM</v>
      </c>
      <c r="J149" s="1387"/>
      <c r="K149" s="1388" t="str">
        <f>IF(ISERROR(K142/K$145),"NM",K142/K$145)</f>
        <v>NM</v>
      </c>
      <c r="L149" s="1387"/>
      <c r="M149" s="1388" t="str">
        <f>IF(ISERROR(M142/M$145),"NM",M142/M$145)</f>
        <v>NM</v>
      </c>
      <c r="N149" s="1387"/>
      <c r="O149" s="1388" t="str">
        <f>IF(ISERROR(O142/O$145),"NM",O142/O$145)</f>
        <v>NM</v>
      </c>
      <c r="P149" s="1387"/>
      <c r="Q149" s="1388" t="str">
        <f>IF(ISERROR(Q142/Q$145),"NM",Q142/Q$145)</f>
        <v>NM</v>
      </c>
      <c r="R149" s="1387"/>
      <c r="S149" s="1389" t="str">
        <f t="shared" si="71"/>
        <v>NM</v>
      </c>
      <c r="T149" s="1390" t="str">
        <f t="shared" si="71"/>
        <v>NM</v>
      </c>
      <c r="U149" s="1390" t="str">
        <f t="shared" si="71"/>
        <v>NM</v>
      </c>
      <c r="V149" s="1390" t="str">
        <f t="shared" si="71"/>
        <v>NM</v>
      </c>
      <c r="W149" s="1388" t="str">
        <f t="shared" si="71"/>
        <v>NM</v>
      </c>
      <c r="X149" s="1390"/>
      <c r="Y149" s="1389" t="str">
        <f t="shared" si="72"/>
        <v>NM</v>
      </c>
      <c r="Z149" s="1390" t="str">
        <f t="shared" si="72"/>
        <v>NM</v>
      </c>
      <c r="AA149" s="1390" t="str">
        <f t="shared" si="72"/>
        <v>NM</v>
      </c>
      <c r="AB149" s="1390" t="str">
        <f t="shared" si="72"/>
        <v>NM</v>
      </c>
      <c r="AC149" s="1388" t="str">
        <f t="shared" si="72"/>
        <v>NM</v>
      </c>
      <c r="AD149" s="1390"/>
      <c r="AE149" s="1389" t="str">
        <f t="shared" si="73"/>
        <v>NM</v>
      </c>
      <c r="AF149" s="1390" t="str">
        <f t="shared" si="73"/>
        <v>NM</v>
      </c>
      <c r="AG149" s="1390" t="str">
        <f t="shared" si="73"/>
        <v>NM</v>
      </c>
      <c r="AH149" s="1390" t="str">
        <f t="shared" si="73"/>
        <v>NM</v>
      </c>
      <c r="AI149" s="1388" t="str">
        <f t="shared" si="73"/>
        <v>NM</v>
      </c>
      <c r="AJ149" s="1390"/>
      <c r="AK149" s="1389" t="str">
        <f t="shared" si="74"/>
        <v>NM</v>
      </c>
      <c r="AL149" s="1390" t="str">
        <f t="shared" si="74"/>
        <v>NM</v>
      </c>
      <c r="AM149" s="1390" t="str">
        <f t="shared" si="74"/>
        <v>NM</v>
      </c>
      <c r="AN149" s="1390" t="str">
        <f t="shared" si="74"/>
        <v>NM</v>
      </c>
      <c r="AO149" s="1388" t="str">
        <f t="shared" si="74"/>
        <v>NM</v>
      </c>
      <c r="AP149" s="1390"/>
      <c r="AQ149" s="1391">
        <f t="shared" si="75"/>
        <v>0.43351980994712241</v>
      </c>
      <c r="AR149" s="1392">
        <f t="shared" si="75"/>
        <v>0.43351980994712241</v>
      </c>
      <c r="AS149" s="1392">
        <f t="shared" si="75"/>
        <v>0.43351980994712241</v>
      </c>
      <c r="AT149" s="1392">
        <f t="shared" si="75"/>
        <v>0.43351980994712241</v>
      </c>
      <c r="AU149" s="1388">
        <f>IF(ISERROR(AU142/AU$145),"NM",AU142/AU$145)</f>
        <v>0.43351980994712241</v>
      </c>
      <c r="AV149" s="1390"/>
      <c r="AW149" s="1391">
        <f t="shared" si="76"/>
        <v>0.41078888417993581</v>
      </c>
      <c r="AX149" s="1392">
        <f t="shared" si="76"/>
        <v>0.41078888417993581</v>
      </c>
      <c r="AY149" s="1392">
        <f t="shared" si="76"/>
        <v>0.41078888417993581</v>
      </c>
      <c r="AZ149" s="1392">
        <f t="shared" si="76"/>
        <v>0.41078888417993581</v>
      </c>
      <c r="BA149" s="1388">
        <f>IF(ISERROR(BA142/BA$145),"NM",BA142/BA$145)</f>
        <v>0.41078888417993581</v>
      </c>
      <c r="BB149" s="1390"/>
      <c r="BC149" s="1391">
        <f t="shared" si="77"/>
        <v>0.39416099140337163</v>
      </c>
      <c r="BD149" s="1392">
        <f t="shared" si="77"/>
        <v>0.39416099140337163</v>
      </c>
      <c r="BE149" s="1392">
        <f t="shared" si="77"/>
        <v>0.39416099140337163</v>
      </c>
      <c r="BF149" s="1392">
        <f t="shared" si="77"/>
        <v>0.39416099140337163</v>
      </c>
      <c r="BG149" s="1388">
        <f>IF(ISERROR(BG142/BG$145),"NM",BG142/BG$145)</f>
        <v>0.39416099140337163</v>
      </c>
      <c r="BH149" s="1390"/>
      <c r="BI149" s="1391">
        <f t="shared" si="78"/>
        <v>0.4200282700880722</v>
      </c>
      <c r="BJ149" s="1392">
        <f t="shared" si="78"/>
        <v>0.4200282700880722</v>
      </c>
      <c r="BK149" s="1392">
        <f t="shared" si="78"/>
        <v>0.4200282700880722</v>
      </c>
      <c r="BL149" s="1392">
        <f t="shared" si="78"/>
        <v>0.4200282700880722</v>
      </c>
      <c r="BM149" s="1388">
        <f>IF(ISERROR(BM142/BM$145),"NM",BM142/BM$145)</f>
        <v>0.4200282700880722</v>
      </c>
      <c r="BN149" s="1390"/>
      <c r="BO149" s="1391">
        <f t="shared" si="79"/>
        <v>0.40798275194869815</v>
      </c>
      <c r="BP149" s="1392">
        <f t="shared" si="79"/>
        <v>0.40798275194869815</v>
      </c>
      <c r="BQ149" s="1392">
        <f t="shared" si="79"/>
        <v>0.40798275194869815</v>
      </c>
      <c r="BR149" s="1392">
        <f t="shared" si="79"/>
        <v>0.40798275194869815</v>
      </c>
      <c r="BS149" s="1388">
        <f>IF(ISERROR(BS142/BS$145),"NM",BS142/BS$145)</f>
        <v>0.40798275194869815</v>
      </c>
      <c r="BT149" s="1392"/>
      <c r="BU149" s="1391">
        <f t="shared" si="80"/>
        <v>0.41784702549575065</v>
      </c>
      <c r="BV149" s="1392">
        <f t="shared" si="81"/>
        <v>0.41784702549575065</v>
      </c>
      <c r="BW149" s="1392">
        <f t="shared" si="82"/>
        <v>0.41784702549575065</v>
      </c>
      <c r="BX149" s="1392">
        <f t="shared" si="83"/>
        <v>0.41784702549575065</v>
      </c>
      <c r="BY149" s="1388">
        <f>IF(ISERROR(BY142/BY$145),"NM",BY142/BY$145)</f>
        <v>0.41784702549575065</v>
      </c>
      <c r="BZ149" s="1392"/>
      <c r="CA149" s="1391">
        <f t="shared" si="84"/>
        <v>0.36175758704151934</v>
      </c>
      <c r="CB149" s="1392">
        <f t="shared" si="85"/>
        <v>0.36175758704151934</v>
      </c>
      <c r="CC149" s="1392">
        <f t="shared" si="86"/>
        <v>0.36175758704151934</v>
      </c>
      <c r="CD149" s="1392">
        <f t="shared" si="87"/>
        <v>0.36175758704151934</v>
      </c>
      <c r="CE149" s="1388">
        <f>IF(ISERROR(CE142/CE$145),"NM",CE142/CE$145)</f>
        <v>0.36175758704151934</v>
      </c>
      <c r="CF149" s="1392"/>
      <c r="CG149" s="1391">
        <f>CE149</f>
        <v>0.36175758704151934</v>
      </c>
      <c r="CH149" s="1392">
        <f t="shared" si="88"/>
        <v>0.36175758704151934</v>
      </c>
      <c r="CI149" s="1392">
        <f t="shared" si="88"/>
        <v>0.36175758704151934</v>
      </c>
      <c r="CJ149" s="1392">
        <f t="shared" si="88"/>
        <v>0.36175758704151934</v>
      </c>
      <c r="CK149" s="1393">
        <f t="shared" si="88"/>
        <v>0.36175758704151934</v>
      </c>
      <c r="CL149" s="1392"/>
      <c r="CM149" s="1391">
        <f>CK149</f>
        <v>0.36175758704151934</v>
      </c>
      <c r="CN149" s="1392">
        <f t="shared" si="89"/>
        <v>0.36175758704151934</v>
      </c>
      <c r="CO149" s="1392">
        <f t="shared" si="89"/>
        <v>0.36175758704151934</v>
      </c>
      <c r="CP149" s="1392">
        <f t="shared" si="89"/>
        <v>0.36175758704151934</v>
      </c>
      <c r="CQ149" s="1393">
        <f t="shared" si="89"/>
        <v>0.36175758704151934</v>
      </c>
      <c r="CR149" s="1392"/>
      <c r="CS149" s="1391">
        <f>CQ149</f>
        <v>0.36175758704151934</v>
      </c>
      <c r="CT149" s="1392">
        <f t="shared" si="90"/>
        <v>0.36175758704151934</v>
      </c>
      <c r="CU149" s="1392">
        <f t="shared" si="90"/>
        <v>0.36175758704151934</v>
      </c>
      <c r="CV149" s="1392">
        <f t="shared" si="90"/>
        <v>0.36175758704151934</v>
      </c>
      <c r="CW149" s="1393">
        <f t="shared" si="90"/>
        <v>0.36175758704151934</v>
      </c>
      <c r="CX149" s="1392"/>
      <c r="CY149" s="1391">
        <f>CW149</f>
        <v>0.36175758704151934</v>
      </c>
      <c r="CZ149" s="1392">
        <f t="shared" si="91"/>
        <v>0.36175758704151934</v>
      </c>
      <c r="DA149" s="1392">
        <f t="shared" si="92"/>
        <v>0.36175758704151934</v>
      </c>
      <c r="DB149" s="1392">
        <f t="shared" si="93"/>
        <v>0.36175758704151934</v>
      </c>
      <c r="DC149" s="1393">
        <f t="shared" si="94"/>
        <v>0.36175758704151934</v>
      </c>
      <c r="DD149" s="1392"/>
      <c r="DE149" s="1391">
        <f>DC149</f>
        <v>0.36175758704151934</v>
      </c>
      <c r="DF149" s="1392">
        <f t="shared" si="95"/>
        <v>0.36175758704151934</v>
      </c>
      <c r="DG149" s="1392">
        <f t="shared" si="96"/>
        <v>0.36175758704151934</v>
      </c>
      <c r="DH149" s="1392">
        <f t="shared" si="97"/>
        <v>0.36175758704151934</v>
      </c>
      <c r="DI149" s="1393">
        <f t="shared" si="98"/>
        <v>0.36175758704151934</v>
      </c>
    </row>
    <row r="150" spans="1:113" s="1381" customFormat="1" ht="11.25">
      <c r="A150" s="1394" t="str">
        <f>A143</f>
        <v>Asia Pacific</v>
      </c>
      <c r="B150" s="1387"/>
      <c r="C150" s="1388" t="str">
        <f>IF(ISERROR(C143/C$145),"NM",C143/C$145)</f>
        <v>NM</v>
      </c>
      <c r="D150" s="1387"/>
      <c r="E150" s="1388" t="str">
        <f>IF(ISERROR(E143/E$145),"NM",E143/E$145)</f>
        <v>NM</v>
      </c>
      <c r="F150" s="1387"/>
      <c r="G150" s="1388" t="str">
        <f>IF(ISERROR(G143/G$145),"NM",G143/G$145)</f>
        <v>NM</v>
      </c>
      <c r="H150" s="1387"/>
      <c r="I150" s="1388" t="str">
        <f>IF(ISERROR(I143/I$145),"NM",I143/I$145)</f>
        <v>NM</v>
      </c>
      <c r="J150" s="1387"/>
      <c r="K150" s="1388" t="str">
        <f>IF(ISERROR(K143/K$145),"NM",K143/K$145)</f>
        <v>NM</v>
      </c>
      <c r="L150" s="1387"/>
      <c r="M150" s="1388" t="str">
        <f>IF(ISERROR(M143/M$145),"NM",M143/M$145)</f>
        <v>NM</v>
      </c>
      <c r="N150" s="1387"/>
      <c r="O150" s="1388" t="str">
        <f>IF(ISERROR(O143/O$145),"NM",O143/O$145)</f>
        <v>NM</v>
      </c>
      <c r="P150" s="1387"/>
      <c r="Q150" s="1388" t="str">
        <f>IF(ISERROR(Q143/Q$145),"NM",Q143/Q$145)</f>
        <v>NM</v>
      </c>
      <c r="R150" s="1387"/>
      <c r="S150" s="1389" t="str">
        <f t="shared" si="71"/>
        <v>NM</v>
      </c>
      <c r="T150" s="1390" t="str">
        <f t="shared" si="71"/>
        <v>NM</v>
      </c>
      <c r="U150" s="1390" t="str">
        <f t="shared" si="71"/>
        <v>NM</v>
      </c>
      <c r="V150" s="1390" t="str">
        <f t="shared" si="71"/>
        <v>NM</v>
      </c>
      <c r="W150" s="1388" t="str">
        <f t="shared" si="71"/>
        <v>NM</v>
      </c>
      <c r="X150" s="1390"/>
      <c r="Y150" s="1389" t="str">
        <f t="shared" si="72"/>
        <v>NM</v>
      </c>
      <c r="Z150" s="1390" t="str">
        <f t="shared" si="72"/>
        <v>NM</v>
      </c>
      <c r="AA150" s="1390" t="str">
        <f t="shared" si="72"/>
        <v>NM</v>
      </c>
      <c r="AB150" s="1390" t="str">
        <f t="shared" si="72"/>
        <v>NM</v>
      </c>
      <c r="AC150" s="1388" t="str">
        <f t="shared" si="72"/>
        <v>NM</v>
      </c>
      <c r="AD150" s="1390"/>
      <c r="AE150" s="1389" t="str">
        <f t="shared" si="73"/>
        <v>NM</v>
      </c>
      <c r="AF150" s="1390" t="str">
        <f t="shared" si="73"/>
        <v>NM</v>
      </c>
      <c r="AG150" s="1390" t="str">
        <f t="shared" si="73"/>
        <v>NM</v>
      </c>
      <c r="AH150" s="1390" t="str">
        <f t="shared" si="73"/>
        <v>NM</v>
      </c>
      <c r="AI150" s="1388" t="str">
        <f t="shared" si="73"/>
        <v>NM</v>
      </c>
      <c r="AJ150" s="1390"/>
      <c r="AK150" s="1389" t="str">
        <f t="shared" si="74"/>
        <v>NM</v>
      </c>
      <c r="AL150" s="1390" t="str">
        <f t="shared" si="74"/>
        <v>NM</v>
      </c>
      <c r="AM150" s="1390" t="str">
        <f t="shared" si="74"/>
        <v>NM</v>
      </c>
      <c r="AN150" s="1390" t="str">
        <f t="shared" si="74"/>
        <v>NM</v>
      </c>
      <c r="AO150" s="1388" t="str">
        <f t="shared" si="74"/>
        <v>NM</v>
      </c>
      <c r="AP150" s="1390"/>
      <c r="AQ150" s="1391">
        <f t="shared" si="75"/>
        <v>0.26262548854318335</v>
      </c>
      <c r="AR150" s="1392">
        <f t="shared" si="75"/>
        <v>0.26262548854318335</v>
      </c>
      <c r="AS150" s="1392">
        <f t="shared" si="75"/>
        <v>0.26262548854318335</v>
      </c>
      <c r="AT150" s="1392">
        <f t="shared" si="75"/>
        <v>0.26262548854318335</v>
      </c>
      <c r="AU150" s="1388">
        <f>IF(ISERROR(AU143/AU$145),"NM",AU143/AU$145)</f>
        <v>0.26262548854318335</v>
      </c>
      <c r="AV150" s="1390"/>
      <c r="AW150" s="1391">
        <f t="shared" si="76"/>
        <v>0.30314221710964462</v>
      </c>
      <c r="AX150" s="1392">
        <f t="shared" si="76"/>
        <v>0.30314221710964462</v>
      </c>
      <c r="AY150" s="1392">
        <f t="shared" si="76"/>
        <v>0.30314221710964462</v>
      </c>
      <c r="AZ150" s="1392">
        <f t="shared" si="76"/>
        <v>0.30314221710964462</v>
      </c>
      <c r="BA150" s="1388">
        <f>IF(ISERROR(BA143/BA$145),"NM",BA143/BA$145)</f>
        <v>0.30314221710964462</v>
      </c>
      <c r="BB150" s="1390"/>
      <c r="BC150" s="1391">
        <f t="shared" si="77"/>
        <v>0.2934576309032042</v>
      </c>
      <c r="BD150" s="1392">
        <f t="shared" si="77"/>
        <v>0.2934576309032042</v>
      </c>
      <c r="BE150" s="1392">
        <f t="shared" si="77"/>
        <v>0.2934576309032042</v>
      </c>
      <c r="BF150" s="1392">
        <f t="shared" si="77"/>
        <v>0.2934576309032042</v>
      </c>
      <c r="BG150" s="1388">
        <f>IF(ISERROR(BG143/BG$145),"NM",BG143/BG$145)</f>
        <v>0.2934576309032042</v>
      </c>
      <c r="BH150" s="1390"/>
      <c r="BI150" s="1391">
        <f t="shared" si="78"/>
        <v>0.2876481461346091</v>
      </c>
      <c r="BJ150" s="1392">
        <f t="shared" si="78"/>
        <v>0.2876481461346091</v>
      </c>
      <c r="BK150" s="1392">
        <f t="shared" si="78"/>
        <v>0.2876481461346091</v>
      </c>
      <c r="BL150" s="1392">
        <f t="shared" si="78"/>
        <v>0.2876481461346091</v>
      </c>
      <c r="BM150" s="1388">
        <f>IF(ISERROR(BM143/BM$145),"NM",BM143/BM$145)</f>
        <v>0.2876481461346091</v>
      </c>
      <c r="BN150" s="1390"/>
      <c r="BO150" s="1391">
        <f t="shared" si="79"/>
        <v>0.27392337884902429</v>
      </c>
      <c r="BP150" s="1392">
        <f t="shared" si="79"/>
        <v>0.27392337884902429</v>
      </c>
      <c r="BQ150" s="1392">
        <f t="shared" si="79"/>
        <v>0.27392337884902429</v>
      </c>
      <c r="BR150" s="1392">
        <f t="shared" si="79"/>
        <v>0.27392337884902429</v>
      </c>
      <c r="BS150" s="1388">
        <f>IF(ISERROR(BS143/BS$145),"NM",BS143/BS$145)</f>
        <v>0.27392337884902429</v>
      </c>
      <c r="BT150" s="1392"/>
      <c r="BU150" s="1391">
        <f t="shared" si="80"/>
        <v>0.25551176253233154</v>
      </c>
      <c r="BV150" s="1392">
        <f t="shared" si="81"/>
        <v>0.25551176253233154</v>
      </c>
      <c r="BW150" s="1392">
        <f t="shared" si="82"/>
        <v>0.25551176253233154</v>
      </c>
      <c r="BX150" s="1392">
        <f t="shared" si="83"/>
        <v>0.25551176253233154</v>
      </c>
      <c r="BY150" s="1388">
        <f>IF(ISERROR(BY143/BY$145),"NM",BY143/BY$145)</f>
        <v>0.25551176253233154</v>
      </c>
      <c r="BZ150" s="1392"/>
      <c r="CA150" s="1391">
        <f t="shared" si="84"/>
        <v>0.28430459877117864</v>
      </c>
      <c r="CB150" s="1392">
        <f t="shared" si="85"/>
        <v>0.28430459877117864</v>
      </c>
      <c r="CC150" s="1392">
        <f t="shared" si="86"/>
        <v>0.28430459877117864</v>
      </c>
      <c r="CD150" s="1392">
        <f t="shared" si="87"/>
        <v>0.28430459877117864</v>
      </c>
      <c r="CE150" s="1388">
        <f>IF(ISERROR(CE143/CE$145),"NM",CE143/CE$145)</f>
        <v>0.28430459877117864</v>
      </c>
      <c r="CF150" s="1392"/>
      <c r="CG150" s="1391">
        <f>CE150</f>
        <v>0.28430459877117864</v>
      </c>
      <c r="CH150" s="1392">
        <f t="shared" si="88"/>
        <v>0.28430459877117864</v>
      </c>
      <c r="CI150" s="1392">
        <f t="shared" si="88"/>
        <v>0.28430459877117864</v>
      </c>
      <c r="CJ150" s="1392">
        <f t="shared" si="88"/>
        <v>0.28430459877117864</v>
      </c>
      <c r="CK150" s="1393">
        <f t="shared" si="88"/>
        <v>0.28430459877117864</v>
      </c>
      <c r="CL150" s="1392"/>
      <c r="CM150" s="1391">
        <f>CK150</f>
        <v>0.28430459877117864</v>
      </c>
      <c r="CN150" s="1392">
        <f t="shared" si="89"/>
        <v>0.28430459877117864</v>
      </c>
      <c r="CO150" s="1392">
        <f t="shared" si="89"/>
        <v>0.28430459877117864</v>
      </c>
      <c r="CP150" s="1392">
        <f t="shared" si="89"/>
        <v>0.28430459877117864</v>
      </c>
      <c r="CQ150" s="1393">
        <f t="shared" si="89"/>
        <v>0.28430459877117864</v>
      </c>
      <c r="CR150" s="1392"/>
      <c r="CS150" s="1391">
        <f>CQ150</f>
        <v>0.28430459877117864</v>
      </c>
      <c r="CT150" s="1392">
        <f t="shared" si="90"/>
        <v>0.28430459877117864</v>
      </c>
      <c r="CU150" s="1392">
        <f t="shared" si="90"/>
        <v>0.28430459877117864</v>
      </c>
      <c r="CV150" s="1392">
        <f t="shared" si="90"/>
        <v>0.28430459877117864</v>
      </c>
      <c r="CW150" s="1393">
        <f t="shared" si="90"/>
        <v>0.28430459877117864</v>
      </c>
      <c r="CX150" s="1392"/>
      <c r="CY150" s="1391">
        <f>CW150</f>
        <v>0.28430459877117864</v>
      </c>
      <c r="CZ150" s="1392">
        <f t="shared" si="91"/>
        <v>0.28430459877117864</v>
      </c>
      <c r="DA150" s="1392">
        <f t="shared" si="92"/>
        <v>0.28430459877117864</v>
      </c>
      <c r="DB150" s="1392">
        <f t="shared" si="93"/>
        <v>0.28430459877117864</v>
      </c>
      <c r="DC150" s="1393">
        <f t="shared" si="94"/>
        <v>0.28430459877117864</v>
      </c>
      <c r="DD150" s="1392"/>
      <c r="DE150" s="1391">
        <f>DC150</f>
        <v>0.28430459877117864</v>
      </c>
      <c r="DF150" s="1392">
        <f t="shared" si="95"/>
        <v>0.28430459877117864</v>
      </c>
      <c r="DG150" s="1392">
        <f t="shared" si="96"/>
        <v>0.28430459877117864</v>
      </c>
      <c r="DH150" s="1392">
        <f t="shared" si="97"/>
        <v>0.28430459877117864</v>
      </c>
      <c r="DI150" s="1393">
        <f t="shared" si="98"/>
        <v>0.28430459877117864</v>
      </c>
    </row>
    <row r="151" spans="1:113" s="1381" customFormat="1" ht="11.25">
      <c r="A151" s="1394" t="str">
        <f>A144</f>
        <v>Rest of world</v>
      </c>
      <c r="B151" s="1387"/>
      <c r="C151" s="1388" t="str">
        <f>IF(ISERROR(C144/C$145),"NM",C144/C$145)</f>
        <v>NM</v>
      </c>
      <c r="D151" s="1387"/>
      <c r="E151" s="1388" t="str">
        <f>IF(ISERROR(E144/E$145),"NM",E144/E$145)</f>
        <v>NM</v>
      </c>
      <c r="F151" s="1387"/>
      <c r="G151" s="1388" t="str">
        <f>IF(ISERROR(G144/G$145),"NM",G144/G$145)</f>
        <v>NM</v>
      </c>
      <c r="H151" s="1387"/>
      <c r="I151" s="1388" t="str">
        <f>IF(ISERROR(I144/I$145),"NM",I144/I$145)</f>
        <v>NM</v>
      </c>
      <c r="J151" s="1387"/>
      <c r="K151" s="1388" t="str">
        <f>IF(ISERROR(K144/K$145),"NM",K144/K$145)</f>
        <v>NM</v>
      </c>
      <c r="L151" s="1387"/>
      <c r="M151" s="1388" t="str">
        <f>IF(ISERROR(M144/M$145),"NM",M144/M$145)</f>
        <v>NM</v>
      </c>
      <c r="N151" s="1387"/>
      <c r="O151" s="1388" t="str">
        <f>IF(ISERROR(O144/O$145),"NM",O144/O$145)</f>
        <v>NM</v>
      </c>
      <c r="P151" s="1387"/>
      <c r="Q151" s="1388" t="str">
        <f>IF(ISERROR(Q144/Q$145),"NM",Q144/Q$145)</f>
        <v>NM</v>
      </c>
      <c r="R151" s="1387"/>
      <c r="S151" s="1389" t="str">
        <f t="shared" si="71"/>
        <v>NM</v>
      </c>
      <c r="T151" s="1390" t="str">
        <f t="shared" si="71"/>
        <v>NM</v>
      </c>
      <c r="U151" s="1390" t="str">
        <f t="shared" si="71"/>
        <v>NM</v>
      </c>
      <c r="V151" s="1390" t="str">
        <f t="shared" si="71"/>
        <v>NM</v>
      </c>
      <c r="W151" s="1388" t="str">
        <f t="shared" si="71"/>
        <v>NM</v>
      </c>
      <c r="X151" s="1390"/>
      <c r="Y151" s="1389" t="str">
        <f t="shared" si="72"/>
        <v>NM</v>
      </c>
      <c r="Z151" s="1390" t="str">
        <f t="shared" si="72"/>
        <v>NM</v>
      </c>
      <c r="AA151" s="1390" t="str">
        <f t="shared" si="72"/>
        <v>NM</v>
      </c>
      <c r="AB151" s="1390" t="str">
        <f t="shared" si="72"/>
        <v>NM</v>
      </c>
      <c r="AC151" s="1388" t="str">
        <f t="shared" si="72"/>
        <v>NM</v>
      </c>
      <c r="AD151" s="1390"/>
      <c r="AE151" s="1389" t="str">
        <f t="shared" si="73"/>
        <v>NM</v>
      </c>
      <c r="AF151" s="1390" t="str">
        <f t="shared" si="73"/>
        <v>NM</v>
      </c>
      <c r="AG151" s="1390" t="str">
        <f t="shared" si="73"/>
        <v>NM</v>
      </c>
      <c r="AH151" s="1390" t="str">
        <f t="shared" si="73"/>
        <v>NM</v>
      </c>
      <c r="AI151" s="1388" t="str">
        <f t="shared" si="73"/>
        <v>NM</v>
      </c>
      <c r="AJ151" s="1390"/>
      <c r="AK151" s="1389" t="str">
        <f t="shared" si="74"/>
        <v>NM</v>
      </c>
      <c r="AL151" s="1390" t="str">
        <f t="shared" si="74"/>
        <v>NM</v>
      </c>
      <c r="AM151" s="1390" t="str">
        <f t="shared" si="74"/>
        <v>NM</v>
      </c>
      <c r="AN151" s="1390" t="str">
        <f t="shared" si="74"/>
        <v>NM</v>
      </c>
      <c r="AO151" s="1388" t="str">
        <f t="shared" si="74"/>
        <v>NM</v>
      </c>
      <c r="AP151" s="1390"/>
      <c r="AQ151" s="1391">
        <f t="shared" si="75"/>
        <v>0.10154034791938078</v>
      </c>
      <c r="AR151" s="1392">
        <f t="shared" si="75"/>
        <v>0.10154034791938078</v>
      </c>
      <c r="AS151" s="1392">
        <f t="shared" si="75"/>
        <v>0.10154034791938078</v>
      </c>
      <c r="AT151" s="1392">
        <f t="shared" si="75"/>
        <v>0.10154034791938078</v>
      </c>
      <c r="AU151" s="1388">
        <f>IF(ISERROR(AU144/AU$145),"NM",AU144/AU$145)</f>
        <v>0.10154034791938078</v>
      </c>
      <c r="AV151" s="1390"/>
      <c r="AW151" s="1391">
        <f t="shared" si="76"/>
        <v>9.8867833141611683E-2</v>
      </c>
      <c r="AX151" s="1392">
        <f t="shared" si="76"/>
        <v>9.8867833141611683E-2</v>
      </c>
      <c r="AY151" s="1392">
        <f t="shared" si="76"/>
        <v>9.8867833141611683E-2</v>
      </c>
      <c r="AZ151" s="1392">
        <f t="shared" si="76"/>
        <v>9.8867833141611683E-2</v>
      </c>
      <c r="BA151" s="1388">
        <f>IF(ISERROR(BA144/BA$145),"NM",BA144/BA$145)</f>
        <v>9.8867833141611683E-2</v>
      </c>
      <c r="BB151" s="1390"/>
      <c r="BC151" s="1391">
        <f t="shared" si="77"/>
        <v>0.10181980573852853</v>
      </c>
      <c r="BD151" s="1392">
        <f t="shared" si="77"/>
        <v>0.10181980573852853</v>
      </c>
      <c r="BE151" s="1392">
        <f t="shared" si="77"/>
        <v>0.10181980573852853</v>
      </c>
      <c r="BF151" s="1392">
        <f t="shared" si="77"/>
        <v>0.10181980573852853</v>
      </c>
      <c r="BG151" s="1388">
        <f>IF(ISERROR(BG144/BG$145),"NM",BG144/BG$145)</f>
        <v>0.10181980573852853</v>
      </c>
      <c r="BH151" s="1390"/>
      <c r="BI151" s="1391">
        <f t="shared" si="78"/>
        <v>9.6770686093291286E-2</v>
      </c>
      <c r="BJ151" s="1392">
        <f t="shared" si="78"/>
        <v>9.6770686093291286E-2</v>
      </c>
      <c r="BK151" s="1392">
        <f t="shared" si="78"/>
        <v>9.6770686093291286E-2</v>
      </c>
      <c r="BL151" s="1392">
        <f t="shared" si="78"/>
        <v>9.6770686093291286E-2</v>
      </c>
      <c r="BM151" s="1388">
        <f>IF(ISERROR(BM144/BM$145),"NM",BM144/BM$145)</f>
        <v>9.6770686093291286E-2</v>
      </c>
      <c r="BN151" s="1390"/>
      <c r="BO151" s="1391">
        <f t="shared" si="79"/>
        <v>0.10382000110564432</v>
      </c>
      <c r="BP151" s="1392">
        <f t="shared" si="79"/>
        <v>0.10382000110564432</v>
      </c>
      <c r="BQ151" s="1392">
        <f t="shared" si="79"/>
        <v>0.10382000110564432</v>
      </c>
      <c r="BR151" s="1392">
        <f t="shared" si="79"/>
        <v>0.10382000110564432</v>
      </c>
      <c r="BS151" s="1388">
        <f>IF(ISERROR(BS144/BS$145),"NM",BS144/BS$145)</f>
        <v>0.10382000110564432</v>
      </c>
      <c r="BT151" s="1392"/>
      <c r="BU151" s="1391">
        <f t="shared" si="80"/>
        <v>9.2375908363098891E-2</v>
      </c>
      <c r="BV151" s="1392">
        <f t="shared" si="81"/>
        <v>9.2375908363098891E-2</v>
      </c>
      <c r="BW151" s="1392">
        <f t="shared" si="82"/>
        <v>9.2375908363098891E-2</v>
      </c>
      <c r="BX151" s="1392">
        <f t="shared" si="83"/>
        <v>9.2375908363098891E-2</v>
      </c>
      <c r="BY151" s="1388">
        <f>IF(ISERROR(BY144/BY$145),"NM",BY144/BY$145)</f>
        <v>9.2375908363098891E-2</v>
      </c>
      <c r="BZ151" s="1392"/>
      <c r="CA151" s="1391">
        <f t="shared" si="84"/>
        <v>8.8189660522559429E-2</v>
      </c>
      <c r="CB151" s="1392">
        <f t="shared" si="85"/>
        <v>8.8189660522559429E-2</v>
      </c>
      <c r="CC151" s="1392">
        <f t="shared" si="86"/>
        <v>8.8189660522559429E-2</v>
      </c>
      <c r="CD151" s="1392">
        <f t="shared" si="87"/>
        <v>8.8189660522559429E-2</v>
      </c>
      <c r="CE151" s="1388">
        <f>IF(ISERROR(CE144/CE$145),"NM",CE144/CE$145)</f>
        <v>8.8189660522559429E-2</v>
      </c>
      <c r="CF151" s="1392"/>
      <c r="CG151" s="1391">
        <f>CE151</f>
        <v>8.8189660522559429E-2</v>
      </c>
      <c r="CH151" s="1392">
        <f t="shared" si="88"/>
        <v>8.8189660522559429E-2</v>
      </c>
      <c r="CI151" s="1392">
        <f t="shared" si="88"/>
        <v>8.8189660522559429E-2</v>
      </c>
      <c r="CJ151" s="1392">
        <f t="shared" si="88"/>
        <v>8.8189660522559429E-2</v>
      </c>
      <c r="CK151" s="1393">
        <f t="shared" si="88"/>
        <v>8.8189660522559429E-2</v>
      </c>
      <c r="CL151" s="1392"/>
      <c r="CM151" s="1391">
        <f>CK151</f>
        <v>8.8189660522559429E-2</v>
      </c>
      <c r="CN151" s="1392">
        <f t="shared" si="89"/>
        <v>8.8189660522559429E-2</v>
      </c>
      <c r="CO151" s="1392">
        <f t="shared" si="89"/>
        <v>8.8189660522559429E-2</v>
      </c>
      <c r="CP151" s="1392">
        <f t="shared" si="89"/>
        <v>8.8189660522559429E-2</v>
      </c>
      <c r="CQ151" s="1393">
        <f t="shared" si="89"/>
        <v>8.8189660522559429E-2</v>
      </c>
      <c r="CR151" s="1392"/>
      <c r="CS151" s="1391">
        <f>CQ151</f>
        <v>8.8189660522559429E-2</v>
      </c>
      <c r="CT151" s="1392">
        <f t="shared" si="90"/>
        <v>8.8189660522559429E-2</v>
      </c>
      <c r="CU151" s="1392">
        <f t="shared" si="90"/>
        <v>8.8189660522559429E-2</v>
      </c>
      <c r="CV151" s="1392">
        <f t="shared" si="90"/>
        <v>8.8189660522559429E-2</v>
      </c>
      <c r="CW151" s="1393">
        <f t="shared" si="90"/>
        <v>8.8189660522559429E-2</v>
      </c>
      <c r="CX151" s="1392"/>
      <c r="CY151" s="1391">
        <f>CW151</f>
        <v>8.8189660522559429E-2</v>
      </c>
      <c r="CZ151" s="1392">
        <f t="shared" si="91"/>
        <v>8.8189660522559429E-2</v>
      </c>
      <c r="DA151" s="1392">
        <f t="shared" si="92"/>
        <v>8.8189660522559429E-2</v>
      </c>
      <c r="DB151" s="1392">
        <f t="shared" si="93"/>
        <v>8.8189660522559429E-2</v>
      </c>
      <c r="DC151" s="1393">
        <f t="shared" si="94"/>
        <v>8.8189660522559429E-2</v>
      </c>
      <c r="DD151" s="1392"/>
      <c r="DE151" s="1391">
        <f>DC151</f>
        <v>8.8189660522559429E-2</v>
      </c>
      <c r="DF151" s="1392">
        <f t="shared" si="95"/>
        <v>8.8189660522559429E-2</v>
      </c>
      <c r="DG151" s="1392">
        <f t="shared" si="96"/>
        <v>8.8189660522559429E-2</v>
      </c>
      <c r="DH151" s="1392">
        <f t="shared" si="97"/>
        <v>8.8189660522559429E-2</v>
      </c>
      <c r="DI151" s="1393">
        <f t="shared" si="98"/>
        <v>8.8189660522559429E-2</v>
      </c>
    </row>
    <row r="152" spans="1:113" s="1381" customFormat="1" ht="11.25">
      <c r="A152" s="1491" t="str">
        <f>A145</f>
        <v>Total Revenue</v>
      </c>
      <c r="B152" s="1492"/>
      <c r="C152" s="1493" t="str">
        <f>IF(ISERROR(C145/C$145),"NM",C145/C$145)</f>
        <v>NM</v>
      </c>
      <c r="D152" s="1492"/>
      <c r="E152" s="1493" t="str">
        <f>IF(ISERROR(E145/E$145),"NM",E145/E$145)</f>
        <v>NM</v>
      </c>
      <c r="F152" s="1492"/>
      <c r="G152" s="1493" t="str">
        <f>IF(ISERROR(G145/G$145),"NM",G145/G$145)</f>
        <v>NM</v>
      </c>
      <c r="H152" s="1492"/>
      <c r="I152" s="1493" t="str">
        <f>IF(ISERROR(I145/I$145),"NM",I145/I$145)</f>
        <v>NM</v>
      </c>
      <c r="J152" s="1492"/>
      <c r="K152" s="1493" t="str">
        <f>IF(ISERROR(K145/K$145),"NM",K145/K$145)</f>
        <v>NM</v>
      </c>
      <c r="L152" s="1492"/>
      <c r="M152" s="1493" t="str">
        <f>IF(ISERROR(M145/M$145),"NM",M145/M$145)</f>
        <v>NM</v>
      </c>
      <c r="N152" s="1492"/>
      <c r="O152" s="1493" t="str">
        <f>IF(ISERROR(O145/O$145),"NM",O145/O$145)</f>
        <v>NM</v>
      </c>
      <c r="P152" s="1492"/>
      <c r="Q152" s="1493" t="str">
        <f>IF(ISERROR(Q145/Q$145),"NM",Q145/Q$145)</f>
        <v>NM</v>
      </c>
      <c r="R152" s="1492"/>
      <c r="S152" s="1494" t="str">
        <f t="shared" si="71"/>
        <v>NM</v>
      </c>
      <c r="T152" s="1495" t="str">
        <f t="shared" si="71"/>
        <v>NM</v>
      </c>
      <c r="U152" s="1495" t="str">
        <f t="shared" si="71"/>
        <v>NM</v>
      </c>
      <c r="V152" s="1495" t="str">
        <f t="shared" si="71"/>
        <v>NM</v>
      </c>
      <c r="W152" s="1493" t="str">
        <f t="shared" si="71"/>
        <v>NM</v>
      </c>
      <c r="X152" s="1496"/>
      <c r="Y152" s="1494" t="str">
        <f t="shared" si="72"/>
        <v>NM</v>
      </c>
      <c r="Z152" s="1495" t="str">
        <f t="shared" si="72"/>
        <v>NM</v>
      </c>
      <c r="AA152" s="1495" t="str">
        <f t="shared" si="72"/>
        <v>NM</v>
      </c>
      <c r="AB152" s="1495" t="str">
        <f t="shared" si="72"/>
        <v>NM</v>
      </c>
      <c r="AC152" s="1493" t="str">
        <f t="shared" si="72"/>
        <v>NM</v>
      </c>
      <c r="AD152" s="1496"/>
      <c r="AE152" s="1494" t="str">
        <f t="shared" si="73"/>
        <v>NM</v>
      </c>
      <c r="AF152" s="1495" t="str">
        <f t="shared" si="73"/>
        <v>NM</v>
      </c>
      <c r="AG152" s="1495" t="str">
        <f t="shared" si="73"/>
        <v>NM</v>
      </c>
      <c r="AH152" s="1495" t="str">
        <f t="shared" si="73"/>
        <v>NM</v>
      </c>
      <c r="AI152" s="1493" t="str">
        <f t="shared" si="73"/>
        <v>NM</v>
      </c>
      <c r="AJ152" s="1496"/>
      <c r="AK152" s="1494" t="str">
        <f t="shared" si="74"/>
        <v>NM</v>
      </c>
      <c r="AL152" s="1495" t="str">
        <f t="shared" si="74"/>
        <v>NM</v>
      </c>
      <c r="AM152" s="1495" t="str">
        <f t="shared" si="74"/>
        <v>NM</v>
      </c>
      <c r="AN152" s="1495" t="str">
        <f t="shared" si="74"/>
        <v>NM</v>
      </c>
      <c r="AO152" s="1493" t="str">
        <f t="shared" si="74"/>
        <v>NM</v>
      </c>
      <c r="AP152" s="1496"/>
      <c r="AQ152" s="1494">
        <f>IF(ISERROR(AQ145/AQ$145),"NM",AQ145/AQ$145)</f>
        <v>1</v>
      </c>
      <c r="AR152" s="1495">
        <f>IF(ISERROR(AR145/AR$145),"NM",AR145/AR$145)</f>
        <v>1</v>
      </c>
      <c r="AS152" s="1495">
        <f>IF(ISERROR(AS145/AS$145),"NM",AS145/AS$145)</f>
        <v>1</v>
      </c>
      <c r="AT152" s="1495">
        <f>IF(ISERROR(AT145/AT$145),"NM",AT145/AT$145)</f>
        <v>1</v>
      </c>
      <c r="AU152" s="1493">
        <f>IF(ISERROR(AU145/AU$145),"NM",AU145/AU$145)</f>
        <v>1</v>
      </c>
      <c r="AV152" s="1496"/>
      <c r="AW152" s="1494">
        <f>IF(ISERROR(AW145/AW$145),"NM",AW145/AW$145)</f>
        <v>1</v>
      </c>
      <c r="AX152" s="1495">
        <f>IF(ISERROR(AX145/AX$145),"NM",AX145/AX$145)</f>
        <v>1</v>
      </c>
      <c r="AY152" s="1495">
        <f>IF(ISERROR(AY145/AY$145),"NM",AY145/AY$145)</f>
        <v>1</v>
      </c>
      <c r="AZ152" s="1495">
        <f>IF(ISERROR(AZ145/AZ$145),"NM",AZ145/AZ$145)</f>
        <v>1</v>
      </c>
      <c r="BA152" s="1493">
        <f>IF(ISERROR(BA145/BA$145),"NM",BA145/BA$145)</f>
        <v>1</v>
      </c>
      <c r="BB152" s="1496"/>
      <c r="BC152" s="1494">
        <f>IF(ISERROR(BC145/BC$145),"NM",BC145/BC$145)</f>
        <v>1</v>
      </c>
      <c r="BD152" s="1495">
        <f>IF(ISERROR(BD145/BD$145),"NM",BD145/BD$145)</f>
        <v>1</v>
      </c>
      <c r="BE152" s="1495">
        <f>IF(ISERROR(BE145/BE$145),"NM",BE145/BE$145)</f>
        <v>1</v>
      </c>
      <c r="BF152" s="1495">
        <f>IF(ISERROR(BF145/BF$145),"NM",BF145/BF$145)</f>
        <v>1</v>
      </c>
      <c r="BG152" s="1493">
        <f>IF(ISERROR(BG145/BG$145),"NM",BG145/BG$145)</f>
        <v>1</v>
      </c>
      <c r="BH152" s="1496"/>
      <c r="BI152" s="1494">
        <f>IF(ISERROR(BI145/BI$145),"NM",BI145/BI$145)</f>
        <v>1</v>
      </c>
      <c r="BJ152" s="1495">
        <f>IF(ISERROR(BJ145/BJ$145),"NM",BJ145/BJ$145)</f>
        <v>1</v>
      </c>
      <c r="BK152" s="1495">
        <f>IF(ISERROR(BK145/BK$145),"NM",BK145/BK$145)</f>
        <v>1</v>
      </c>
      <c r="BL152" s="1495">
        <f>IF(ISERROR(BL145/BL$145),"NM",BL145/BL$145)</f>
        <v>1</v>
      </c>
      <c r="BM152" s="1493">
        <f>IF(ISERROR(BM145/BM$145),"NM",BM145/BM$145)</f>
        <v>1</v>
      </c>
      <c r="BN152" s="1496"/>
      <c r="BO152" s="1494">
        <f>IF(ISERROR(BO145/BO$145),"NM",BO145/BO$145)</f>
        <v>1</v>
      </c>
      <c r="BP152" s="1495">
        <f>IF(ISERROR(BP145/BP$145),"NM",BP145/BP$145)</f>
        <v>1</v>
      </c>
      <c r="BQ152" s="1495">
        <f>IF(ISERROR(BQ145/BQ$145),"NM",BQ145/BQ$145)</f>
        <v>1</v>
      </c>
      <c r="BR152" s="1495">
        <f>IF(ISERROR(BR145/BR$145),"NM",BR145/BR$145)</f>
        <v>1</v>
      </c>
      <c r="BS152" s="1493">
        <f>IF(ISERROR(BS145/BS$145),"NM",BS145/BS$145)</f>
        <v>1</v>
      </c>
      <c r="BT152" s="1497"/>
      <c r="BU152" s="1494">
        <f>IF(ISERROR(BU145/BU$145),"NM",BU145/BU$145)</f>
        <v>1</v>
      </c>
      <c r="BV152" s="1495">
        <f>IF(ISERROR(BV145/BV$145),"NM",BV145/BV$145)</f>
        <v>1</v>
      </c>
      <c r="BW152" s="1495">
        <f>IF(ISERROR(BW145/BW$145),"NM",BW145/BW$145)</f>
        <v>1</v>
      </c>
      <c r="BX152" s="1495">
        <f>IF(ISERROR(BX145/BX$145),"NM",BX145/BX$145)</f>
        <v>1</v>
      </c>
      <c r="BY152" s="1493">
        <f>IF(ISERROR(BY145/BY$145),"NM",BY145/BY$145)</f>
        <v>1</v>
      </c>
      <c r="BZ152" s="1497"/>
      <c r="CA152" s="1494">
        <f>IF(ISERROR(CA145/CA$145),"NM",CA145/CA$145)</f>
        <v>1</v>
      </c>
      <c r="CB152" s="1495">
        <f>IF(ISERROR(CB145/CB$145),"NM",CB145/CB$145)</f>
        <v>1</v>
      </c>
      <c r="CC152" s="1495">
        <f>IF(ISERROR(CC145/CC$145),"NM",CC145/CC$145)</f>
        <v>1</v>
      </c>
      <c r="CD152" s="1495">
        <f>IF(ISERROR(CD145/CD$145),"NM",CD145/CD$145)</f>
        <v>1</v>
      </c>
      <c r="CE152" s="1493">
        <f>IF(ISERROR(CE145/CE$145),"NM",CE145/CE$145)</f>
        <v>1</v>
      </c>
      <c r="CF152" s="1497"/>
      <c r="CG152" s="1494">
        <f>IF(ISERROR(CG145/CG$145),"NM",CG145/CG$145)</f>
        <v>1</v>
      </c>
      <c r="CH152" s="1495">
        <f>IF(ISERROR(CH145/CH$145),"NM",CH145/CH$145)</f>
        <v>1</v>
      </c>
      <c r="CI152" s="1495">
        <f>IF(ISERROR(CI145/CI$145),"NM",CI145/CI$145)</f>
        <v>1</v>
      </c>
      <c r="CJ152" s="1499">
        <f t="shared" si="88"/>
        <v>1</v>
      </c>
      <c r="CK152" s="1500">
        <f t="shared" si="88"/>
        <v>1</v>
      </c>
      <c r="CL152" s="1497"/>
      <c r="CM152" s="1498">
        <f>CK152</f>
        <v>1</v>
      </c>
      <c r="CN152" s="1499">
        <f t="shared" si="89"/>
        <v>1</v>
      </c>
      <c r="CO152" s="1499">
        <f t="shared" si="89"/>
        <v>1</v>
      </c>
      <c r="CP152" s="1499">
        <f t="shared" si="89"/>
        <v>1</v>
      </c>
      <c r="CQ152" s="1500">
        <f t="shared" si="89"/>
        <v>1</v>
      </c>
      <c r="CR152" s="1497"/>
      <c r="CS152" s="1498">
        <f>CQ152</f>
        <v>1</v>
      </c>
      <c r="CT152" s="1499">
        <f t="shared" si="90"/>
        <v>1</v>
      </c>
      <c r="CU152" s="1499">
        <f t="shared" si="90"/>
        <v>1</v>
      </c>
      <c r="CV152" s="1499">
        <f t="shared" si="90"/>
        <v>1</v>
      </c>
      <c r="CW152" s="1500">
        <f t="shared" si="90"/>
        <v>1</v>
      </c>
      <c r="CX152" s="1497"/>
      <c r="CY152" s="1498">
        <f>CW152</f>
        <v>1</v>
      </c>
      <c r="CZ152" s="1499">
        <f t="shared" si="91"/>
        <v>1</v>
      </c>
      <c r="DA152" s="1499">
        <f t="shared" si="92"/>
        <v>1</v>
      </c>
      <c r="DB152" s="1499">
        <f t="shared" si="93"/>
        <v>1</v>
      </c>
      <c r="DC152" s="1500">
        <f t="shared" si="94"/>
        <v>1</v>
      </c>
      <c r="DD152" s="1497"/>
      <c r="DE152" s="1498">
        <f>DC152</f>
        <v>1</v>
      </c>
      <c r="DF152" s="1499">
        <f t="shared" si="95"/>
        <v>1</v>
      </c>
      <c r="DG152" s="1499">
        <f t="shared" si="96"/>
        <v>1</v>
      </c>
      <c r="DH152" s="1499">
        <f t="shared" si="97"/>
        <v>1</v>
      </c>
      <c r="DI152" s="1500">
        <f t="shared" si="98"/>
        <v>1</v>
      </c>
    </row>
    <row r="153" spans="1:113" s="1381" customFormat="1" ht="11.25">
      <c r="A153" s="1472"/>
      <c r="B153" s="1387"/>
      <c r="C153" s="1475"/>
      <c r="D153" s="1387"/>
      <c r="E153" s="1475"/>
      <c r="F153" s="1387"/>
      <c r="G153" s="1475"/>
      <c r="H153" s="1387"/>
      <c r="I153" s="1475"/>
      <c r="J153" s="1387"/>
      <c r="K153" s="1475"/>
      <c r="L153" s="1387"/>
      <c r="M153" s="1475"/>
      <c r="N153" s="1387"/>
      <c r="O153" s="1475"/>
      <c r="P153" s="1387"/>
      <c r="Q153" s="1475"/>
      <c r="R153" s="1387"/>
      <c r="S153" s="1474"/>
      <c r="T153" s="1473"/>
      <c r="U153" s="1473"/>
      <c r="V153" s="1473"/>
      <c r="W153" s="1475"/>
      <c r="X153" s="1390"/>
      <c r="Y153" s="1474"/>
      <c r="Z153" s="1473"/>
      <c r="AA153" s="1473"/>
      <c r="AB153" s="1473"/>
      <c r="AC153" s="1475"/>
      <c r="AD153" s="1390"/>
      <c r="AE153" s="1474"/>
      <c r="AF153" s="1473"/>
      <c r="AG153" s="1473"/>
      <c r="AH153" s="1473"/>
      <c r="AI153" s="1475"/>
      <c r="AJ153" s="1390"/>
      <c r="AK153" s="1474"/>
      <c r="AL153" s="1473"/>
      <c r="AM153" s="1473"/>
      <c r="AN153" s="1473"/>
      <c r="AO153" s="1475"/>
      <c r="AP153" s="1390"/>
      <c r="AQ153" s="1474"/>
      <c r="AR153" s="1473"/>
      <c r="AS153" s="1473"/>
      <c r="AT153" s="1473"/>
      <c r="AU153" s="1475"/>
      <c r="AV153" s="1390"/>
      <c r="AW153" s="1474"/>
      <c r="AX153" s="1473"/>
      <c r="AY153" s="1473"/>
      <c r="AZ153" s="1473"/>
      <c r="BA153" s="1475"/>
      <c r="BB153" s="1390"/>
      <c r="BC153" s="1474"/>
      <c r="BD153" s="1473"/>
      <c r="BE153" s="1473"/>
      <c r="BF153" s="1473"/>
      <c r="BG153" s="1475"/>
      <c r="BH153" s="1390"/>
      <c r="BI153" s="1474"/>
      <c r="BJ153" s="1473"/>
      <c r="BK153" s="1473"/>
      <c r="BL153" s="1473"/>
      <c r="BM153" s="1475"/>
      <c r="BN153" s="1390"/>
      <c r="BO153" s="1474"/>
      <c r="BP153" s="1473"/>
      <c r="BQ153" s="1473"/>
      <c r="BR153" s="1473"/>
      <c r="BS153" s="1475"/>
      <c r="BT153" s="1392"/>
      <c r="BU153" s="1476"/>
      <c r="BV153" s="1477"/>
      <c r="BW153" s="1477"/>
      <c r="BX153" s="1473"/>
      <c r="BY153" s="1475"/>
      <c r="BZ153" s="1392"/>
      <c r="CA153" s="1476"/>
      <c r="CB153" s="1477"/>
      <c r="CC153" s="1477"/>
      <c r="CD153" s="1473"/>
      <c r="CE153" s="1475"/>
      <c r="CF153" s="1392"/>
      <c r="CG153" s="1476"/>
      <c r="CH153" s="1477"/>
      <c r="CI153" s="1477"/>
      <c r="CJ153" s="1477"/>
      <c r="CK153" s="1478"/>
      <c r="CL153" s="1392"/>
      <c r="CM153" s="1476"/>
      <c r="CN153" s="1477"/>
      <c r="CO153" s="1477"/>
      <c r="CP153" s="1477"/>
      <c r="CQ153" s="1478"/>
      <c r="CR153" s="1392"/>
      <c r="CS153" s="1476"/>
      <c r="CT153" s="1477"/>
      <c r="CU153" s="1477"/>
      <c r="CV153" s="1477"/>
      <c r="CW153" s="1478"/>
      <c r="CX153" s="1392"/>
      <c r="CY153" s="1476"/>
      <c r="CZ153" s="1477"/>
      <c r="DA153" s="1477"/>
      <c r="DB153" s="1477"/>
      <c r="DC153" s="1478"/>
      <c r="DD153" s="1392"/>
      <c r="DE153" s="1476"/>
      <c r="DF153" s="1477"/>
      <c r="DG153" s="1477"/>
      <c r="DH153" s="1477"/>
      <c r="DI153" s="1478"/>
    </row>
    <row r="154" spans="1:113" s="1369" customFormat="1" ht="13.5" customHeight="1">
      <c r="A154" s="1467" t="s">
        <v>195</v>
      </c>
      <c r="B154" s="1468"/>
      <c r="C154" s="1470"/>
      <c r="D154" s="1468"/>
      <c r="E154" s="1470"/>
      <c r="F154" s="1468"/>
      <c r="G154" s="1470"/>
      <c r="H154" s="1468"/>
      <c r="I154" s="1470"/>
      <c r="J154" s="1468"/>
      <c r="K154" s="1470"/>
      <c r="L154" s="1468"/>
      <c r="M154" s="1470"/>
      <c r="N154" s="1468"/>
      <c r="O154" s="1470"/>
      <c r="P154" s="1468"/>
      <c r="Q154" s="1470"/>
      <c r="R154" s="1468"/>
      <c r="S154" s="1469"/>
      <c r="T154" s="1468"/>
      <c r="U154" s="1468"/>
      <c r="V154" s="1468"/>
      <c r="W154" s="1470"/>
      <c r="X154" s="1468"/>
      <c r="Y154" s="1469"/>
      <c r="Z154" s="1468"/>
      <c r="AA154" s="1468"/>
      <c r="AB154" s="1468"/>
      <c r="AC154" s="1470"/>
      <c r="AD154" s="1468"/>
      <c r="AE154" s="1469"/>
      <c r="AF154" s="1468"/>
      <c r="AG154" s="1468"/>
      <c r="AH154" s="1471"/>
      <c r="AI154" s="1470"/>
      <c r="AJ154" s="1468"/>
      <c r="AK154" s="1469"/>
      <c r="AL154" s="1468"/>
      <c r="AM154" s="1468"/>
      <c r="AN154" s="1471"/>
      <c r="AO154" s="1470"/>
      <c r="AP154" s="1468"/>
      <c r="AQ154" s="1469"/>
      <c r="AR154" s="1468"/>
      <c r="AS154" s="1468"/>
      <c r="AT154" s="1468"/>
      <c r="AU154" s="1470"/>
      <c r="AV154" s="1468"/>
      <c r="AW154" s="1469"/>
      <c r="AX154" s="1468"/>
      <c r="AY154" s="1468"/>
      <c r="AZ154" s="1471"/>
      <c r="BA154" s="1470"/>
      <c r="BB154" s="1468"/>
      <c r="BC154" s="1469"/>
      <c r="BD154" s="1468"/>
      <c r="BE154" s="1468"/>
      <c r="BF154" s="1468"/>
      <c r="BG154" s="1470"/>
      <c r="BH154" s="1468"/>
      <c r="BI154" s="1469"/>
      <c r="BJ154" s="1468"/>
      <c r="BK154" s="1468"/>
      <c r="BL154" s="1471"/>
      <c r="BM154" s="1470"/>
      <c r="BN154" s="1468"/>
      <c r="BO154" s="1469"/>
      <c r="BP154" s="1468"/>
      <c r="BQ154" s="1468"/>
      <c r="BR154" s="1468"/>
      <c r="BS154" s="1470"/>
      <c r="BT154" s="1468"/>
      <c r="BU154" s="1469"/>
      <c r="BV154" s="1468"/>
      <c r="BW154" s="1468"/>
      <c r="BX154" s="1468"/>
      <c r="BY154" s="1470"/>
      <c r="BZ154" s="1468"/>
      <c r="CA154" s="1469"/>
      <c r="CB154" s="1468"/>
      <c r="CC154" s="1468"/>
      <c r="CD154" s="1468"/>
      <c r="CE154" s="1470"/>
      <c r="CF154" s="1468"/>
      <c r="CG154" s="1469"/>
      <c r="CH154" s="1468"/>
      <c r="CI154" s="1468"/>
      <c r="CJ154" s="1468"/>
      <c r="CK154" s="1470"/>
      <c r="CL154" s="1468"/>
      <c r="CM154" s="1469"/>
      <c r="CN154" s="1468"/>
      <c r="CO154" s="1468"/>
      <c r="CP154" s="1468"/>
      <c r="CQ154" s="1470"/>
      <c r="CR154" s="1468"/>
      <c r="CS154" s="1469"/>
      <c r="CT154" s="1468"/>
      <c r="CU154" s="1468"/>
      <c r="CV154" s="1468"/>
      <c r="CW154" s="1470"/>
      <c r="CX154" s="1468"/>
      <c r="CY154" s="1469"/>
      <c r="CZ154" s="1468"/>
      <c r="DA154" s="1468"/>
      <c r="DB154" s="1468"/>
      <c r="DC154" s="1470"/>
      <c r="DD154" s="1468"/>
      <c r="DE154" s="1469"/>
      <c r="DF154" s="1468"/>
      <c r="DG154" s="1468"/>
      <c r="DH154" s="1468"/>
      <c r="DI154" s="1470"/>
    </row>
    <row r="155" spans="1:113" s="1372" customFormat="1" ht="11.25">
      <c r="A155" s="1386" t="str">
        <f>A148</f>
        <v>United States</v>
      </c>
      <c r="B155" s="1387"/>
      <c r="C155" s="1388"/>
      <c r="D155" s="1387"/>
      <c r="E155" s="1388"/>
      <c r="F155" s="1387"/>
      <c r="G155" s="1388"/>
      <c r="H155" s="1387"/>
      <c r="I155" s="1388"/>
      <c r="J155" s="1387"/>
      <c r="K155" s="1388"/>
      <c r="L155" s="1387"/>
      <c r="M155" s="1388"/>
      <c r="N155" s="1387"/>
      <c r="O155" s="1388"/>
      <c r="P155" s="1387"/>
      <c r="Q155" s="1388"/>
      <c r="R155" s="1387"/>
      <c r="S155" s="1389"/>
      <c r="T155" s="1390"/>
      <c r="U155" s="1390"/>
      <c r="V155" s="1390"/>
      <c r="W155" s="1388"/>
      <c r="X155" s="1390"/>
      <c r="Y155" s="1389"/>
      <c r="Z155" s="1390"/>
      <c r="AA155" s="1390"/>
      <c r="AB155" s="1390"/>
      <c r="AC155" s="1388"/>
      <c r="AD155" s="1390"/>
      <c r="AE155" s="1389"/>
      <c r="AF155" s="1390"/>
      <c r="AG155" s="1390"/>
      <c r="AH155" s="1390"/>
      <c r="AI155" s="1388"/>
      <c r="AJ155" s="1390"/>
      <c r="AK155" s="1389"/>
      <c r="AL155" s="1390"/>
      <c r="AM155" s="1390"/>
      <c r="AN155" s="1390"/>
      <c r="AO155" s="1388"/>
      <c r="AP155" s="1390"/>
      <c r="AQ155" s="1391"/>
      <c r="AR155" s="1392"/>
      <c r="AS155" s="1392"/>
      <c r="AT155" s="1392"/>
      <c r="AU155" s="1388"/>
      <c r="AV155" s="1390"/>
      <c r="AW155" s="1389">
        <f t="shared" ref="AW155:BA159" si="99">AW141/AQ141-1</f>
        <v>0.18952604940042206</v>
      </c>
      <c r="AX155" s="1390">
        <f t="shared" si="99"/>
        <v>0.23373065889261357</v>
      </c>
      <c r="AY155" s="1390">
        <f t="shared" si="99"/>
        <v>0.2480486162492006</v>
      </c>
      <c r="AZ155" s="1390">
        <f t="shared" si="99"/>
        <v>5.6498622999063386E-2</v>
      </c>
      <c r="BA155" s="1388">
        <f t="shared" si="99"/>
        <v>0.17121212121212115</v>
      </c>
      <c r="BB155" s="1390"/>
      <c r="BC155" s="1389">
        <f t="shared" ref="BC155:BG159" si="100">BC141/AW141-1</f>
        <v>0.27791076302619455</v>
      </c>
      <c r="BD155" s="1390">
        <f t="shared" si="100"/>
        <v>0.17945774183752894</v>
      </c>
      <c r="BE155" s="1390">
        <f t="shared" si="100"/>
        <v>0.20382459245796292</v>
      </c>
      <c r="BF155" s="1390">
        <f t="shared" si="100"/>
        <v>0.22469584864570114</v>
      </c>
      <c r="BG155" s="1388">
        <f t="shared" si="100"/>
        <v>0.21992238033635192</v>
      </c>
      <c r="BH155" s="1390"/>
      <c r="BI155" s="1389">
        <f t="shared" ref="BI155:BM159" si="101">BI141/BC141-1</f>
        <v>-9.9214159753554965E-2</v>
      </c>
      <c r="BJ155" s="1390">
        <f t="shared" si="101"/>
        <v>4.2193058058423993E-3</v>
      </c>
      <c r="BK155" s="1390">
        <f t="shared" si="101"/>
        <v>-8.9530142295749515E-2</v>
      </c>
      <c r="BL155" s="1390">
        <f t="shared" si="101"/>
        <v>-8.8020156403131322E-3</v>
      </c>
      <c r="BM155" s="1388">
        <f t="shared" si="101"/>
        <v>-4.6394485683987297E-2</v>
      </c>
      <c r="BN155" s="1390"/>
      <c r="BO155" s="1389">
        <f t="shared" ref="BO155:BS159" si="102">BO141/BI141-1</f>
        <v>0.18012785789217256</v>
      </c>
      <c r="BP155" s="1390">
        <f t="shared" si="102"/>
        <v>0.10175537363214926</v>
      </c>
      <c r="BQ155" s="1390">
        <f t="shared" si="102"/>
        <v>4.7810793857717027E-2</v>
      </c>
      <c r="BR155" s="1390">
        <f t="shared" si="102"/>
        <v>8.209810537586959E-3</v>
      </c>
      <c r="BS155" s="1388">
        <f t="shared" si="102"/>
        <v>7.7564637197664821E-2</v>
      </c>
      <c r="BT155" s="1392"/>
      <c r="BU155" s="1389">
        <f t="shared" ref="BU155:BU159" si="103">BU141/BO141-1</f>
        <v>-8.7842747114525777E-2</v>
      </c>
      <c r="BV155" s="1390">
        <f t="shared" ref="BV155:BV159" si="104">BV141/BP141-1</f>
        <v>-5.346258133982873E-2</v>
      </c>
      <c r="BW155" s="1390">
        <f t="shared" ref="BW155:BW159" si="105">BW141/BQ141-1</f>
        <v>3.1575857902595539E-2</v>
      </c>
      <c r="BX155" s="1390">
        <f t="shared" ref="BX155:BX159" si="106">BX141/BR141-1</f>
        <v>2.9164082528764679E-2</v>
      </c>
      <c r="BY155" s="1388">
        <f t="shared" ref="BY155:BY159" si="107">BY141/BS141-1</f>
        <v>-1.8575851393188958E-2</v>
      </c>
      <c r="BZ155" s="1392"/>
      <c r="CA155" s="1389">
        <f t="shared" ref="CA155:CA159" si="108">CA141/BU141-1</f>
        <v>0.20466733603630116</v>
      </c>
      <c r="CB155" s="1390">
        <f t="shared" ref="CB155:CB159" si="109">CB141/BV141-1</f>
        <v>6.4779447730226147E-2</v>
      </c>
      <c r="CC155" s="1390">
        <f t="shared" ref="CC155:CC159" si="110">CC141/BW141-1</f>
        <v>0.1280891523028207</v>
      </c>
      <c r="CD155" s="1390">
        <f t="shared" ref="CD155:CD159" si="111">CD141/BX141-1</f>
        <v>0.11564928549509812</v>
      </c>
      <c r="CE155" s="1388">
        <f t="shared" ref="CE155:CE159" si="112">CE141/BY141-1</f>
        <v>0.1256572029442693</v>
      </c>
      <c r="CF155" s="1392"/>
      <c r="CG155" s="1389">
        <f t="shared" ref="CG155:CK159" si="113">CG141/CA141-1</f>
        <v>2.5306339904102026E-2</v>
      </c>
      <c r="CH155" s="1390">
        <f t="shared" si="113"/>
        <v>0.11622276029055656</v>
      </c>
      <c r="CI155" s="1390">
        <f t="shared" si="113"/>
        <v>0.10586443259710587</v>
      </c>
      <c r="CJ155" s="1390">
        <f t="shared" si="113"/>
        <v>0.12800340208377681</v>
      </c>
      <c r="CK155" s="1388">
        <f t="shared" si="113"/>
        <v>9.5947371687457705E-2</v>
      </c>
      <c r="CL155" s="1392"/>
      <c r="CM155" s="1389">
        <f t="shared" ref="CM155:CQ159" si="114">CM141/CG141-1</f>
        <v>0.1007461473722191</v>
      </c>
      <c r="CN155" s="1390">
        <f t="shared" si="114"/>
        <v>4.6720452637178056E-2</v>
      </c>
      <c r="CO155" s="1390">
        <f t="shared" si="114"/>
        <v>3.535305831464286E-2</v>
      </c>
      <c r="CP155" s="1390">
        <f t="shared" si="114"/>
        <v>5.1437722496280758E-2</v>
      </c>
      <c r="CQ155" s="1388">
        <f t="shared" si="114"/>
        <v>5.710912957068226E-2</v>
      </c>
      <c r="CR155" s="1392"/>
      <c r="CS155" s="1389">
        <f t="shared" ref="CS155:CW159" si="115">CS141/CM141-1</f>
        <v>1.7384490839773559E-2</v>
      </c>
      <c r="CT155" s="1390">
        <f t="shared" si="115"/>
        <v>3.4815534903165579E-2</v>
      </c>
      <c r="CU155" s="1390">
        <f t="shared" si="115"/>
        <v>1.5054328390025296E-2</v>
      </c>
      <c r="CV155" s="1390">
        <f t="shared" si="115"/>
        <v>4.8584586290812526E-2</v>
      </c>
      <c r="CW155" s="1388">
        <f t="shared" si="115"/>
        <v>3.0199366305397213E-2</v>
      </c>
      <c r="CX155" s="1392"/>
      <c r="CY155" s="1389">
        <f t="shared" ref="CY155:CY159" si="116">CY141/CS141-1</f>
        <v>2.696207425622088E-2</v>
      </c>
      <c r="CZ155" s="1390">
        <f t="shared" ref="CZ155:CZ159" si="117">CZ141/CT141-1</f>
        <v>9.992444660891886E-3</v>
      </c>
      <c r="DA155" s="1390">
        <f t="shared" ref="DA155:DA159" si="118">DA141/CU141-1</f>
        <v>3.4704556613559756E-2</v>
      </c>
      <c r="DB155" s="1390">
        <f t="shared" ref="DB155:DB159" si="119">DB141/CV141-1</f>
        <v>1.906472158186534E-2</v>
      </c>
      <c r="DC155" s="1388">
        <f t="shared" ref="DC155:DC159" si="120">DC141/CW141-1</f>
        <v>2.2437736885952742E-2</v>
      </c>
      <c r="DD155" s="1392"/>
      <c r="DE155" s="1389">
        <f t="shared" ref="DE155:DE159" si="121">DE141/CY141-1</f>
        <v>1.624871746193346E-2</v>
      </c>
      <c r="DF155" s="1390">
        <f t="shared" ref="DF155:DF159" si="122">DF141/CZ141-1</f>
        <v>3.2226517388399989E-2</v>
      </c>
      <c r="DG155" s="1390">
        <f t="shared" ref="DG155:DG159" si="123">DG141/DA141-1</f>
        <v>1.496470969801833E-2</v>
      </c>
      <c r="DH155" s="1390">
        <f t="shared" ref="DH155:DH159" si="124">DH141/DB141-1</f>
        <v>2.8161299192853484E-2</v>
      </c>
      <c r="DI155" s="1388">
        <f t="shared" ref="DI155:DI159" si="125">DI141/DC141-1</f>
        <v>2.3238785807826456E-2</v>
      </c>
    </row>
    <row r="156" spans="1:113" s="1381" customFormat="1" ht="11.25">
      <c r="A156" s="1394" t="str">
        <f>A149</f>
        <v>Europe</v>
      </c>
      <c r="B156" s="1387"/>
      <c r="C156" s="1388"/>
      <c r="D156" s="1387"/>
      <c r="E156" s="1388"/>
      <c r="F156" s="1387"/>
      <c r="G156" s="1388"/>
      <c r="H156" s="1387"/>
      <c r="I156" s="1388"/>
      <c r="J156" s="1387"/>
      <c r="K156" s="1388"/>
      <c r="L156" s="1387"/>
      <c r="M156" s="1388"/>
      <c r="N156" s="1387"/>
      <c r="O156" s="1388"/>
      <c r="P156" s="1387"/>
      <c r="Q156" s="1388"/>
      <c r="R156" s="1387"/>
      <c r="S156" s="1389"/>
      <c r="T156" s="1390"/>
      <c r="U156" s="1390"/>
      <c r="V156" s="1390"/>
      <c r="W156" s="1388"/>
      <c r="X156" s="1390"/>
      <c r="Y156" s="1389"/>
      <c r="Z156" s="1390"/>
      <c r="AA156" s="1390"/>
      <c r="AB156" s="1390"/>
      <c r="AC156" s="1388"/>
      <c r="AD156" s="1390"/>
      <c r="AE156" s="1389"/>
      <c r="AF156" s="1390"/>
      <c r="AG156" s="1390"/>
      <c r="AH156" s="1390"/>
      <c r="AI156" s="1388"/>
      <c r="AJ156" s="1390"/>
      <c r="AK156" s="1389"/>
      <c r="AL156" s="1390"/>
      <c r="AM156" s="1390"/>
      <c r="AN156" s="1390"/>
      <c r="AO156" s="1388"/>
      <c r="AP156" s="1390"/>
      <c r="AQ156" s="1391"/>
      <c r="AR156" s="1392"/>
      <c r="AS156" s="1392"/>
      <c r="AT156" s="1392"/>
      <c r="AU156" s="1388"/>
      <c r="AV156" s="1390"/>
      <c r="AW156" s="1389">
        <f t="shared" si="99"/>
        <v>0.21815365313922164</v>
      </c>
      <c r="AX156" s="1390">
        <f t="shared" si="99"/>
        <v>0.26342210822320022</v>
      </c>
      <c r="AY156" s="1390">
        <f t="shared" si="99"/>
        <v>0.27808464719677661</v>
      </c>
      <c r="AZ156" s="1390">
        <f t="shared" si="99"/>
        <v>8.1924736151481881E-2</v>
      </c>
      <c r="BA156" s="1388">
        <f t="shared" si="99"/>
        <v>0.19939897472158385</v>
      </c>
      <c r="BB156" s="1390"/>
      <c r="BC156" s="1389">
        <f t="shared" si="100"/>
        <v>9.0146057783522693E-2</v>
      </c>
      <c r="BD156" s="1390">
        <f t="shared" si="100"/>
        <v>6.1588373679595243E-3</v>
      </c>
      <c r="BE156" s="1390">
        <f t="shared" si="100"/>
        <v>2.6945442280466914E-2</v>
      </c>
      <c r="BF156" s="1390">
        <f t="shared" si="100"/>
        <v>4.4750063942915697E-2</v>
      </c>
      <c r="BG156" s="1388">
        <f t="shared" si="100"/>
        <v>4.067796610169494E-2</v>
      </c>
      <c r="BH156" s="1390"/>
      <c r="BI156" s="1389">
        <f t="shared" si="101"/>
        <v>3.3573317871680608E-2</v>
      </c>
      <c r="BJ156" s="1390">
        <f t="shared" si="101"/>
        <v>0.15225421337503819</v>
      </c>
      <c r="BK156" s="1390">
        <f t="shared" si="101"/>
        <v>4.4684884691440052E-2</v>
      </c>
      <c r="BL156" s="1390">
        <f t="shared" si="101"/>
        <v>0.13731338081655298</v>
      </c>
      <c r="BM156" s="1388">
        <f t="shared" si="101"/>
        <v>9.4179294717462003E-2</v>
      </c>
      <c r="BN156" s="1390"/>
      <c r="BO156" s="1389">
        <f t="shared" si="102"/>
        <v>4.6134175012545908E-2</v>
      </c>
      <c r="BP156" s="1390">
        <f t="shared" si="102"/>
        <v>-2.3339766829215236E-2</v>
      </c>
      <c r="BQ156" s="1390">
        <f t="shared" si="102"/>
        <v>-7.115938915346065E-2</v>
      </c>
      <c r="BR156" s="1390">
        <f t="shared" si="102"/>
        <v>-0.1062640108588444</v>
      </c>
      <c r="BS156" s="1388">
        <f t="shared" si="102"/>
        <v>-4.4783846751229595E-2</v>
      </c>
      <c r="BT156" s="1392"/>
      <c r="BU156" s="1389">
        <f t="shared" si="103"/>
        <v>-0.14551102034340169</v>
      </c>
      <c r="BV156" s="1390">
        <f t="shared" si="104"/>
        <v>-0.11330443241098731</v>
      </c>
      <c r="BW156" s="1390">
        <f t="shared" si="105"/>
        <v>-3.3642281011120989E-2</v>
      </c>
      <c r="BX156" s="1390">
        <f t="shared" si="106"/>
        <v>-3.5901579472900957E-2</v>
      </c>
      <c r="BY156" s="1388">
        <f t="shared" si="107"/>
        <v>-8.0623306233062353E-2</v>
      </c>
      <c r="BZ156" s="1392"/>
      <c r="CA156" s="1389">
        <f t="shared" si="108"/>
        <v>-8.0598551896791992E-2</v>
      </c>
      <c r="CB156" s="1390">
        <f t="shared" si="109"/>
        <v>-0.18736091129127774</v>
      </c>
      <c r="CC156" s="1390">
        <f t="shared" si="110"/>
        <v>-0.13904297959193623</v>
      </c>
      <c r="CD156" s="1390">
        <f t="shared" si="111"/>
        <v>-0.14853707909567382</v>
      </c>
      <c r="CE156" s="1388">
        <f t="shared" si="112"/>
        <v>-0.1408990420044216</v>
      </c>
      <c r="CF156" s="1392"/>
      <c r="CG156" s="1389">
        <f t="shared" si="113"/>
        <v>2.5306339904102249E-2</v>
      </c>
      <c r="CH156" s="1390">
        <f t="shared" si="113"/>
        <v>0.11622276029055678</v>
      </c>
      <c r="CI156" s="1390">
        <f t="shared" si="113"/>
        <v>0.10586443259710587</v>
      </c>
      <c r="CJ156" s="1390">
        <f t="shared" si="113"/>
        <v>0.12800340208377703</v>
      </c>
      <c r="CK156" s="1388">
        <f t="shared" si="113"/>
        <v>9.5947371687457705E-2</v>
      </c>
      <c r="CL156" s="1392"/>
      <c r="CM156" s="1389">
        <f t="shared" si="114"/>
        <v>0.1007461473722191</v>
      </c>
      <c r="CN156" s="1390">
        <f t="shared" si="114"/>
        <v>4.6720452637177834E-2</v>
      </c>
      <c r="CO156" s="1390">
        <f t="shared" si="114"/>
        <v>3.5353058314642638E-2</v>
      </c>
      <c r="CP156" s="1390">
        <f t="shared" si="114"/>
        <v>5.1437722496280758E-2</v>
      </c>
      <c r="CQ156" s="1388">
        <f t="shared" si="114"/>
        <v>5.7109129570682038E-2</v>
      </c>
      <c r="CR156" s="1392"/>
      <c r="CS156" s="1389">
        <f t="shared" si="115"/>
        <v>1.7384490839773337E-2</v>
      </c>
      <c r="CT156" s="1390">
        <f t="shared" si="115"/>
        <v>3.4815534903165579E-2</v>
      </c>
      <c r="CU156" s="1390">
        <f t="shared" si="115"/>
        <v>1.5054328390025518E-2</v>
      </c>
      <c r="CV156" s="1390">
        <f t="shared" si="115"/>
        <v>4.8584586290812526E-2</v>
      </c>
      <c r="CW156" s="1388">
        <f t="shared" si="115"/>
        <v>3.0199366305397435E-2</v>
      </c>
      <c r="CX156" s="1392"/>
      <c r="CY156" s="1389">
        <f t="shared" si="116"/>
        <v>2.696207425622088E-2</v>
      </c>
      <c r="CZ156" s="1390">
        <f t="shared" si="117"/>
        <v>9.992444660891886E-3</v>
      </c>
      <c r="DA156" s="1390">
        <f t="shared" si="118"/>
        <v>3.4704556613559534E-2</v>
      </c>
      <c r="DB156" s="1390">
        <f t="shared" si="119"/>
        <v>1.9064721581865562E-2</v>
      </c>
      <c r="DC156" s="1388">
        <f t="shared" si="120"/>
        <v>2.2437736885952742E-2</v>
      </c>
      <c r="DD156" s="1392"/>
      <c r="DE156" s="1389">
        <f t="shared" si="121"/>
        <v>1.6248717461933238E-2</v>
      </c>
      <c r="DF156" s="1390">
        <f t="shared" si="122"/>
        <v>3.2226517388399989E-2</v>
      </c>
      <c r="DG156" s="1390">
        <f t="shared" si="123"/>
        <v>1.496470969801833E-2</v>
      </c>
      <c r="DH156" s="1390">
        <f t="shared" si="124"/>
        <v>2.8161299192853262E-2</v>
      </c>
      <c r="DI156" s="1388">
        <f t="shared" si="125"/>
        <v>2.3238785807826456E-2</v>
      </c>
    </row>
    <row r="157" spans="1:113" s="1381" customFormat="1" ht="11.25">
      <c r="A157" s="1394" t="str">
        <f>A150</f>
        <v>Asia Pacific</v>
      </c>
      <c r="B157" s="1387"/>
      <c r="C157" s="1388"/>
      <c r="D157" s="1387"/>
      <c r="E157" s="1388"/>
      <c r="F157" s="1387"/>
      <c r="G157" s="1388"/>
      <c r="H157" s="1387"/>
      <c r="I157" s="1388"/>
      <c r="J157" s="1387"/>
      <c r="K157" s="1388"/>
      <c r="L157" s="1387"/>
      <c r="M157" s="1388"/>
      <c r="N157" s="1387"/>
      <c r="O157" s="1388"/>
      <c r="P157" s="1387"/>
      <c r="Q157" s="1388"/>
      <c r="R157" s="1387"/>
      <c r="S157" s="1389"/>
      <c r="T157" s="1390"/>
      <c r="U157" s="1390"/>
      <c r="V157" s="1390"/>
      <c r="W157" s="1388"/>
      <c r="X157" s="1390"/>
      <c r="Y157" s="1389"/>
      <c r="Z157" s="1390"/>
      <c r="AA157" s="1390"/>
      <c r="AB157" s="1390"/>
      <c r="AC157" s="1388"/>
      <c r="AD157" s="1390"/>
      <c r="AE157" s="1389"/>
      <c r="AF157" s="1390"/>
      <c r="AG157" s="1390"/>
      <c r="AH157" s="1390"/>
      <c r="AI157" s="1388"/>
      <c r="AJ157" s="1390"/>
      <c r="AK157" s="1389"/>
      <c r="AL157" s="1390"/>
      <c r="AM157" s="1390"/>
      <c r="AN157" s="1390"/>
      <c r="AO157" s="1388"/>
      <c r="AP157" s="1390"/>
      <c r="AQ157" s="1391"/>
      <c r="AR157" s="1392"/>
      <c r="AS157" s="1392"/>
      <c r="AT157" s="1392"/>
      <c r="AU157" s="1388"/>
      <c r="AV157" s="1390"/>
      <c r="AW157" s="1389">
        <f t="shared" si="99"/>
        <v>0.4838906066955635</v>
      </c>
      <c r="AX157" s="1390">
        <f t="shared" si="99"/>
        <v>0.53903425389115989</v>
      </c>
      <c r="AY157" s="1390">
        <f t="shared" si="99"/>
        <v>0.55689538643148251</v>
      </c>
      <c r="AZ157" s="1390">
        <f t="shared" si="99"/>
        <v>0.31794371669734978</v>
      </c>
      <c r="BA157" s="1388">
        <f t="shared" si="99"/>
        <v>0.46104464546250368</v>
      </c>
      <c r="BB157" s="1390"/>
      <c r="BC157" s="1389">
        <f t="shared" si="100"/>
        <v>9.9837984867799934E-2</v>
      </c>
      <c r="BD157" s="1390">
        <f t="shared" si="100"/>
        <v>1.5104077335894139E-2</v>
      </c>
      <c r="BE157" s="1390">
        <f t="shared" si="100"/>
        <v>3.607548524585602E-2</v>
      </c>
      <c r="BF157" s="1390">
        <f t="shared" si="100"/>
        <v>5.4038398628651674E-2</v>
      </c>
      <c r="BG157" s="1388">
        <f t="shared" si="100"/>
        <v>4.9930097862991962E-2</v>
      </c>
      <c r="BH157" s="1390"/>
      <c r="BI157" s="1389">
        <f t="shared" si="101"/>
        <v>-4.928010643969527E-2</v>
      </c>
      <c r="BJ157" s="1390">
        <f t="shared" si="101"/>
        <v>5.988707733874854E-2</v>
      </c>
      <c r="BK157" s="1390">
        <f t="shared" si="101"/>
        <v>-3.9059266329462106E-2</v>
      </c>
      <c r="BL157" s="1390">
        <f t="shared" si="101"/>
        <v>4.6143933534538162E-2</v>
      </c>
      <c r="BM157" s="1388">
        <f t="shared" si="101"/>
        <v>6.4675670534524166E-3</v>
      </c>
      <c r="BN157" s="1390"/>
      <c r="BO157" s="1389">
        <f t="shared" si="102"/>
        <v>2.5632157283704826E-2</v>
      </c>
      <c r="BP157" s="1390">
        <f t="shared" si="102"/>
        <v>-4.2480242203974505E-2</v>
      </c>
      <c r="BQ157" s="1390">
        <f t="shared" si="102"/>
        <v>-8.9362701047573156E-2</v>
      </c>
      <c r="BR157" s="1390">
        <f t="shared" si="102"/>
        <v>-0.12377934639795518</v>
      </c>
      <c r="BS157" s="1388">
        <f t="shared" si="102"/>
        <v>-6.3504063504063568E-2</v>
      </c>
      <c r="BT157" s="1392"/>
      <c r="BU157" s="1389">
        <f t="shared" si="103"/>
        <v>-0.22176142835191681</v>
      </c>
      <c r="BV157" s="1390">
        <f t="shared" si="104"/>
        <v>-0.19242879845626437</v>
      </c>
      <c r="BW157" s="1390">
        <f t="shared" si="105"/>
        <v>-0.11987530695920567</v>
      </c>
      <c r="BX157" s="1390">
        <f t="shared" si="106"/>
        <v>-0.12193299670089108</v>
      </c>
      <c r="BY157" s="1388">
        <f t="shared" si="107"/>
        <v>-0.16266397578203839</v>
      </c>
      <c r="BZ157" s="1392"/>
      <c r="CA157" s="1389">
        <f t="shared" si="108"/>
        <v>0.18162001054587784</v>
      </c>
      <c r="CB157" s="1390">
        <f t="shared" si="109"/>
        <v>4.4408414355903369E-2</v>
      </c>
      <c r="CC157" s="1390">
        <f t="shared" si="110"/>
        <v>0.1065068971045644</v>
      </c>
      <c r="CD157" s="1390">
        <f t="shared" si="111"/>
        <v>9.4305026008021597E-2</v>
      </c>
      <c r="CE157" s="1388">
        <f t="shared" si="112"/>
        <v>0.10412147505423008</v>
      </c>
      <c r="CF157" s="1392"/>
      <c r="CG157" s="1389">
        <f t="shared" si="113"/>
        <v>2.5306339904102249E-2</v>
      </c>
      <c r="CH157" s="1390">
        <f t="shared" si="113"/>
        <v>0.11622276029055678</v>
      </c>
      <c r="CI157" s="1390">
        <f t="shared" si="113"/>
        <v>0.10586443259710587</v>
      </c>
      <c r="CJ157" s="1390">
        <f t="shared" si="113"/>
        <v>0.12800340208377681</v>
      </c>
      <c r="CK157" s="1388">
        <f t="shared" si="113"/>
        <v>9.5947371687457705E-2</v>
      </c>
      <c r="CL157" s="1392"/>
      <c r="CM157" s="1389">
        <f t="shared" si="114"/>
        <v>0.1007461473722191</v>
      </c>
      <c r="CN157" s="1390">
        <f t="shared" si="114"/>
        <v>4.6720452637177834E-2</v>
      </c>
      <c r="CO157" s="1390">
        <f t="shared" si="114"/>
        <v>3.5353058314642638E-2</v>
      </c>
      <c r="CP157" s="1390">
        <f t="shared" si="114"/>
        <v>5.143772249628098E-2</v>
      </c>
      <c r="CQ157" s="1388">
        <f t="shared" si="114"/>
        <v>5.7109129570682038E-2</v>
      </c>
      <c r="CR157" s="1392"/>
      <c r="CS157" s="1389">
        <f t="shared" si="115"/>
        <v>1.7384490839773559E-2</v>
      </c>
      <c r="CT157" s="1390">
        <f t="shared" si="115"/>
        <v>3.4815534903165579E-2</v>
      </c>
      <c r="CU157" s="1390">
        <f t="shared" si="115"/>
        <v>1.5054328390025518E-2</v>
      </c>
      <c r="CV157" s="1390">
        <f t="shared" si="115"/>
        <v>4.8584586290812526E-2</v>
      </c>
      <c r="CW157" s="1388">
        <f t="shared" si="115"/>
        <v>3.0199366305397435E-2</v>
      </c>
      <c r="CX157" s="1392"/>
      <c r="CY157" s="1389">
        <f t="shared" si="116"/>
        <v>2.6962074256220658E-2</v>
      </c>
      <c r="CZ157" s="1390">
        <f t="shared" si="117"/>
        <v>9.992444660892108E-3</v>
      </c>
      <c r="DA157" s="1390">
        <f t="shared" si="118"/>
        <v>3.4704556613559534E-2</v>
      </c>
      <c r="DB157" s="1390">
        <f t="shared" si="119"/>
        <v>1.9064721581865562E-2</v>
      </c>
      <c r="DC157" s="1388">
        <f t="shared" si="120"/>
        <v>2.2437736885952742E-2</v>
      </c>
      <c r="DD157" s="1392"/>
      <c r="DE157" s="1389">
        <f t="shared" si="121"/>
        <v>1.6248717461933238E-2</v>
      </c>
      <c r="DF157" s="1390">
        <f t="shared" si="122"/>
        <v>3.2226517388399989E-2</v>
      </c>
      <c r="DG157" s="1390">
        <f t="shared" si="123"/>
        <v>1.496470969801833E-2</v>
      </c>
      <c r="DH157" s="1390">
        <f t="shared" si="124"/>
        <v>2.8161299192853262E-2</v>
      </c>
      <c r="DI157" s="1388">
        <f t="shared" si="125"/>
        <v>2.3238785807826456E-2</v>
      </c>
    </row>
    <row r="158" spans="1:113" s="1381" customFormat="1" ht="11.25">
      <c r="A158" s="1394" t="str">
        <f>A151</f>
        <v>Rest of world</v>
      </c>
      <c r="B158" s="1387"/>
      <c r="C158" s="1388"/>
      <c r="D158" s="1387"/>
      <c r="E158" s="1388"/>
      <c r="F158" s="1387"/>
      <c r="G158" s="1388"/>
      <c r="H158" s="1387"/>
      <c r="I158" s="1388"/>
      <c r="J158" s="1387"/>
      <c r="K158" s="1388"/>
      <c r="L158" s="1387"/>
      <c r="M158" s="1388"/>
      <c r="N158" s="1387"/>
      <c r="O158" s="1388"/>
      <c r="P158" s="1387"/>
      <c r="Q158" s="1388"/>
      <c r="R158" s="1387"/>
      <c r="S158" s="1389"/>
      <c r="T158" s="1390"/>
      <c r="U158" s="1390"/>
      <c r="V158" s="1390"/>
      <c r="W158" s="1388"/>
      <c r="X158" s="1390"/>
      <c r="Y158" s="1389"/>
      <c r="Z158" s="1390"/>
      <c r="AA158" s="1390"/>
      <c r="AB158" s="1390"/>
      <c r="AC158" s="1388"/>
      <c r="AD158" s="1390"/>
      <c r="AE158" s="1389"/>
      <c r="AF158" s="1390"/>
      <c r="AG158" s="1390"/>
      <c r="AH158" s="1390"/>
      <c r="AI158" s="1388"/>
      <c r="AJ158" s="1390"/>
      <c r="AK158" s="1389"/>
      <c r="AL158" s="1390"/>
      <c r="AM158" s="1390"/>
      <c r="AN158" s="1390"/>
      <c r="AO158" s="1388"/>
      <c r="AP158" s="1390"/>
      <c r="AQ158" s="1391"/>
      <c r="AR158" s="1392"/>
      <c r="AS158" s="1392"/>
      <c r="AT158" s="1392"/>
      <c r="AU158" s="1388"/>
      <c r="AV158" s="1390"/>
      <c r="AW158" s="1389">
        <f t="shared" si="99"/>
        <v>0.25172436283315425</v>
      </c>
      <c r="AX158" s="1390">
        <f t="shared" si="99"/>
        <v>0.29824035689548811</v>
      </c>
      <c r="AY158" s="1390">
        <f t="shared" si="99"/>
        <v>0.31330697612444891</v>
      </c>
      <c r="AZ158" s="1390">
        <f t="shared" si="99"/>
        <v>0.11174115638256321</v>
      </c>
      <c r="BA158" s="1388">
        <f t="shared" si="99"/>
        <v>0.23245283018867924</v>
      </c>
      <c r="BB158" s="1390"/>
      <c r="BC158" s="1389">
        <f t="shared" si="100"/>
        <v>0.17005689010286207</v>
      </c>
      <c r="BD158" s="1390">
        <f t="shared" si="100"/>
        <v>7.9913165575142386E-2</v>
      </c>
      <c r="BE158" s="1390">
        <f t="shared" si="100"/>
        <v>0.10222348823885552</v>
      </c>
      <c r="BF158" s="1390">
        <f t="shared" si="100"/>
        <v>0.12133323972865062</v>
      </c>
      <c r="BG158" s="1388">
        <f t="shared" si="100"/>
        <v>0.11696264543784451</v>
      </c>
      <c r="BH158" s="1390"/>
      <c r="BI158" s="1389">
        <f t="shared" si="101"/>
        <v>-7.8176096864792544E-2</v>
      </c>
      <c r="BJ158" s="1390">
        <f t="shared" si="101"/>
        <v>2.7673081349063988E-2</v>
      </c>
      <c r="BK158" s="1390">
        <f t="shared" si="101"/>
        <v>-6.8265906926037068E-2</v>
      </c>
      <c r="BL158" s="1390">
        <f t="shared" si="101"/>
        <v>1.4347643910805452E-2</v>
      </c>
      <c r="BM158" s="1388">
        <f t="shared" si="101"/>
        <v>-2.4122807017543879E-2</v>
      </c>
      <c r="BN158" s="1390"/>
      <c r="BO158" s="1389">
        <f t="shared" si="102"/>
        <v>0.15547703257238932</v>
      </c>
      <c r="BP158" s="1390">
        <f t="shared" si="102"/>
        <v>7.8741613657829612E-2</v>
      </c>
      <c r="BQ158" s="1390">
        <f t="shared" si="102"/>
        <v>2.5923842647443962E-2</v>
      </c>
      <c r="BR158" s="1390">
        <f t="shared" si="102"/>
        <v>-1.2849944775404354E-2</v>
      </c>
      <c r="BS158" s="1388">
        <f t="shared" si="102"/>
        <v>5.5056179775280878E-2</v>
      </c>
      <c r="BT158" s="1392"/>
      <c r="BU158" s="1389">
        <f t="shared" si="103"/>
        <v>-0.25765011267269988</v>
      </c>
      <c r="BV158" s="1390">
        <f t="shared" si="104"/>
        <v>-0.22967016501739701</v>
      </c>
      <c r="BW158" s="1390">
        <f t="shared" si="105"/>
        <v>-0.16046249759995768</v>
      </c>
      <c r="BX158" s="1390">
        <f t="shared" si="106"/>
        <v>-0.16242529641711179</v>
      </c>
      <c r="BY158" s="1388">
        <f t="shared" si="107"/>
        <v>-0.20127795527156556</v>
      </c>
      <c r="BZ158" s="1392"/>
      <c r="CA158" s="1389">
        <f t="shared" si="108"/>
        <v>1.3826873776560777E-2</v>
      </c>
      <c r="CB158" s="1390">
        <f t="shared" si="109"/>
        <v>-0.10390031632654961</v>
      </c>
      <c r="CC158" s="1390">
        <f t="shared" si="110"/>
        <v>-5.0619980796129505E-2</v>
      </c>
      <c r="CD158" s="1390">
        <f t="shared" si="111"/>
        <v>-6.1089154233974208E-2</v>
      </c>
      <c r="CE158" s="1388">
        <f t="shared" si="112"/>
        <v>-5.266666666666675E-2</v>
      </c>
      <c r="CF158" s="1392"/>
      <c r="CG158" s="1389">
        <f t="shared" si="113"/>
        <v>2.5306339904102249E-2</v>
      </c>
      <c r="CH158" s="1390">
        <f t="shared" si="113"/>
        <v>0.11622276029055678</v>
      </c>
      <c r="CI158" s="1390">
        <f t="shared" si="113"/>
        <v>0.10586443259710587</v>
      </c>
      <c r="CJ158" s="1390">
        <f t="shared" si="113"/>
        <v>0.12800340208377703</v>
      </c>
      <c r="CK158" s="1388">
        <f t="shared" si="113"/>
        <v>9.5947371687457483E-2</v>
      </c>
      <c r="CL158" s="1392"/>
      <c r="CM158" s="1389">
        <f t="shared" si="114"/>
        <v>0.1007461473722191</v>
      </c>
      <c r="CN158" s="1390">
        <f t="shared" si="114"/>
        <v>4.6720452637177834E-2</v>
      </c>
      <c r="CO158" s="1390">
        <f t="shared" si="114"/>
        <v>3.5353058314642638E-2</v>
      </c>
      <c r="CP158" s="1390">
        <f t="shared" si="114"/>
        <v>5.1437722496280758E-2</v>
      </c>
      <c r="CQ158" s="1388">
        <f t="shared" si="114"/>
        <v>5.710912957068226E-2</v>
      </c>
      <c r="CR158" s="1392"/>
      <c r="CS158" s="1389">
        <f t="shared" si="115"/>
        <v>1.7384490839773559E-2</v>
      </c>
      <c r="CT158" s="1390">
        <f t="shared" si="115"/>
        <v>3.4815534903165579E-2</v>
      </c>
      <c r="CU158" s="1390">
        <f t="shared" si="115"/>
        <v>1.5054328390025518E-2</v>
      </c>
      <c r="CV158" s="1390">
        <f t="shared" si="115"/>
        <v>4.8584586290812526E-2</v>
      </c>
      <c r="CW158" s="1388">
        <f t="shared" si="115"/>
        <v>3.0199366305397435E-2</v>
      </c>
      <c r="CX158" s="1392"/>
      <c r="CY158" s="1389">
        <f t="shared" si="116"/>
        <v>2.696207425622088E-2</v>
      </c>
      <c r="CZ158" s="1390">
        <f t="shared" si="117"/>
        <v>9.992444660891886E-3</v>
      </c>
      <c r="DA158" s="1390">
        <f t="shared" si="118"/>
        <v>3.4704556613559534E-2</v>
      </c>
      <c r="DB158" s="1390">
        <f t="shared" si="119"/>
        <v>1.9064721581865562E-2</v>
      </c>
      <c r="DC158" s="1388">
        <f t="shared" si="120"/>
        <v>2.2437736885952742E-2</v>
      </c>
      <c r="DD158" s="1392"/>
      <c r="DE158" s="1389">
        <f t="shared" si="121"/>
        <v>1.6248717461933238E-2</v>
      </c>
      <c r="DF158" s="1390">
        <f t="shared" si="122"/>
        <v>3.2226517388399989E-2</v>
      </c>
      <c r="DG158" s="1390">
        <f t="shared" si="123"/>
        <v>1.496470969801833E-2</v>
      </c>
      <c r="DH158" s="1390">
        <f t="shared" si="124"/>
        <v>2.8161299192853262E-2</v>
      </c>
      <c r="DI158" s="1388">
        <f t="shared" si="125"/>
        <v>2.3238785807826456E-2</v>
      </c>
    </row>
    <row r="159" spans="1:113" s="1381" customFormat="1" ht="11.25">
      <c r="A159" s="1395" t="str">
        <f>A152</f>
        <v>Total Revenue</v>
      </c>
      <c r="B159" s="1396"/>
      <c r="C159" s="1397"/>
      <c r="D159" s="1396"/>
      <c r="E159" s="1397"/>
      <c r="F159" s="1396"/>
      <c r="G159" s="1397"/>
      <c r="H159" s="1396"/>
      <c r="I159" s="1397"/>
      <c r="J159" s="1396"/>
      <c r="K159" s="1397"/>
      <c r="L159" s="1396"/>
      <c r="M159" s="1397"/>
      <c r="N159" s="1396"/>
      <c r="O159" s="1397"/>
      <c r="P159" s="1396"/>
      <c r="Q159" s="1397"/>
      <c r="R159" s="1396"/>
      <c r="S159" s="1398"/>
      <c r="T159" s="1399"/>
      <c r="U159" s="1399"/>
      <c r="V159" s="1399"/>
      <c r="W159" s="1397"/>
      <c r="X159" s="1400"/>
      <c r="Y159" s="1398"/>
      <c r="Z159" s="1399"/>
      <c r="AA159" s="1399"/>
      <c r="AB159" s="1399"/>
      <c r="AC159" s="1397"/>
      <c r="AD159" s="1400"/>
      <c r="AE159" s="1398"/>
      <c r="AF159" s="1399"/>
      <c r="AG159" s="1399"/>
      <c r="AH159" s="1399"/>
      <c r="AI159" s="1397"/>
      <c r="AJ159" s="1400"/>
      <c r="AK159" s="1398"/>
      <c r="AL159" s="1399"/>
      <c r="AM159" s="1399"/>
      <c r="AN159" s="1399"/>
      <c r="AO159" s="1397"/>
      <c r="AP159" s="1400"/>
      <c r="AQ159" s="1398"/>
      <c r="AR159" s="1399"/>
      <c r="AS159" s="1399"/>
      <c r="AT159" s="1399"/>
      <c r="AU159" s="1397"/>
      <c r="AV159" s="1400"/>
      <c r="AW159" s="1398">
        <f t="shared" si="99"/>
        <v>0.28555995678790058</v>
      </c>
      <c r="AX159" s="1399">
        <f t="shared" si="99"/>
        <v>0.33333333333333348</v>
      </c>
      <c r="AY159" s="1399">
        <f t="shared" si="99"/>
        <v>0.34880722114764673</v>
      </c>
      <c r="AZ159" s="1399">
        <f t="shared" si="99"/>
        <v>0.1417928382600333</v>
      </c>
      <c r="BA159" s="1397">
        <f t="shared" si="99"/>
        <v>0.26576749176182068</v>
      </c>
      <c r="BB159" s="1400"/>
      <c r="BC159" s="1398">
        <f t="shared" si="100"/>
        <v>0.13613445378151257</v>
      </c>
      <c r="BD159" s="1399">
        <f t="shared" si="100"/>
        <v>4.8604187437687019E-2</v>
      </c>
      <c r="BE159" s="1399">
        <f t="shared" si="100"/>
        <v>7.0267686424474229E-2</v>
      </c>
      <c r="BF159" s="1399">
        <f t="shared" si="100"/>
        <v>8.8823405598821736E-2</v>
      </c>
      <c r="BG159" s="1397">
        <f t="shared" si="100"/>
        <v>8.4579524126657368E-2</v>
      </c>
      <c r="BH159" s="1400"/>
      <c r="BI159" s="1398">
        <f t="shared" si="101"/>
        <v>-3.0078895463510835E-2</v>
      </c>
      <c r="BJ159" s="1399">
        <f t="shared" si="101"/>
        <v>8.1293082956976459E-2</v>
      </c>
      <c r="BK159" s="1399">
        <f t="shared" si="101"/>
        <v>-1.9651630192050074E-2</v>
      </c>
      <c r="BL159" s="1399">
        <f t="shared" si="101"/>
        <v>6.7272375797409634E-2</v>
      </c>
      <c r="BM159" s="1397">
        <f t="shared" si="101"/>
        <v>2.6794685720665345E-2</v>
      </c>
      <c r="BN159" s="1400"/>
      <c r="BO159" s="1398">
        <f t="shared" si="102"/>
        <v>7.7020843924758609E-2</v>
      </c>
      <c r="BP159" s="1399">
        <f t="shared" si="102"/>
        <v>5.4957133435917793E-3</v>
      </c>
      <c r="BQ159" s="1399">
        <f t="shared" si="102"/>
        <v>-4.3735763097949909E-2</v>
      </c>
      <c r="BR159" s="1399">
        <f t="shared" si="102"/>
        <v>-7.9876833906900813E-2</v>
      </c>
      <c r="BS159" s="1397">
        <f t="shared" si="102"/>
        <v>-1.6581493965423633E-2</v>
      </c>
      <c r="BT159" s="1401"/>
      <c r="BU159" s="1398">
        <f t="shared" si="103"/>
        <v>-0.16568326646211951</v>
      </c>
      <c r="BV159" s="1399">
        <f t="shared" si="104"/>
        <v>-0.13423699169217307</v>
      </c>
      <c r="BW159" s="1399">
        <f t="shared" si="105"/>
        <v>-5.6455454978561193E-2</v>
      </c>
      <c r="BX159" s="1399">
        <f t="shared" si="106"/>
        <v>-5.8661417322835141E-2</v>
      </c>
      <c r="BY159" s="1397">
        <f t="shared" si="107"/>
        <v>-0.10232738128144159</v>
      </c>
      <c r="BZ159" s="1401"/>
      <c r="CA159" s="1398">
        <f t="shared" si="108"/>
        <v>6.195190947666207E-2</v>
      </c>
      <c r="CB159" s="1399">
        <f t="shared" si="109"/>
        <v>-6.1363636363636287E-2</v>
      </c>
      <c r="CC159" s="1399">
        <f t="shared" si="110"/>
        <v>-5.554152991668837E-3</v>
      </c>
      <c r="CD159" s="1399">
        <f t="shared" si="111"/>
        <v>-1.6520284399832441E-2</v>
      </c>
      <c r="CE159" s="1397">
        <f t="shared" si="112"/>
        <v>-7.6979923635918102E-3</v>
      </c>
      <c r="CF159" s="1401"/>
      <c r="CG159" s="1398">
        <f t="shared" si="113"/>
        <v>2.5306339904102026E-2</v>
      </c>
      <c r="CH159" s="1399">
        <f t="shared" si="113"/>
        <v>0.11622276029055678</v>
      </c>
      <c r="CI159" s="1399">
        <f t="shared" si="113"/>
        <v>0.10586443259710587</v>
      </c>
      <c r="CJ159" s="1399">
        <f t="shared" si="113"/>
        <v>0.12800340208377681</v>
      </c>
      <c r="CK159" s="1397">
        <f t="shared" si="113"/>
        <v>9.5947371687457483E-2</v>
      </c>
      <c r="CL159" s="1401"/>
      <c r="CM159" s="1398">
        <f t="shared" si="114"/>
        <v>0.1007461473722191</v>
      </c>
      <c r="CN159" s="1399">
        <f t="shared" si="114"/>
        <v>4.6720452637177834E-2</v>
      </c>
      <c r="CO159" s="1399">
        <f t="shared" si="114"/>
        <v>3.5353058314642638E-2</v>
      </c>
      <c r="CP159" s="1399">
        <f t="shared" si="114"/>
        <v>5.1437722496280758E-2</v>
      </c>
      <c r="CQ159" s="1397">
        <f t="shared" si="114"/>
        <v>5.710912957068226E-2</v>
      </c>
      <c r="CR159" s="1401"/>
      <c r="CS159" s="1398">
        <f t="shared" si="115"/>
        <v>1.7384490839773559E-2</v>
      </c>
      <c r="CT159" s="1399">
        <f t="shared" si="115"/>
        <v>3.4815534903165579E-2</v>
      </c>
      <c r="CU159" s="1399">
        <f t="shared" si="115"/>
        <v>1.5054328390025518E-2</v>
      </c>
      <c r="CV159" s="1399">
        <f t="shared" si="115"/>
        <v>4.8584586290812526E-2</v>
      </c>
      <c r="CW159" s="1397">
        <f t="shared" si="115"/>
        <v>3.0199366305397435E-2</v>
      </c>
      <c r="CX159" s="1401"/>
      <c r="CY159" s="1398">
        <f t="shared" si="116"/>
        <v>2.696207425622088E-2</v>
      </c>
      <c r="CZ159" s="1399">
        <f t="shared" si="117"/>
        <v>9.992444660892108E-3</v>
      </c>
      <c r="DA159" s="1399">
        <f t="shared" si="118"/>
        <v>3.4704556613559534E-2</v>
      </c>
      <c r="DB159" s="1399">
        <f t="shared" si="119"/>
        <v>1.9064721581865562E-2</v>
      </c>
      <c r="DC159" s="1397">
        <f t="shared" si="120"/>
        <v>2.2437736885952742E-2</v>
      </c>
      <c r="DD159" s="1401"/>
      <c r="DE159" s="1398">
        <f t="shared" si="121"/>
        <v>1.6248717461933238E-2</v>
      </c>
      <c r="DF159" s="1399">
        <f t="shared" si="122"/>
        <v>3.2226517388399989E-2</v>
      </c>
      <c r="DG159" s="1399">
        <f t="shared" si="123"/>
        <v>1.496470969801833E-2</v>
      </c>
      <c r="DH159" s="1399">
        <f t="shared" si="124"/>
        <v>2.8161299192853262E-2</v>
      </c>
      <c r="DI159" s="1397">
        <f t="shared" si="125"/>
        <v>2.3238785807826456E-2</v>
      </c>
    </row>
    <row r="160" spans="1:113" s="355" customFormat="1" ht="11.25" customHeight="1">
      <c r="A160" s="527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624"/>
      <c r="AD160" s="9"/>
      <c r="AE160" s="9"/>
      <c r="AF160" s="9"/>
      <c r="AG160" s="9"/>
      <c r="AH160" s="9"/>
      <c r="AI160" s="624"/>
      <c r="AJ160" s="9"/>
      <c r="AK160" s="624"/>
      <c r="AL160" s="624"/>
      <c r="AM160" s="624"/>
      <c r="AN160" s="624"/>
      <c r="AO160" s="624"/>
      <c r="AP160" s="9"/>
      <c r="AQ160" s="624"/>
      <c r="AR160" s="624"/>
      <c r="AS160" s="624"/>
      <c r="AT160" s="624"/>
      <c r="AU160" s="624"/>
      <c r="AV160" s="9"/>
      <c r="AW160" s="624"/>
      <c r="AX160" s="624"/>
      <c r="AY160" s="624"/>
      <c r="AZ160" s="624"/>
      <c r="BA160" s="624"/>
      <c r="BB160" s="9"/>
      <c r="BC160" s="624"/>
      <c r="BD160" s="624"/>
      <c r="BE160" s="9"/>
      <c r="BF160" s="9"/>
      <c r="BG160" s="9"/>
      <c r="BH160" s="9"/>
      <c r="BI160" s="9"/>
      <c r="BJ160" s="9"/>
      <c r="BK160" s="9"/>
      <c r="BL160" s="9"/>
      <c r="BM160" s="9"/>
      <c r="BN160" s="9"/>
      <c r="BO160" s="9"/>
      <c r="BP160" s="9"/>
      <c r="BQ160" s="9"/>
      <c r="BR160" s="9"/>
      <c r="BS160" s="9"/>
      <c r="BT160" s="9"/>
      <c r="BU160" s="9"/>
      <c r="BV160" s="9"/>
      <c r="BW160" s="2114"/>
      <c r="BX160" s="9"/>
      <c r="BY160" s="9"/>
      <c r="BZ160" s="9"/>
      <c r="CA160" s="9"/>
      <c r="CB160" s="9"/>
      <c r="CC160" s="2114"/>
      <c r="CD160" s="9"/>
      <c r="CE160" s="9"/>
      <c r="CF160" s="9"/>
      <c r="CG160" s="9"/>
      <c r="CH160" s="9"/>
      <c r="CI160" s="9"/>
      <c r="CJ160" s="9"/>
      <c r="CK160" s="9"/>
      <c r="CL160" s="9"/>
      <c r="CM160" s="9"/>
      <c r="CN160" s="9"/>
      <c r="CO160" s="9"/>
      <c r="CP160" s="9"/>
      <c r="CQ160" s="9"/>
      <c r="CR160" s="9"/>
      <c r="CS160" s="9"/>
      <c r="CT160" s="9"/>
      <c r="CU160" s="9"/>
      <c r="CV160" s="9"/>
      <c r="CW160" s="9"/>
      <c r="CX160" s="9"/>
      <c r="CY160" s="9"/>
      <c r="CZ160" s="9"/>
      <c r="DA160" s="9"/>
      <c r="DB160" s="9"/>
      <c r="DC160" s="9"/>
      <c r="DD160" s="9"/>
      <c r="DE160" s="9"/>
      <c r="DF160" s="9"/>
      <c r="DG160" s="9"/>
      <c r="DH160" s="9"/>
      <c r="DI160" s="9"/>
    </row>
    <row r="161" spans="1:113" s="355" customFormat="1" ht="11.25" customHeight="1">
      <c r="A161" s="421"/>
      <c r="B161" s="353"/>
      <c r="C161" s="353"/>
      <c r="D161" s="353"/>
      <c r="E161" s="353"/>
      <c r="F161" s="353"/>
      <c r="G161" s="353"/>
      <c r="H161" s="353"/>
      <c r="I161" s="353"/>
      <c r="J161" s="353"/>
      <c r="K161" s="353"/>
      <c r="L161" s="353"/>
      <c r="M161" s="353"/>
      <c r="N161" s="353"/>
      <c r="O161" s="353"/>
      <c r="P161" s="353"/>
      <c r="Q161" s="353"/>
      <c r="R161" s="353"/>
      <c r="S161" s="353"/>
      <c r="T161" s="353"/>
      <c r="U161" s="353"/>
      <c r="V161" s="353"/>
      <c r="W161" s="353"/>
      <c r="X161" s="353"/>
      <c r="Y161" s="353"/>
      <c r="Z161" s="353"/>
      <c r="AA161" s="353"/>
      <c r="AB161" s="353"/>
      <c r="AC161" s="422"/>
      <c r="AD161" s="353"/>
      <c r="AE161" s="423"/>
      <c r="AF161" s="423"/>
      <c r="AG161" s="423"/>
      <c r="AH161" s="423"/>
      <c r="AI161" s="423"/>
      <c r="AJ161" s="353"/>
      <c r="AK161" s="423"/>
      <c r="AL161" s="423"/>
      <c r="AM161" s="423"/>
      <c r="AN161" s="423"/>
      <c r="AO161" s="423"/>
      <c r="AP161" s="423"/>
      <c r="AQ161" s="423"/>
      <c r="AR161" s="423"/>
      <c r="AS161" s="423"/>
      <c r="AT161" s="423"/>
      <c r="AU161" s="423"/>
      <c r="AV161" s="423"/>
      <c r="AW161" s="423"/>
      <c r="AX161" s="423"/>
      <c r="AY161" s="423"/>
      <c r="AZ161" s="423"/>
      <c r="BA161" s="423"/>
      <c r="BB161" s="423"/>
      <c r="BC161" s="423"/>
      <c r="BD161" s="423"/>
      <c r="BE161" s="423"/>
      <c r="BF161" s="423"/>
      <c r="BG161" s="423"/>
      <c r="BH161" s="423"/>
      <c r="BI161" s="423"/>
      <c r="BJ161" s="423"/>
      <c r="BK161" s="423"/>
      <c r="BL161" s="423"/>
      <c r="BM161" s="423"/>
      <c r="BN161" s="353"/>
      <c r="BO161" s="423"/>
      <c r="BP161" s="423"/>
      <c r="BQ161" s="423"/>
      <c r="BR161" s="423"/>
      <c r="BS161" s="423"/>
      <c r="BT161" s="353"/>
      <c r="BU161" s="423"/>
      <c r="BV161" s="353"/>
      <c r="BW161" s="353"/>
      <c r="BX161" s="353"/>
      <c r="BY161" s="353"/>
      <c r="BZ161" s="353"/>
      <c r="CA161" s="353"/>
      <c r="CB161" s="353"/>
      <c r="CC161" s="424"/>
      <c r="CD161" s="353"/>
      <c r="CE161" s="353"/>
      <c r="CF161" s="353"/>
      <c r="CG161" s="353"/>
      <c r="CH161" s="353"/>
      <c r="CI161" s="353"/>
      <c r="CJ161" s="353"/>
      <c r="CK161" s="353"/>
      <c r="CL161" s="353"/>
      <c r="CM161" s="353"/>
      <c r="CN161" s="353"/>
      <c r="CO161" s="353"/>
      <c r="CP161" s="353"/>
      <c r="CQ161" s="353"/>
      <c r="CR161" s="353"/>
      <c r="CS161" s="353"/>
      <c r="CT161" s="353"/>
      <c r="CU161" s="353"/>
      <c r="CV161" s="353"/>
      <c r="CW161" s="353"/>
      <c r="CX161" s="353"/>
      <c r="CY161" s="353"/>
      <c r="CZ161" s="353"/>
      <c r="DA161" s="353"/>
      <c r="DB161" s="353"/>
      <c r="DC161" s="353"/>
      <c r="DD161" s="353"/>
      <c r="DE161" s="353"/>
      <c r="DF161" s="353"/>
      <c r="DG161" s="353"/>
      <c r="DH161" s="353"/>
      <c r="DI161" s="353"/>
    </row>
    <row r="162" spans="1:113" s="355" customFormat="1" ht="11.25" customHeight="1">
      <c r="A162" s="73" t="s">
        <v>416</v>
      </c>
      <c r="B162" s="74"/>
      <c r="C162" s="75"/>
      <c r="D162" s="74"/>
      <c r="E162" s="75"/>
      <c r="F162" s="74"/>
      <c r="G162" s="75"/>
      <c r="H162" s="74"/>
      <c r="I162" s="75"/>
      <c r="J162" s="74"/>
      <c r="K162" s="75"/>
      <c r="L162" s="74"/>
      <c r="M162" s="75"/>
      <c r="N162" s="74"/>
      <c r="O162" s="75"/>
      <c r="P162" s="74"/>
      <c r="Q162" s="75"/>
      <c r="R162" s="74"/>
      <c r="S162" s="74"/>
      <c r="T162" s="74"/>
      <c r="U162" s="74"/>
      <c r="V162" s="74"/>
      <c r="W162" s="74"/>
      <c r="X162" s="74"/>
      <c r="Y162" s="74"/>
      <c r="Z162" s="74"/>
      <c r="AA162" s="74"/>
      <c r="AB162" s="74"/>
      <c r="AC162" s="74"/>
      <c r="AD162" s="74"/>
      <c r="AE162" s="74"/>
      <c r="AF162" s="74"/>
      <c r="AG162" s="74"/>
      <c r="AH162" s="74"/>
      <c r="AI162" s="74"/>
      <c r="AJ162" s="74"/>
      <c r="AK162" s="74"/>
      <c r="AL162" s="74"/>
      <c r="AM162" s="74"/>
      <c r="AN162" s="74"/>
      <c r="AO162" s="74"/>
      <c r="AP162" s="74"/>
      <c r="AQ162" s="74"/>
      <c r="AR162" s="74"/>
      <c r="AS162" s="74"/>
      <c r="AT162" s="74"/>
      <c r="AU162" s="74"/>
      <c r="AV162" s="74"/>
      <c r="AW162" s="74"/>
      <c r="AX162" s="74"/>
      <c r="AY162" s="74"/>
      <c r="AZ162" s="74"/>
      <c r="BA162" s="74"/>
      <c r="BB162" s="74"/>
      <c r="BC162" s="74"/>
      <c r="BD162" s="74"/>
      <c r="BE162" s="74"/>
      <c r="BF162" s="74"/>
      <c r="BG162" s="74"/>
      <c r="BH162" s="74"/>
      <c r="BI162" s="74"/>
      <c r="BJ162" s="74"/>
      <c r="BK162" s="74"/>
      <c r="BL162" s="74"/>
      <c r="BM162" s="74"/>
      <c r="BN162" s="74"/>
      <c r="BO162" s="74"/>
      <c r="BP162" s="74"/>
      <c r="BQ162" s="74"/>
      <c r="BR162" s="74"/>
      <c r="BS162" s="76"/>
      <c r="BT162" s="74"/>
      <c r="BU162" s="74"/>
      <c r="BV162" s="74"/>
      <c r="BW162" s="74"/>
      <c r="BX162" s="74"/>
      <c r="BY162" s="76"/>
      <c r="BZ162" s="74"/>
      <c r="CA162" s="74"/>
      <c r="CB162" s="74"/>
      <c r="CC162" s="74"/>
      <c r="CD162" s="76"/>
      <c r="CE162" s="76"/>
      <c r="CF162" s="74"/>
      <c r="CG162" s="74"/>
      <c r="CH162" s="74"/>
      <c r="CI162" s="74"/>
      <c r="CJ162" s="76"/>
      <c r="CK162" s="76"/>
      <c r="CL162" s="74"/>
      <c r="CM162" s="74"/>
      <c r="CN162" s="74"/>
      <c r="CO162" s="74"/>
      <c r="CP162" s="76"/>
      <c r="CQ162" s="76"/>
      <c r="CR162" s="74"/>
      <c r="CS162" s="74"/>
      <c r="CT162" s="74"/>
      <c r="CU162" s="74"/>
      <c r="CV162" s="76"/>
      <c r="CW162" s="76"/>
      <c r="CX162" s="74"/>
      <c r="CY162" s="74"/>
      <c r="CZ162" s="74"/>
      <c r="DA162" s="74"/>
      <c r="DB162" s="76"/>
      <c r="DC162" s="76"/>
      <c r="DD162" s="74"/>
      <c r="DE162" s="74"/>
      <c r="DF162" s="74"/>
      <c r="DG162" s="74"/>
      <c r="DH162" s="76"/>
      <c r="DI162" s="76"/>
    </row>
    <row r="163" spans="1:113" s="355" customFormat="1" ht="11.25" customHeight="1">
      <c r="A163" s="825" t="s">
        <v>405</v>
      </c>
      <c r="B163" s="363"/>
      <c r="C163" s="357"/>
      <c r="D163" s="363"/>
      <c r="E163" s="357"/>
      <c r="F163" s="363"/>
      <c r="G163" s="357"/>
      <c r="H163" s="363"/>
      <c r="I163" s="357"/>
      <c r="J163" s="363"/>
      <c r="K163" s="357"/>
      <c r="L163" s="363"/>
      <c r="M163" s="357"/>
      <c r="N163" s="363"/>
      <c r="O163" s="357"/>
      <c r="P163" s="363"/>
      <c r="Q163" s="357"/>
      <c r="R163" s="363"/>
      <c r="S163" s="362"/>
      <c r="T163" s="363"/>
      <c r="U163" s="363"/>
      <c r="V163" s="363"/>
      <c r="W163" s="357"/>
      <c r="X163" s="363"/>
      <c r="Y163" s="362"/>
      <c r="Z163" s="363"/>
      <c r="AA163" s="363"/>
      <c r="AB163" s="363"/>
      <c r="AC163" s="1531"/>
      <c r="AD163" s="1532"/>
      <c r="AE163" s="1533"/>
      <c r="AF163" s="1534"/>
      <c r="AG163" s="1534"/>
      <c r="AH163" s="1534"/>
      <c r="AI163" s="1531"/>
      <c r="AJ163" s="1532"/>
      <c r="AK163" s="1533"/>
      <c r="AL163" s="1534"/>
      <c r="AM163" s="1534"/>
      <c r="AN163" s="1534"/>
      <c r="AO163" s="1531"/>
      <c r="AP163" s="1532"/>
      <c r="AQ163" s="1533"/>
      <c r="AR163" s="1534"/>
      <c r="AS163" s="1534"/>
      <c r="AT163" s="1534"/>
      <c r="AU163" s="1531"/>
      <c r="AV163" s="1532"/>
      <c r="AW163" s="1533"/>
      <c r="AX163" s="1534"/>
      <c r="AY163" s="1534"/>
      <c r="AZ163" s="1534"/>
      <c r="BA163" s="1531"/>
      <c r="BB163" s="1532"/>
      <c r="BC163" s="1533"/>
      <c r="BD163" s="1534"/>
      <c r="BE163" s="1534"/>
      <c r="BF163" s="1534"/>
      <c r="BG163" s="1531"/>
      <c r="BH163" s="1532"/>
      <c r="BI163" s="1533"/>
      <c r="BJ163" s="1534"/>
      <c r="BK163" s="1534"/>
      <c r="BL163" s="1534"/>
      <c r="BM163" s="1531"/>
      <c r="BN163" s="1532"/>
      <c r="BO163" s="1848" t="s">
        <v>417</v>
      </c>
      <c r="BP163" s="1850" t="s">
        <v>417</v>
      </c>
      <c r="BQ163" s="1541" t="s">
        <v>399</v>
      </c>
      <c r="BR163" s="1534" t="s">
        <v>399</v>
      </c>
      <c r="BS163" s="1531" t="s">
        <v>399</v>
      </c>
      <c r="BT163" s="1532"/>
      <c r="BU163" s="1539" t="s">
        <v>399</v>
      </c>
      <c r="BV163" s="1850" t="s">
        <v>417</v>
      </c>
      <c r="BW163" s="1850" t="s">
        <v>417</v>
      </c>
      <c r="BX163" s="1534" t="s">
        <v>399</v>
      </c>
      <c r="BY163" s="1531" t="s">
        <v>399</v>
      </c>
      <c r="BZ163" s="1532"/>
      <c r="CA163" s="1914" t="s">
        <v>399</v>
      </c>
      <c r="CB163" s="1541" t="s">
        <v>399</v>
      </c>
      <c r="CC163" s="1534"/>
      <c r="CD163" s="1534"/>
      <c r="CE163" s="1531"/>
      <c r="CF163" s="1532"/>
      <c r="CG163" s="1533"/>
      <c r="CH163" s="2220"/>
      <c r="CI163" s="1319" t="s">
        <v>50</v>
      </c>
      <c r="CJ163" s="1534"/>
      <c r="CK163" s="1531"/>
      <c r="CL163" s="1532"/>
      <c r="CM163" s="1533"/>
      <c r="CN163" s="1534"/>
      <c r="CO163" s="1534"/>
      <c r="CP163" s="1534"/>
      <c r="CQ163" s="1531"/>
      <c r="CR163" s="1532"/>
      <c r="CS163" s="1533"/>
      <c r="CT163" s="1534"/>
      <c r="CU163" s="1534"/>
      <c r="CV163" s="1534"/>
      <c r="CW163" s="1531"/>
      <c r="CX163" s="1532"/>
      <c r="CY163" s="1533"/>
      <c r="CZ163" s="1534"/>
      <c r="DA163" s="1534"/>
      <c r="DB163" s="1534"/>
      <c r="DC163" s="1531"/>
      <c r="DD163" s="1532"/>
      <c r="DE163" s="1533"/>
      <c r="DF163" s="1534"/>
      <c r="DG163" s="1534"/>
      <c r="DH163" s="1534"/>
      <c r="DI163" s="1531"/>
    </row>
    <row r="164" spans="1:113" s="355" customFormat="1" ht="11.25" customHeight="1">
      <c r="A164" s="825" t="s">
        <v>406</v>
      </c>
      <c r="B164" s="363"/>
      <c r="C164" s="357"/>
      <c r="D164" s="363"/>
      <c r="E164" s="357"/>
      <c r="F164" s="363"/>
      <c r="G164" s="357"/>
      <c r="H164" s="363"/>
      <c r="I164" s="357"/>
      <c r="J164" s="363"/>
      <c r="K164" s="357"/>
      <c r="L164" s="363"/>
      <c r="M164" s="357"/>
      <c r="N164" s="363"/>
      <c r="O164" s="357"/>
      <c r="P164" s="363"/>
      <c r="Q164" s="357"/>
      <c r="R164" s="363"/>
      <c r="S164" s="362"/>
      <c r="T164" s="363"/>
      <c r="U164" s="363"/>
      <c r="V164" s="363"/>
      <c r="W164" s="357"/>
      <c r="X164" s="363"/>
      <c r="Y164" s="362"/>
      <c r="Z164" s="363"/>
      <c r="AA164" s="363"/>
      <c r="AB164" s="363"/>
      <c r="AC164" s="548"/>
      <c r="AD164" s="546"/>
      <c r="AE164" s="410"/>
      <c r="AF164" s="411"/>
      <c r="AG164" s="411"/>
      <c r="AH164" s="411"/>
      <c r="AI164" s="548"/>
      <c r="AJ164" s="546"/>
      <c r="AK164" s="410"/>
      <c r="AL164" s="411"/>
      <c r="AM164" s="411"/>
      <c r="AN164" s="411"/>
      <c r="AO164" s="548"/>
      <c r="AP164" s="546"/>
      <c r="AQ164" s="410"/>
      <c r="AR164" s="411"/>
      <c r="AS164" s="411"/>
      <c r="AT164" s="411"/>
      <c r="AU164" s="548"/>
      <c r="AV164" s="546"/>
      <c r="AW164" s="410"/>
      <c r="AX164" s="411"/>
      <c r="AY164" s="411"/>
      <c r="AZ164" s="411"/>
      <c r="BA164" s="548"/>
      <c r="BB164" s="546"/>
      <c r="BC164" s="410"/>
      <c r="BD164" s="411"/>
      <c r="BE164" s="411"/>
      <c r="BF164" s="411"/>
      <c r="BG164" s="548"/>
      <c r="BH164" s="546"/>
      <c r="BI164" s="410"/>
      <c r="BJ164" s="411"/>
      <c r="BK164" s="411"/>
      <c r="BL164" s="411"/>
      <c r="BM164" s="548"/>
      <c r="BN164" s="546"/>
      <c r="BO164" s="410" t="s">
        <v>399</v>
      </c>
      <c r="BP164" s="1540" t="s">
        <v>399</v>
      </c>
      <c r="BQ164" s="1540" t="s">
        <v>399</v>
      </c>
      <c r="BR164" s="411" t="s">
        <v>399</v>
      </c>
      <c r="BS164" s="548" t="s">
        <v>399</v>
      </c>
      <c r="BT164" s="546"/>
      <c r="BU164" s="1539" t="s">
        <v>399</v>
      </c>
      <c r="BV164" s="411" t="s">
        <v>399</v>
      </c>
      <c r="BW164" s="411" t="s">
        <v>399</v>
      </c>
      <c r="BX164" s="1458" t="s">
        <v>399</v>
      </c>
      <c r="BY164" s="1574" t="s">
        <v>399</v>
      </c>
      <c r="BZ164" s="546"/>
      <c r="CA164" s="1915" t="s">
        <v>399</v>
      </c>
      <c r="CB164" s="411" t="s">
        <v>399</v>
      </c>
      <c r="CC164" s="411"/>
      <c r="CD164" s="411"/>
      <c r="CE164" s="548"/>
      <c r="CF164" s="546"/>
      <c r="CG164" s="410"/>
      <c r="CH164" s="1458"/>
      <c r="CI164" s="1319" t="s">
        <v>258</v>
      </c>
      <c r="CJ164" s="411"/>
      <c r="CK164" s="548"/>
      <c r="CL164" s="546"/>
      <c r="CM164" s="410"/>
      <c r="CN164" s="411"/>
      <c r="CO164" s="411"/>
      <c r="CP164" s="411"/>
      <c r="CQ164" s="548"/>
      <c r="CR164" s="546"/>
      <c r="CS164" s="410"/>
      <c r="CT164" s="411"/>
      <c r="CU164" s="411"/>
      <c r="CV164" s="411"/>
      <c r="CW164" s="548"/>
      <c r="CX164" s="546"/>
      <c r="CY164" s="410"/>
      <c r="CZ164" s="411"/>
      <c r="DA164" s="411"/>
      <c r="DB164" s="411"/>
      <c r="DC164" s="548"/>
      <c r="DD164" s="546"/>
      <c r="DE164" s="410"/>
      <c r="DF164" s="411"/>
      <c r="DG164" s="411"/>
      <c r="DH164" s="411"/>
      <c r="DI164" s="548"/>
    </row>
    <row r="165" spans="1:113" s="355" customFormat="1" ht="11.25" customHeight="1">
      <c r="A165" s="825" t="s">
        <v>412</v>
      </c>
      <c r="B165" s="363"/>
      <c r="C165" s="357"/>
      <c r="D165" s="363"/>
      <c r="E165" s="357"/>
      <c r="F165" s="363"/>
      <c r="G165" s="357"/>
      <c r="H165" s="363"/>
      <c r="I165" s="357"/>
      <c r="J165" s="363"/>
      <c r="K165" s="357"/>
      <c r="L165" s="363"/>
      <c r="M165" s="357"/>
      <c r="N165" s="363"/>
      <c r="O165" s="357"/>
      <c r="P165" s="363"/>
      <c r="Q165" s="357"/>
      <c r="R165" s="363"/>
      <c r="S165" s="362"/>
      <c r="T165" s="363"/>
      <c r="U165" s="363"/>
      <c r="V165" s="363"/>
      <c r="W165" s="357"/>
      <c r="X165" s="363"/>
      <c r="Y165" s="362"/>
      <c r="Z165" s="363"/>
      <c r="AA165" s="363"/>
      <c r="AB165" s="363"/>
      <c r="AC165" s="548"/>
      <c r="AD165" s="546"/>
      <c r="AE165" s="410"/>
      <c r="AF165" s="411"/>
      <c r="AG165" s="411"/>
      <c r="AH165" s="411"/>
      <c r="AI165" s="548"/>
      <c r="AJ165" s="546"/>
      <c r="AK165" s="410"/>
      <c r="AL165" s="411"/>
      <c r="AM165" s="411"/>
      <c r="AN165" s="411"/>
      <c r="AO165" s="548"/>
      <c r="AP165" s="546"/>
      <c r="AQ165" s="410"/>
      <c r="AR165" s="411"/>
      <c r="AS165" s="411"/>
      <c r="AT165" s="411"/>
      <c r="AU165" s="548"/>
      <c r="AV165" s="546"/>
      <c r="AW165" s="410"/>
      <c r="AX165" s="411"/>
      <c r="AY165" s="411"/>
      <c r="AZ165" s="411"/>
      <c r="BA165" s="548"/>
      <c r="BB165" s="546"/>
      <c r="BC165" s="410"/>
      <c r="BD165" s="411"/>
      <c r="BE165" s="411"/>
      <c r="BF165" s="411"/>
      <c r="BG165" s="548"/>
      <c r="BH165" s="546"/>
      <c r="BI165" s="410"/>
      <c r="BJ165" s="411"/>
      <c r="BK165" s="411"/>
      <c r="BL165" s="411"/>
      <c r="BM165" s="548"/>
      <c r="BN165" s="546"/>
      <c r="BO165" s="1848" t="s">
        <v>417</v>
      </c>
      <c r="BP165" s="1850" t="s">
        <v>417</v>
      </c>
      <c r="BQ165" s="1541" t="s">
        <v>399</v>
      </c>
      <c r="BR165" s="411" t="s">
        <v>399</v>
      </c>
      <c r="BS165" s="548" t="s">
        <v>399</v>
      </c>
      <c r="BT165" s="546"/>
      <c r="BU165" s="1848" t="s">
        <v>417</v>
      </c>
      <c r="BV165" s="1850" t="s">
        <v>417</v>
      </c>
      <c r="BW165" s="411" t="s">
        <v>399</v>
      </c>
      <c r="BX165" s="411" t="s">
        <v>399</v>
      </c>
      <c r="BY165" s="548" t="s">
        <v>399</v>
      </c>
      <c r="BZ165" s="546"/>
      <c r="CA165" s="1915" t="s">
        <v>399</v>
      </c>
      <c r="CB165" s="1540" t="s">
        <v>399</v>
      </c>
      <c r="CC165" s="411"/>
      <c r="CD165" s="411"/>
      <c r="CE165" s="548"/>
      <c r="CF165" s="546"/>
      <c r="CG165" s="410"/>
      <c r="CH165" s="1458"/>
      <c r="CI165" s="411"/>
      <c r="CJ165" s="411"/>
      <c r="CK165" s="548"/>
      <c r="CL165" s="546"/>
      <c r="CM165" s="410"/>
      <c r="CN165" s="411"/>
      <c r="CO165" s="411"/>
      <c r="CP165" s="411"/>
      <c r="CQ165" s="548"/>
      <c r="CR165" s="546"/>
      <c r="CS165" s="410"/>
      <c r="CT165" s="411"/>
      <c r="CU165" s="411"/>
      <c r="CV165" s="411"/>
      <c r="CW165" s="548"/>
      <c r="CX165" s="546"/>
      <c r="CY165" s="410"/>
      <c r="CZ165" s="411"/>
      <c r="DA165" s="411"/>
      <c r="DB165" s="411"/>
      <c r="DC165" s="548"/>
      <c r="DD165" s="546"/>
      <c r="DE165" s="410"/>
      <c r="DF165" s="411"/>
      <c r="DG165" s="411"/>
      <c r="DH165" s="411"/>
      <c r="DI165" s="548"/>
    </row>
    <row r="166" spans="1:113" s="355" customFormat="1" ht="11.25" customHeight="1">
      <c r="A166" s="825" t="s">
        <v>413</v>
      </c>
      <c r="B166" s="363"/>
      <c r="C166" s="357"/>
      <c r="D166" s="363"/>
      <c r="E166" s="357"/>
      <c r="F166" s="363"/>
      <c r="G166" s="357"/>
      <c r="H166" s="363"/>
      <c r="I166" s="357"/>
      <c r="J166" s="363"/>
      <c r="K166" s="357"/>
      <c r="L166" s="363"/>
      <c r="M166" s="357"/>
      <c r="N166" s="363"/>
      <c r="O166" s="357"/>
      <c r="P166" s="363"/>
      <c r="Q166" s="357"/>
      <c r="R166" s="363"/>
      <c r="S166" s="362"/>
      <c r="T166" s="363"/>
      <c r="U166" s="363"/>
      <c r="V166" s="363"/>
      <c r="W166" s="357"/>
      <c r="X166" s="363"/>
      <c r="Y166" s="362"/>
      <c r="Z166" s="363"/>
      <c r="AA166" s="363"/>
      <c r="AB166" s="363"/>
      <c r="AC166" s="1531"/>
      <c r="AD166" s="1532"/>
      <c r="AE166" s="1533"/>
      <c r="AF166" s="1534"/>
      <c r="AG166" s="1534"/>
      <c r="AH166" s="1534"/>
      <c r="AI166" s="1531"/>
      <c r="AJ166" s="1532"/>
      <c r="AK166" s="1533"/>
      <c r="AL166" s="1534"/>
      <c r="AM166" s="1534"/>
      <c r="AN166" s="1534"/>
      <c r="AO166" s="1531"/>
      <c r="AP166" s="1532"/>
      <c r="AQ166" s="1533"/>
      <c r="AR166" s="1534"/>
      <c r="AS166" s="1534"/>
      <c r="AT166" s="1534"/>
      <c r="AU166" s="1531"/>
      <c r="AV166" s="1532"/>
      <c r="AW166" s="1533"/>
      <c r="AX166" s="1534"/>
      <c r="AY166" s="1534"/>
      <c r="AZ166" s="1534"/>
      <c r="BA166" s="1531"/>
      <c r="BB166" s="1532"/>
      <c r="BC166" s="1533"/>
      <c r="BD166" s="1534"/>
      <c r="BE166" s="1534"/>
      <c r="BF166" s="1534"/>
      <c r="BG166" s="1531"/>
      <c r="BH166" s="1532"/>
      <c r="BI166" s="1533"/>
      <c r="BJ166" s="1534"/>
      <c r="BK166" s="1534"/>
      <c r="BL166" s="1534"/>
      <c r="BM166" s="1531"/>
      <c r="BN166" s="1532"/>
      <c r="BO166" s="1533" t="s">
        <v>399</v>
      </c>
      <c r="BP166" s="1541" t="s">
        <v>399</v>
      </c>
      <c r="BQ166" s="1534" t="s">
        <v>399</v>
      </c>
      <c r="BR166" s="411" t="s">
        <v>399</v>
      </c>
      <c r="BS166" s="1531" t="s">
        <v>399</v>
      </c>
      <c r="BT166" s="1532"/>
      <c r="BU166" s="1533" t="s">
        <v>399</v>
      </c>
      <c r="BV166" s="1541" t="s">
        <v>399</v>
      </c>
      <c r="BW166" s="1856" t="s">
        <v>399</v>
      </c>
      <c r="BX166" s="1458" t="s">
        <v>399</v>
      </c>
      <c r="BY166" s="1888" t="s">
        <v>399</v>
      </c>
      <c r="BZ166" s="1532"/>
      <c r="CA166" s="1916" t="s">
        <v>399</v>
      </c>
      <c r="CB166" s="1856" t="s">
        <v>399</v>
      </c>
      <c r="CC166" s="1534"/>
      <c r="CD166" s="1534"/>
      <c r="CE166" s="1531"/>
      <c r="CF166" s="1532"/>
      <c r="CG166" s="1533"/>
      <c r="CH166" s="2220"/>
      <c r="CI166" s="1534"/>
      <c r="CJ166" s="1534"/>
      <c r="CK166" s="1531"/>
      <c r="CL166" s="1532"/>
      <c r="CM166" s="1533"/>
      <c r="CN166" s="1534"/>
      <c r="CO166" s="1534"/>
      <c r="CP166" s="1534"/>
      <c r="CQ166" s="1531"/>
      <c r="CR166" s="1532"/>
      <c r="CS166" s="1533"/>
      <c r="CT166" s="1534"/>
      <c r="CU166" s="1534"/>
      <c r="CV166" s="1534"/>
      <c r="CW166" s="1531"/>
      <c r="CX166" s="1532"/>
      <c r="CY166" s="1533"/>
      <c r="CZ166" s="1534"/>
      <c r="DA166" s="1534"/>
      <c r="DB166" s="1534"/>
      <c r="DC166" s="1531"/>
      <c r="DD166" s="1532"/>
      <c r="DE166" s="1533"/>
      <c r="DF166" s="1534"/>
      <c r="DG166" s="1534"/>
      <c r="DH166" s="1534"/>
      <c r="DI166" s="1531"/>
    </row>
    <row r="167" spans="1:113" s="355" customFormat="1" ht="11.25" customHeight="1">
      <c r="A167" s="825" t="s">
        <v>414</v>
      </c>
      <c r="B167" s="363"/>
      <c r="C167" s="357"/>
      <c r="D167" s="363"/>
      <c r="E167" s="357"/>
      <c r="F167" s="363"/>
      <c r="G167" s="357"/>
      <c r="H167" s="363"/>
      <c r="I167" s="357"/>
      <c r="J167" s="363"/>
      <c r="K167" s="357"/>
      <c r="L167" s="363"/>
      <c r="M167" s="357"/>
      <c r="N167" s="363"/>
      <c r="O167" s="357"/>
      <c r="P167" s="363"/>
      <c r="Q167" s="357"/>
      <c r="R167" s="363"/>
      <c r="S167" s="362"/>
      <c r="T167" s="363"/>
      <c r="U167" s="363"/>
      <c r="V167" s="363"/>
      <c r="W167" s="357"/>
      <c r="X167" s="363"/>
      <c r="Y167" s="362"/>
      <c r="Z167" s="363"/>
      <c r="AA167" s="363"/>
      <c r="AB167" s="363"/>
      <c r="AC167" s="548"/>
      <c r="AD167" s="546"/>
      <c r="AE167" s="410"/>
      <c r="AF167" s="411"/>
      <c r="AG167" s="411"/>
      <c r="AH167" s="411"/>
      <c r="AI167" s="548"/>
      <c r="AJ167" s="546"/>
      <c r="AK167" s="410"/>
      <c r="AL167" s="411"/>
      <c r="AM167" s="411"/>
      <c r="AN167" s="411"/>
      <c r="AO167" s="548"/>
      <c r="AP167" s="546"/>
      <c r="AQ167" s="410"/>
      <c r="AR167" s="411"/>
      <c r="AS167" s="411"/>
      <c r="AT167" s="411"/>
      <c r="AU167" s="548"/>
      <c r="AV167" s="546"/>
      <c r="AW167" s="410"/>
      <c r="AX167" s="411"/>
      <c r="AY167" s="411"/>
      <c r="AZ167" s="411"/>
      <c r="BA167" s="548"/>
      <c r="BB167" s="546"/>
      <c r="BC167" s="410"/>
      <c r="BD167" s="411"/>
      <c r="BE167" s="411"/>
      <c r="BF167" s="411"/>
      <c r="BG167" s="548"/>
      <c r="BH167" s="546"/>
      <c r="BI167" s="410"/>
      <c r="BJ167" s="411"/>
      <c r="BK167" s="411"/>
      <c r="BL167" s="411"/>
      <c r="BM167" s="548"/>
      <c r="BN167" s="546"/>
      <c r="BO167" s="1542" t="s">
        <v>399</v>
      </c>
      <c r="BP167" s="1540" t="s">
        <v>399</v>
      </c>
      <c r="BQ167" s="411" t="s">
        <v>399</v>
      </c>
      <c r="BR167" s="1540" t="s">
        <v>399</v>
      </c>
      <c r="BS167" s="1531" t="s">
        <v>399</v>
      </c>
      <c r="BT167" s="546"/>
      <c r="BU167" s="410" t="s">
        <v>399</v>
      </c>
      <c r="BV167" s="411" t="s">
        <v>399</v>
      </c>
      <c r="BW167" s="1855" t="s">
        <v>399</v>
      </c>
      <c r="BX167" s="1855" t="s">
        <v>399</v>
      </c>
      <c r="BY167" s="1888" t="s">
        <v>399</v>
      </c>
      <c r="BZ167" s="1847" t="s">
        <v>361</v>
      </c>
      <c r="CA167" s="1916" t="s">
        <v>399</v>
      </c>
      <c r="CB167" s="411" t="s">
        <v>399</v>
      </c>
      <c r="CC167" s="411"/>
      <c r="CD167" s="411"/>
      <c r="CE167" s="548"/>
      <c r="CF167" s="546"/>
      <c r="CG167" s="410"/>
      <c r="CH167" s="1458"/>
      <c r="CI167" s="1319" t="s">
        <v>258</v>
      </c>
      <c r="CJ167" s="411"/>
      <c r="CK167" s="548"/>
      <c r="CL167" s="546"/>
      <c r="CM167" s="410"/>
      <c r="CN167" s="411"/>
      <c r="CO167" s="411"/>
      <c r="CP167" s="411"/>
      <c r="CQ167" s="548"/>
      <c r="CR167" s="546"/>
      <c r="CS167" s="410"/>
      <c r="CT167" s="411"/>
      <c r="CU167" s="411"/>
      <c r="CV167" s="411"/>
      <c r="CW167" s="548"/>
      <c r="CX167" s="546"/>
      <c r="CY167" s="410"/>
      <c r="CZ167" s="411"/>
      <c r="DA167" s="411"/>
      <c r="DB167" s="411"/>
      <c r="DC167" s="548"/>
      <c r="DD167" s="546"/>
      <c r="DE167" s="410"/>
      <c r="DF167" s="411"/>
      <c r="DG167" s="411"/>
      <c r="DH167" s="411"/>
      <c r="DI167" s="548"/>
    </row>
    <row r="168" spans="1:113" s="355" customFormat="1" ht="11.25" customHeight="1">
      <c r="A168" s="825" t="s">
        <v>415</v>
      </c>
      <c r="B168" s="363"/>
      <c r="C168" s="357"/>
      <c r="D168" s="363"/>
      <c r="E168" s="357"/>
      <c r="F168" s="363"/>
      <c r="G168" s="357"/>
      <c r="H168" s="363"/>
      <c r="I168" s="357"/>
      <c r="J168" s="363"/>
      <c r="K168" s="357"/>
      <c r="L168" s="363"/>
      <c r="M168" s="357"/>
      <c r="N168" s="363"/>
      <c r="O168" s="357"/>
      <c r="P168" s="363"/>
      <c r="Q168" s="357"/>
      <c r="R168" s="363"/>
      <c r="S168" s="362"/>
      <c r="T168" s="363"/>
      <c r="U168" s="363"/>
      <c r="V168" s="363"/>
      <c r="W168" s="357"/>
      <c r="X168" s="363"/>
      <c r="Y168" s="362"/>
      <c r="Z168" s="363"/>
      <c r="AA168" s="363"/>
      <c r="AB168" s="363"/>
      <c r="AC168" s="548"/>
      <c r="AD168" s="546"/>
      <c r="AE168" s="410"/>
      <c r="AF168" s="411"/>
      <c r="AG168" s="411"/>
      <c r="AH168" s="411"/>
      <c r="AI168" s="548"/>
      <c r="AJ168" s="546"/>
      <c r="AK168" s="410"/>
      <c r="AL168" s="411"/>
      <c r="AM168" s="411"/>
      <c r="AN168" s="411"/>
      <c r="AO168" s="548"/>
      <c r="AP168" s="546"/>
      <c r="AQ168" s="410"/>
      <c r="AR168" s="411"/>
      <c r="AS168" s="411"/>
      <c r="AT168" s="411"/>
      <c r="AU168" s="548"/>
      <c r="AV168" s="546"/>
      <c r="AW168" s="410"/>
      <c r="AX168" s="411"/>
      <c r="AY168" s="411"/>
      <c r="AZ168" s="411"/>
      <c r="BA168" s="548"/>
      <c r="BB168" s="546"/>
      <c r="BC168" s="410"/>
      <c r="BD168" s="411"/>
      <c r="BE168" s="411"/>
      <c r="BF168" s="411"/>
      <c r="BG168" s="548"/>
      <c r="BH168" s="546"/>
      <c r="BI168" s="410"/>
      <c r="BJ168" s="411"/>
      <c r="BK168" s="411"/>
      <c r="BL168" s="411"/>
      <c r="BM168" s="548"/>
      <c r="BN168" s="546"/>
      <c r="BO168" s="1542" t="s">
        <v>399</v>
      </c>
      <c r="BP168" s="1850" t="s">
        <v>417</v>
      </c>
      <c r="BQ168" s="1850" t="s">
        <v>417</v>
      </c>
      <c r="BR168" s="1850" t="s">
        <v>417</v>
      </c>
      <c r="BS168" s="1853" t="s">
        <v>417</v>
      </c>
      <c r="BT168" s="1847" t="s">
        <v>361</v>
      </c>
      <c r="BU168" s="1848" t="s">
        <v>417</v>
      </c>
      <c r="BV168" s="1850" t="s">
        <v>417</v>
      </c>
      <c r="BW168" s="1850" t="s">
        <v>417</v>
      </c>
      <c r="BX168" s="1850" t="s">
        <v>417</v>
      </c>
      <c r="BY168" s="1853" t="s">
        <v>417</v>
      </c>
      <c r="BZ168" s="1847" t="s">
        <v>361</v>
      </c>
      <c r="CA168" s="1848" t="s">
        <v>417</v>
      </c>
      <c r="CB168" s="1850" t="s">
        <v>417</v>
      </c>
      <c r="CC168" s="1850" t="s">
        <v>417</v>
      </c>
      <c r="CD168" s="1319" t="s">
        <v>417</v>
      </c>
      <c r="CE168" s="548"/>
      <c r="CF168" s="546"/>
      <c r="CG168" s="1848" t="s">
        <v>417</v>
      </c>
      <c r="CH168" s="1850" t="s">
        <v>417</v>
      </c>
      <c r="CI168" s="411"/>
      <c r="CJ168" s="411"/>
      <c r="CK168" s="548"/>
      <c r="CL168" s="546"/>
      <c r="CM168" s="410"/>
      <c r="CN168" s="411"/>
      <c r="CO168" s="411"/>
      <c r="CP168" s="411"/>
      <c r="CQ168" s="548"/>
      <c r="CR168" s="546"/>
      <c r="CS168" s="410"/>
      <c r="CT168" s="411"/>
      <c r="CU168" s="411"/>
      <c r="CV168" s="411"/>
      <c r="CW168" s="548"/>
      <c r="CX168" s="546"/>
      <c r="CY168" s="410"/>
      <c r="CZ168" s="411"/>
      <c r="DA168" s="411"/>
      <c r="DB168" s="411"/>
      <c r="DC168" s="548"/>
      <c r="DD168" s="546"/>
      <c r="DE168" s="410"/>
      <c r="DF168" s="411"/>
      <c r="DG168" s="411"/>
      <c r="DH168" s="411"/>
      <c r="DI168" s="548"/>
    </row>
    <row r="169" spans="1:113" s="355" customFormat="1" ht="11.25" customHeight="1">
      <c r="A169" s="1530" t="s">
        <v>404</v>
      </c>
      <c r="B169" s="626"/>
      <c r="C169" s="627"/>
      <c r="D169" s="626"/>
      <c r="E169" s="627"/>
      <c r="F169" s="626"/>
      <c r="G169" s="627"/>
      <c r="H169" s="626"/>
      <c r="I169" s="627"/>
      <c r="J169" s="626"/>
      <c r="K169" s="627"/>
      <c r="L169" s="626"/>
      <c r="M169" s="627"/>
      <c r="N169" s="626"/>
      <c r="O169" s="627"/>
      <c r="P169" s="626"/>
      <c r="Q169" s="627"/>
      <c r="R169" s="626"/>
      <c r="S169" s="625"/>
      <c r="T169" s="626"/>
      <c r="U169" s="626"/>
      <c r="V169" s="626"/>
      <c r="W169" s="627"/>
      <c r="X169" s="626"/>
      <c r="Y169" s="625"/>
      <c r="Z169" s="626"/>
      <c r="AA169" s="626"/>
      <c r="AB169" s="626"/>
      <c r="AC169" s="1535"/>
      <c r="AD169" s="1536"/>
      <c r="AE169" s="1537"/>
      <c r="AF169" s="1538"/>
      <c r="AG169" s="1538"/>
      <c r="AH169" s="1538"/>
      <c r="AI169" s="1535"/>
      <c r="AJ169" s="1536"/>
      <c r="AK169" s="1537"/>
      <c r="AL169" s="1538"/>
      <c r="AM169" s="1538"/>
      <c r="AN169" s="1538"/>
      <c r="AO169" s="1535"/>
      <c r="AP169" s="1536"/>
      <c r="AQ169" s="1537"/>
      <c r="AR169" s="1538"/>
      <c r="AS169" s="1538"/>
      <c r="AT169" s="1538"/>
      <c r="AU169" s="1535"/>
      <c r="AV169" s="1536"/>
      <c r="AW169" s="1537"/>
      <c r="AX169" s="1538"/>
      <c r="AY169" s="1538"/>
      <c r="AZ169" s="1538"/>
      <c r="BA169" s="1535"/>
      <c r="BB169" s="1536"/>
      <c r="BC169" s="1537"/>
      <c r="BD169" s="1538"/>
      <c r="BE169" s="1538"/>
      <c r="BF169" s="1538"/>
      <c r="BG169" s="1535"/>
      <c r="BH169" s="1536"/>
      <c r="BI169" s="1537"/>
      <c r="BJ169" s="1538"/>
      <c r="BK169" s="1538"/>
      <c r="BL169" s="1538"/>
      <c r="BM169" s="1535"/>
      <c r="BN169" s="1536"/>
      <c r="BO169" s="1849" t="s">
        <v>417</v>
      </c>
      <c r="BP169" s="1851" t="s">
        <v>417</v>
      </c>
      <c r="BQ169" s="1851" t="s">
        <v>417</v>
      </c>
      <c r="BR169" s="1852" t="s">
        <v>417</v>
      </c>
      <c r="BS169" s="1854" t="s">
        <v>417</v>
      </c>
      <c r="BT169" s="1536" t="s">
        <v>361</v>
      </c>
      <c r="BU169" s="1849" t="s">
        <v>417</v>
      </c>
      <c r="BV169" s="1851" t="s">
        <v>417</v>
      </c>
      <c r="BW169" s="1851" t="s">
        <v>417</v>
      </c>
      <c r="BX169" s="1852" t="s">
        <v>417</v>
      </c>
      <c r="BY169" s="1854" t="s">
        <v>417</v>
      </c>
      <c r="BZ169" s="1536" t="s">
        <v>361</v>
      </c>
      <c r="CA169" s="1849" t="s">
        <v>417</v>
      </c>
      <c r="CB169" s="1920" t="s">
        <v>399</v>
      </c>
      <c r="CC169" s="1850" t="s">
        <v>417</v>
      </c>
      <c r="CD169" s="2024" t="s">
        <v>417</v>
      </c>
      <c r="CE169" s="1535"/>
      <c r="CF169" s="1536"/>
      <c r="CG169" s="1849" t="s">
        <v>417</v>
      </c>
      <c r="CH169" s="1851" t="s">
        <v>417</v>
      </c>
      <c r="CI169" s="1538"/>
      <c r="CJ169" s="1538"/>
      <c r="CK169" s="1535"/>
      <c r="CL169" s="1536"/>
      <c r="CM169" s="1537"/>
      <c r="CN169" s="1538"/>
      <c r="CO169" s="1538"/>
      <c r="CP169" s="1538"/>
      <c r="CQ169" s="1535"/>
      <c r="CR169" s="1536"/>
      <c r="CS169" s="1537"/>
      <c r="CT169" s="1538"/>
      <c r="CU169" s="1538"/>
      <c r="CV169" s="1538"/>
      <c r="CW169" s="1535"/>
      <c r="CX169" s="1536"/>
      <c r="CY169" s="1537"/>
      <c r="CZ169" s="1538"/>
      <c r="DA169" s="1538"/>
      <c r="DB169" s="1538"/>
      <c r="DC169" s="1535"/>
      <c r="DD169" s="1536"/>
      <c r="DE169" s="1537"/>
      <c r="DF169" s="1538"/>
      <c r="DG169" s="1538"/>
      <c r="DH169" s="1538"/>
      <c r="DI169" s="1535"/>
    </row>
    <row r="170" spans="1:113" s="355" customFormat="1" ht="11.25" customHeight="1">
      <c r="A170" s="527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624"/>
      <c r="AD170" s="9"/>
      <c r="AE170" s="9"/>
      <c r="AF170" s="9"/>
      <c r="AG170" s="9"/>
      <c r="AH170" s="9"/>
      <c r="AI170" s="624"/>
      <c r="AJ170" s="9"/>
      <c r="AK170" s="624"/>
      <c r="AL170" s="624"/>
      <c r="AM170" s="624"/>
      <c r="AN170" s="624"/>
      <c r="AO170" s="624"/>
      <c r="AP170" s="9"/>
      <c r="AQ170" s="624"/>
      <c r="AR170" s="624"/>
      <c r="AS170" s="624"/>
      <c r="AT170" s="624"/>
      <c r="AU170" s="624"/>
      <c r="AV170" s="9"/>
      <c r="AW170" s="624"/>
      <c r="AX170" s="624"/>
      <c r="AY170" s="624"/>
      <c r="AZ170" s="624"/>
      <c r="BA170" s="624"/>
      <c r="BB170" s="9"/>
      <c r="BC170" s="624"/>
      <c r="BD170" s="624"/>
      <c r="BE170" s="9"/>
      <c r="BF170" s="9"/>
      <c r="BG170" s="9"/>
      <c r="BH170" s="9"/>
      <c r="BI170" s="9"/>
      <c r="BJ170" s="9"/>
      <c r="BK170" s="9"/>
      <c r="BL170" s="9"/>
      <c r="BM170" s="9"/>
      <c r="BN170" s="9"/>
      <c r="BO170" s="9"/>
      <c r="BP170" s="9"/>
      <c r="BQ170" s="9"/>
      <c r="BR170" s="9"/>
      <c r="BS170" s="9"/>
      <c r="BT170" s="9"/>
      <c r="BU170" s="9"/>
      <c r="BV170" s="9"/>
      <c r="BW170" s="9"/>
      <c r="BX170" s="210" t="s">
        <v>361</v>
      </c>
      <c r="BY170" s="9"/>
      <c r="BZ170" s="210" t="s">
        <v>361</v>
      </c>
      <c r="CA170" s="9"/>
      <c r="CB170" s="9"/>
      <c r="CC170" s="360"/>
      <c r="CD170" s="9"/>
      <c r="CE170" s="9"/>
      <c r="CF170" s="9"/>
      <c r="CG170" s="9"/>
      <c r="CH170" s="9"/>
      <c r="CI170" s="9"/>
      <c r="CJ170" s="9"/>
      <c r="CK170" s="9"/>
      <c r="CL170" s="9"/>
      <c r="CM170" s="9"/>
      <c r="CN170" s="9"/>
      <c r="CO170" s="9"/>
      <c r="CP170" s="9"/>
      <c r="CQ170" s="9"/>
      <c r="CR170" s="9"/>
      <c r="CS170" s="9"/>
      <c r="CT170" s="9"/>
      <c r="CU170" s="9"/>
      <c r="CV170" s="9"/>
      <c r="CW170" s="9"/>
      <c r="CX170" s="9"/>
      <c r="CY170" s="9"/>
      <c r="CZ170" s="9"/>
      <c r="DA170" s="9"/>
      <c r="DB170" s="9"/>
      <c r="DC170" s="9"/>
      <c r="DD170" s="9"/>
      <c r="DE170" s="9"/>
      <c r="DF170" s="9"/>
      <c r="DG170" s="9"/>
      <c r="DH170" s="9"/>
      <c r="DI170" s="9"/>
    </row>
    <row r="171" spans="1:113" s="355" customFormat="1" ht="11.25" customHeight="1">
      <c r="A171" s="527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624"/>
      <c r="AD171" s="9"/>
      <c r="AE171" s="9"/>
      <c r="AF171" s="9"/>
      <c r="AG171" s="9"/>
      <c r="AH171" s="9"/>
      <c r="AI171" s="624"/>
      <c r="AJ171" s="9"/>
      <c r="AK171" s="624"/>
      <c r="AL171" s="624"/>
      <c r="AM171" s="624"/>
      <c r="AN171" s="624"/>
      <c r="AO171" s="624"/>
      <c r="AP171" s="9"/>
      <c r="AQ171" s="624"/>
      <c r="AR171" s="624"/>
      <c r="AS171" s="624"/>
      <c r="AT171" s="624"/>
      <c r="AU171" s="624"/>
      <c r="AV171" s="9"/>
      <c r="AW171" s="624"/>
      <c r="AX171" s="624"/>
      <c r="AY171" s="624"/>
      <c r="AZ171" s="624"/>
      <c r="BA171" s="624"/>
      <c r="BB171" s="9"/>
      <c r="BC171" s="624"/>
      <c r="BD171" s="624"/>
      <c r="BE171" s="9"/>
      <c r="BF171" s="9"/>
      <c r="BG171" s="9"/>
      <c r="BH171" s="9"/>
      <c r="BI171" s="9"/>
      <c r="BJ171" s="9"/>
      <c r="BK171" s="9"/>
      <c r="BL171" s="9"/>
      <c r="BM171" s="9"/>
      <c r="BN171" s="9"/>
      <c r="BO171" s="9"/>
      <c r="BP171" s="9"/>
      <c r="BQ171" s="9"/>
      <c r="BR171" s="9"/>
      <c r="BS171" s="9"/>
      <c r="BT171" s="9"/>
      <c r="BU171" s="9"/>
      <c r="BV171" s="9"/>
      <c r="BW171" s="9"/>
      <c r="BX171" s="9"/>
      <c r="BY171" s="9"/>
      <c r="BZ171" s="9"/>
      <c r="CA171" s="9"/>
      <c r="CB171" s="9"/>
      <c r="CC171" s="9"/>
      <c r="CD171" s="9"/>
      <c r="CE171" s="9"/>
      <c r="CF171" s="9"/>
      <c r="CG171" s="9"/>
      <c r="CH171" s="9"/>
      <c r="CI171" s="9"/>
      <c r="CJ171" s="9"/>
      <c r="CK171" s="9"/>
      <c r="CL171" s="9"/>
      <c r="CM171" s="9"/>
      <c r="CN171" s="9"/>
      <c r="CO171" s="9"/>
      <c r="CP171" s="9"/>
      <c r="CQ171" s="9"/>
      <c r="CR171" s="9"/>
      <c r="CS171" s="9"/>
      <c r="CT171" s="9"/>
      <c r="CU171" s="9"/>
      <c r="CV171" s="9"/>
      <c r="CW171" s="9"/>
      <c r="CX171" s="9"/>
      <c r="CY171" s="9"/>
      <c r="CZ171" s="9"/>
      <c r="DA171" s="9"/>
      <c r="DB171" s="9"/>
      <c r="DC171" s="9"/>
      <c r="DD171" s="9"/>
      <c r="DE171" s="9"/>
      <c r="DF171" s="9"/>
      <c r="DG171" s="9"/>
      <c r="DH171" s="9"/>
      <c r="DI171" s="9"/>
    </row>
    <row r="172" spans="1:113" s="355" customFormat="1" ht="11.25" customHeight="1">
      <c r="A172" s="73" t="s">
        <v>344</v>
      </c>
      <c r="B172" s="74"/>
      <c r="C172" s="877"/>
      <c r="D172" s="74"/>
      <c r="E172" s="877"/>
      <c r="F172" s="74"/>
      <c r="G172" s="877"/>
      <c r="H172" s="74"/>
      <c r="I172" s="877"/>
      <c r="J172" s="74"/>
      <c r="K172" s="877"/>
      <c r="L172" s="74"/>
      <c r="M172" s="877"/>
      <c r="N172" s="74"/>
      <c r="O172" s="877"/>
      <c r="P172" s="74"/>
      <c r="Q172" s="877"/>
      <c r="R172" s="74"/>
      <c r="S172" s="874"/>
      <c r="T172" s="74"/>
      <c r="U172" s="74"/>
      <c r="V172" s="74"/>
      <c r="W172" s="877"/>
      <c r="X172" s="74"/>
      <c r="Y172" s="874"/>
      <c r="Z172" s="74"/>
      <c r="AA172" s="74"/>
      <c r="AB172" s="74"/>
      <c r="AC172" s="877"/>
      <c r="AD172" s="74"/>
      <c r="AE172" s="874"/>
      <c r="AF172" s="74"/>
      <c r="AG172" s="74"/>
      <c r="AH172" s="167"/>
      <c r="AI172" s="877"/>
      <c r="AJ172" s="74"/>
      <c r="AK172" s="874"/>
      <c r="AL172" s="74"/>
      <c r="AM172" s="74"/>
      <c r="AN172" s="74"/>
      <c r="AO172" s="74"/>
      <c r="AP172" s="74"/>
      <c r="AQ172" s="874"/>
      <c r="AR172" s="74"/>
      <c r="AS172" s="74"/>
      <c r="AT172" s="74"/>
      <c r="AU172" s="74"/>
      <c r="AV172" s="74"/>
      <c r="AW172" s="874"/>
      <c r="AX172" s="74"/>
      <c r="AY172" s="74"/>
      <c r="AZ172" s="74"/>
      <c r="BA172" s="74"/>
      <c r="BB172" s="74"/>
      <c r="BC172" s="74"/>
      <c r="BD172" s="74"/>
      <c r="BE172" s="74"/>
      <c r="BF172" s="74"/>
      <c r="BG172" s="74"/>
      <c r="BH172" s="74"/>
      <c r="BI172" s="874"/>
      <c r="BJ172" s="74"/>
      <c r="BK172" s="74"/>
      <c r="BL172" s="74"/>
      <c r="BM172" s="74"/>
      <c r="BN172" s="74"/>
      <c r="BO172" s="874"/>
      <c r="BP172" s="74"/>
      <c r="BQ172" s="74"/>
      <c r="BR172" s="76"/>
      <c r="BS172" s="873"/>
      <c r="BT172" s="74"/>
      <c r="BU172" s="874"/>
      <c r="BV172" s="74"/>
      <c r="BW172" s="74"/>
      <c r="BX172" s="76"/>
      <c r="BY172" s="873"/>
      <c r="BZ172" s="74"/>
      <c r="CA172" s="874"/>
      <c r="CB172" s="74"/>
      <c r="CC172" s="74"/>
      <c r="CD172" s="76"/>
      <c r="CE172" s="873"/>
      <c r="CF172" s="74"/>
      <c r="CG172" s="874"/>
      <c r="CH172" s="74"/>
      <c r="CI172" s="74"/>
      <c r="CJ172" s="76"/>
      <c r="CK172" s="873"/>
      <c r="CL172" s="74"/>
      <c r="CM172" s="874"/>
      <c r="CN172" s="74"/>
      <c r="CO172" s="74"/>
      <c r="CP172" s="76"/>
      <c r="CQ172" s="873"/>
      <c r="CR172" s="74"/>
      <c r="CS172" s="874"/>
      <c r="CT172" s="74"/>
      <c r="CU172" s="74"/>
      <c r="CV172" s="76"/>
      <c r="CW172" s="873"/>
      <c r="CX172" s="74"/>
      <c r="CY172" s="874"/>
      <c r="CZ172" s="74"/>
      <c r="DA172" s="74"/>
      <c r="DB172" s="76"/>
      <c r="DC172" s="873"/>
      <c r="DD172" s="74"/>
      <c r="DE172" s="874"/>
      <c r="DF172" s="74"/>
      <c r="DG172" s="74"/>
      <c r="DH172" s="76"/>
      <c r="DI172" s="873"/>
    </row>
    <row r="173" spans="1:113" s="355" customFormat="1" ht="11.25" hidden="1" customHeight="1" outlineLevel="1">
      <c r="A173" s="1617" t="s">
        <v>343</v>
      </c>
      <c r="B173" s="9"/>
      <c r="C173" s="723"/>
      <c r="D173" s="9"/>
      <c r="E173" s="723"/>
      <c r="F173" s="9"/>
      <c r="G173" s="723"/>
      <c r="H173" s="9"/>
      <c r="I173" s="723"/>
      <c r="J173" s="9"/>
      <c r="K173" s="723"/>
      <c r="L173" s="9"/>
      <c r="M173" s="723"/>
      <c r="N173" s="9"/>
      <c r="O173" s="723"/>
      <c r="P173" s="9"/>
      <c r="Q173" s="723"/>
      <c r="R173" s="9"/>
      <c r="S173" s="362"/>
      <c r="T173" s="363"/>
      <c r="U173" s="363"/>
      <c r="V173" s="363"/>
      <c r="W173" s="723"/>
      <c r="X173" s="9"/>
      <c r="Y173" s="362"/>
      <c r="Z173" s="363"/>
      <c r="AA173" s="363"/>
      <c r="AB173" s="363"/>
      <c r="AC173" s="723"/>
      <c r="AD173" s="9"/>
      <c r="AE173" s="362"/>
      <c r="AF173" s="363"/>
      <c r="AG173" s="363"/>
      <c r="AH173" s="364"/>
      <c r="AI173" s="723"/>
      <c r="AJ173" s="9"/>
      <c r="AK173" s="758"/>
      <c r="AL173" s="624"/>
      <c r="AM173" s="624"/>
      <c r="AN173" s="624"/>
      <c r="AO173" s="722"/>
      <c r="AP173" s="9"/>
      <c r="AQ173" s="758"/>
      <c r="AR173" s="624"/>
      <c r="AS173" s="624"/>
      <c r="AT173" s="624"/>
      <c r="AU173" s="722"/>
      <c r="AV173" s="9"/>
      <c r="AW173" s="758"/>
      <c r="AX173" s="624"/>
      <c r="AY173" s="624"/>
      <c r="AZ173" s="624"/>
      <c r="BA173" s="722"/>
      <c r="BB173" s="9"/>
      <c r="BC173" s="757"/>
      <c r="BD173" s="624"/>
      <c r="BE173" s="9"/>
      <c r="BF173" s="9"/>
      <c r="BG173" s="356"/>
      <c r="BH173" s="9"/>
      <c r="BI173" s="362"/>
      <c r="BJ173" s="9"/>
      <c r="BK173" s="9"/>
      <c r="BL173" s="9"/>
      <c r="BM173" s="356"/>
      <c r="BN173" s="9"/>
      <c r="BO173" s="362"/>
      <c r="BP173" s="363"/>
      <c r="BQ173" s="363"/>
      <c r="BR173" s="364"/>
      <c r="BS173" s="357"/>
      <c r="BT173" s="9"/>
      <c r="BU173" s="362"/>
      <c r="BV173" s="363"/>
      <c r="BW173" s="363"/>
      <c r="BX173" s="364"/>
      <c r="BY173" s="357"/>
      <c r="BZ173" s="9"/>
      <c r="CA173" s="362"/>
      <c r="CB173" s="363"/>
      <c r="CC173" s="363"/>
      <c r="CD173" s="364"/>
      <c r="CE173" s="357"/>
      <c r="CF173" s="9"/>
      <c r="CG173" s="362"/>
      <c r="CH173" s="363"/>
      <c r="CI173" s="363"/>
      <c r="CJ173" s="364"/>
      <c r="CK173" s="357"/>
      <c r="CL173" s="9"/>
      <c r="CM173" s="362"/>
      <c r="CN173" s="363"/>
      <c r="CO173" s="363"/>
      <c r="CP173" s="364"/>
      <c r="CQ173" s="357"/>
      <c r="CR173" s="9"/>
      <c r="CS173" s="362"/>
      <c r="CT173" s="363"/>
      <c r="CU173" s="363"/>
      <c r="CV173" s="364"/>
      <c r="CW173" s="357"/>
      <c r="CX173" s="9"/>
      <c r="CY173" s="362"/>
      <c r="CZ173" s="363"/>
      <c r="DA173" s="363"/>
      <c r="DB173" s="364"/>
      <c r="DC173" s="357"/>
      <c r="DD173" s="9"/>
      <c r="DE173" s="362"/>
      <c r="DF173" s="363"/>
      <c r="DG173" s="363"/>
      <c r="DH173" s="364"/>
      <c r="DI173" s="357"/>
    </row>
    <row r="174" spans="1:113" s="355" customFormat="1" ht="11.25" hidden="1" customHeight="1" outlineLevel="1">
      <c r="A174" s="1618" t="s">
        <v>341</v>
      </c>
      <c r="B174" s="9"/>
      <c r="C174" s="723"/>
      <c r="D174" s="9"/>
      <c r="E174" s="723"/>
      <c r="F174" s="9"/>
      <c r="G174" s="723"/>
      <c r="H174" s="9"/>
      <c r="I174" s="723"/>
      <c r="J174" s="9"/>
      <c r="K174" s="723"/>
      <c r="L174" s="9"/>
      <c r="M174" s="723"/>
      <c r="N174" s="9"/>
      <c r="O174" s="723"/>
      <c r="P174" s="9"/>
      <c r="Q174" s="723"/>
      <c r="R174" s="9"/>
      <c r="S174" s="362"/>
      <c r="T174" s="363"/>
      <c r="U174" s="363"/>
      <c r="V174" s="363"/>
      <c r="W174" s="723"/>
      <c r="X174" s="9"/>
      <c r="Y174" s="362"/>
      <c r="Z174" s="363"/>
      <c r="AA174" s="363"/>
      <c r="AB174" s="363"/>
      <c r="AC174" s="723"/>
      <c r="AD174" s="9"/>
      <c r="AE174" s="362"/>
      <c r="AF174" s="363"/>
      <c r="AG174" s="363"/>
      <c r="AH174" s="364"/>
      <c r="AI174" s="723"/>
      <c r="AJ174" s="9"/>
      <c r="AK174" s="758"/>
      <c r="AL174" s="624"/>
      <c r="AM174" s="624"/>
      <c r="AN174" s="624"/>
      <c r="AO174" s="575">
        <v>0.44</v>
      </c>
      <c r="AP174" s="9"/>
      <c r="AQ174" s="758"/>
      <c r="AR174" s="624"/>
      <c r="AS174" s="624"/>
      <c r="AT174" s="624"/>
      <c r="AU174" s="575">
        <v>0.42</v>
      </c>
      <c r="AV174" s="9"/>
      <c r="AW174" s="758"/>
      <c r="AX174" s="624"/>
      <c r="AY174" s="624"/>
      <c r="AZ174" s="624"/>
      <c r="BA174" s="575">
        <v>0.38</v>
      </c>
      <c r="BB174" s="9"/>
      <c r="BC174" s="758"/>
      <c r="BD174" s="624"/>
      <c r="BE174" s="9"/>
      <c r="BF174" s="9"/>
      <c r="BG174" s="1142">
        <v>0.36</v>
      </c>
      <c r="BH174" s="9"/>
      <c r="BI174" s="362"/>
      <c r="BJ174" s="9"/>
      <c r="BK174" s="9"/>
      <c r="BL174" s="9"/>
      <c r="BM174" s="779"/>
      <c r="BN174" s="9"/>
      <c r="BO174" s="362"/>
      <c r="BP174" s="363"/>
      <c r="BQ174" s="363"/>
      <c r="BR174" s="364"/>
      <c r="BS174" s="357"/>
      <c r="BT174" s="9"/>
      <c r="BU174" s="362"/>
      <c r="BV174" s="363"/>
      <c r="BW174" s="363"/>
      <c r="BX174" s="364"/>
      <c r="BY174" s="357"/>
      <c r="BZ174" s="9"/>
      <c r="CA174" s="362"/>
      <c r="CB174" s="363"/>
      <c r="CC174" s="363"/>
      <c r="CD174" s="364"/>
      <c r="CE174" s="357"/>
      <c r="CF174" s="9"/>
      <c r="CG174" s="362"/>
      <c r="CH174" s="363"/>
      <c r="CI174" s="363"/>
      <c r="CJ174" s="364"/>
      <c r="CK174" s="357"/>
      <c r="CL174" s="9"/>
      <c r="CM174" s="362"/>
      <c r="CN174" s="363"/>
      <c r="CO174" s="363"/>
      <c r="CP174" s="364"/>
      <c r="CQ174" s="357"/>
      <c r="CR174" s="9"/>
      <c r="CS174" s="362"/>
      <c r="CT174" s="363"/>
      <c r="CU174" s="363"/>
      <c r="CV174" s="364"/>
      <c r="CW174" s="357"/>
      <c r="CX174" s="9"/>
      <c r="CY174" s="362"/>
      <c r="CZ174" s="363"/>
      <c r="DA174" s="363"/>
      <c r="DB174" s="364"/>
      <c r="DC174" s="357"/>
      <c r="DD174" s="9"/>
      <c r="DE174" s="362"/>
      <c r="DF174" s="363"/>
      <c r="DG174" s="363"/>
      <c r="DH174" s="364"/>
      <c r="DI174" s="357"/>
    </row>
    <row r="175" spans="1:113" s="355" customFormat="1" ht="11.25" hidden="1" customHeight="1" outlineLevel="1">
      <c r="A175" s="1618" t="s">
        <v>342</v>
      </c>
      <c r="B175" s="9"/>
      <c r="C175" s="723"/>
      <c r="D175" s="9"/>
      <c r="E175" s="723"/>
      <c r="F175" s="9"/>
      <c r="G175" s="723"/>
      <c r="H175" s="9"/>
      <c r="I175" s="723"/>
      <c r="J175" s="9"/>
      <c r="K175" s="723"/>
      <c r="L175" s="9"/>
      <c r="M175" s="723"/>
      <c r="N175" s="9"/>
      <c r="O175" s="723"/>
      <c r="P175" s="9"/>
      <c r="Q175" s="723"/>
      <c r="R175" s="9"/>
      <c r="S175" s="362"/>
      <c r="T175" s="363"/>
      <c r="U175" s="363"/>
      <c r="V175" s="363"/>
      <c r="W175" s="723"/>
      <c r="X175" s="9"/>
      <c r="Y175" s="362"/>
      <c r="Z175" s="363"/>
      <c r="AA175" s="363"/>
      <c r="AB175" s="363"/>
      <c r="AC175" s="723"/>
      <c r="AD175" s="9"/>
      <c r="AE175" s="362"/>
      <c r="AF175" s="363"/>
      <c r="AG175" s="363"/>
      <c r="AH175" s="364"/>
      <c r="AI175" s="723"/>
      <c r="AJ175" s="9"/>
      <c r="AK175" s="758"/>
      <c r="AL175" s="624"/>
      <c r="AM175" s="624"/>
      <c r="AN175" s="624"/>
      <c r="AO175" s="575">
        <v>0.24</v>
      </c>
      <c r="AP175" s="9"/>
      <c r="AQ175" s="758"/>
      <c r="AR175" s="624"/>
      <c r="AS175" s="624"/>
      <c r="AT175" s="624"/>
      <c r="AU175" s="575">
        <v>0.24</v>
      </c>
      <c r="AV175" s="9"/>
      <c r="AW175" s="758"/>
      <c r="AX175" s="624"/>
      <c r="AY175" s="624"/>
      <c r="AZ175" s="624"/>
      <c r="BA175" s="575">
        <v>0.32</v>
      </c>
      <c r="BB175" s="9"/>
      <c r="BC175" s="758"/>
      <c r="BD175" s="624"/>
      <c r="BE175" s="9"/>
      <c r="BF175" s="9"/>
      <c r="BG175" s="1142">
        <v>0.34</v>
      </c>
      <c r="BH175" s="9"/>
      <c r="BI175" s="362"/>
      <c r="BJ175" s="9"/>
      <c r="BK175" s="9"/>
      <c r="BL175" s="9"/>
      <c r="BM175" s="779"/>
      <c r="BN175" s="9"/>
      <c r="BO175" s="362"/>
      <c r="BP175" s="363"/>
      <c r="BQ175" s="363"/>
      <c r="BR175" s="364"/>
      <c r="BS175" s="357"/>
      <c r="BT175" s="9"/>
      <c r="BU175" s="362"/>
      <c r="BV175" s="363"/>
      <c r="BW175" s="363"/>
      <c r="BX175" s="364"/>
      <c r="BY175" s="357"/>
      <c r="BZ175" s="9"/>
      <c r="CA175" s="362"/>
      <c r="CB175" s="363"/>
      <c r="CC175" s="363"/>
      <c r="CD175" s="364"/>
      <c r="CE175" s="357"/>
      <c r="CF175" s="9"/>
      <c r="CG175" s="362"/>
      <c r="CH175" s="363"/>
      <c r="CI175" s="363"/>
      <c r="CJ175" s="364"/>
      <c r="CK175" s="357"/>
      <c r="CL175" s="9"/>
      <c r="CM175" s="362"/>
      <c r="CN175" s="363"/>
      <c r="CO175" s="363"/>
      <c r="CP175" s="364"/>
      <c r="CQ175" s="357"/>
      <c r="CR175" s="9"/>
      <c r="CS175" s="362"/>
      <c r="CT175" s="363"/>
      <c r="CU175" s="363"/>
      <c r="CV175" s="364"/>
      <c r="CW175" s="357"/>
      <c r="CX175" s="9"/>
      <c r="CY175" s="362"/>
      <c r="CZ175" s="363"/>
      <c r="DA175" s="363"/>
      <c r="DB175" s="364"/>
      <c r="DC175" s="357"/>
      <c r="DD175" s="9"/>
      <c r="DE175" s="362"/>
      <c r="DF175" s="363"/>
      <c r="DG175" s="363"/>
      <c r="DH175" s="364"/>
      <c r="DI175" s="357"/>
    </row>
    <row r="176" spans="1:113" s="355" customFormat="1" ht="11.25" hidden="1" customHeight="1" outlineLevel="1">
      <c r="A176" s="1618" t="s">
        <v>357</v>
      </c>
      <c r="B176" s="9"/>
      <c r="C176" s="723"/>
      <c r="D176" s="9"/>
      <c r="E176" s="723"/>
      <c r="F176" s="9"/>
      <c r="G176" s="723"/>
      <c r="H176" s="9"/>
      <c r="I176" s="723"/>
      <c r="J176" s="9"/>
      <c r="K176" s="723"/>
      <c r="L176" s="9"/>
      <c r="M176" s="723"/>
      <c r="N176" s="9"/>
      <c r="O176" s="723"/>
      <c r="P176" s="9"/>
      <c r="Q176" s="723"/>
      <c r="R176" s="9"/>
      <c r="S176" s="362"/>
      <c r="T176" s="363"/>
      <c r="U176" s="363"/>
      <c r="V176" s="363"/>
      <c r="W176" s="723"/>
      <c r="X176" s="9"/>
      <c r="Y176" s="362"/>
      <c r="Z176" s="363"/>
      <c r="AA176" s="363"/>
      <c r="AB176" s="363"/>
      <c r="AC176" s="723"/>
      <c r="AD176" s="9"/>
      <c r="AE176" s="362"/>
      <c r="AF176" s="363"/>
      <c r="AG176" s="363"/>
      <c r="AH176" s="364"/>
      <c r="AI176" s="723"/>
      <c r="AJ176" s="9"/>
      <c r="AK176" s="758"/>
      <c r="AL176" s="624"/>
      <c r="AM176" s="624"/>
      <c r="AN176" s="624"/>
      <c r="AO176" s="575"/>
      <c r="AP176" s="9"/>
      <c r="AQ176" s="758"/>
      <c r="AR176" s="624"/>
      <c r="AS176" s="624"/>
      <c r="AT176" s="624"/>
      <c r="AU176" s="575"/>
      <c r="AV176" s="9"/>
      <c r="AW176" s="758"/>
      <c r="AX176" s="624"/>
      <c r="AY176" s="624"/>
      <c r="AZ176" s="624"/>
      <c r="BA176" s="575"/>
      <c r="BB176" s="9"/>
      <c r="BC176" s="758"/>
      <c r="BD176" s="624"/>
      <c r="BE176" s="9"/>
      <c r="BF176" s="9"/>
      <c r="BG176" s="783"/>
      <c r="BH176" s="9"/>
      <c r="BI176" s="362"/>
      <c r="BJ176" s="9"/>
      <c r="BK176" s="9"/>
      <c r="BL176" s="9"/>
      <c r="BM176" s="779"/>
      <c r="BN176" s="9"/>
      <c r="BO176" s="362"/>
      <c r="BP176" s="363"/>
      <c r="BQ176" s="363"/>
      <c r="BR176" s="364"/>
      <c r="BS176" s="357"/>
      <c r="BT176" s="9"/>
      <c r="BU176" s="362"/>
      <c r="BV176" s="363"/>
      <c r="BW176" s="363"/>
      <c r="BX176" s="364"/>
      <c r="BY176" s="357"/>
      <c r="BZ176" s="9"/>
      <c r="CA176" s="362"/>
      <c r="CB176" s="363"/>
      <c r="CC176" s="363"/>
      <c r="CD176" s="364"/>
      <c r="CE176" s="357"/>
      <c r="CF176" s="9"/>
      <c r="CG176" s="362"/>
      <c r="CH176" s="363"/>
      <c r="CI176" s="363"/>
      <c r="CJ176" s="364"/>
      <c r="CK176" s="357"/>
      <c r="CL176" s="9"/>
      <c r="CM176" s="362"/>
      <c r="CN176" s="363"/>
      <c r="CO176" s="363"/>
      <c r="CP176" s="364"/>
      <c r="CQ176" s="357"/>
      <c r="CR176" s="9"/>
      <c r="CS176" s="362"/>
      <c r="CT176" s="363"/>
      <c r="CU176" s="363"/>
      <c r="CV176" s="364"/>
      <c r="CW176" s="357"/>
      <c r="CX176" s="9"/>
      <c r="CY176" s="362"/>
      <c r="CZ176" s="363"/>
      <c r="DA176" s="363"/>
      <c r="DB176" s="364"/>
      <c r="DC176" s="357"/>
      <c r="DD176" s="9"/>
      <c r="DE176" s="362"/>
      <c r="DF176" s="363"/>
      <c r="DG176" s="363"/>
      <c r="DH176" s="364"/>
      <c r="DI176" s="357"/>
    </row>
    <row r="177" spans="1:113" s="355" customFormat="1" ht="11.25" hidden="1" customHeight="1" outlineLevel="1">
      <c r="A177" s="1619" t="s">
        <v>354</v>
      </c>
      <c r="B177" s="9"/>
      <c r="C177" s="723"/>
      <c r="D177" s="9"/>
      <c r="E177" s="723"/>
      <c r="F177" s="9"/>
      <c r="G177" s="723"/>
      <c r="H177" s="9"/>
      <c r="I177" s="723"/>
      <c r="J177" s="9"/>
      <c r="K177" s="723"/>
      <c r="L177" s="9"/>
      <c r="M177" s="723"/>
      <c r="N177" s="9"/>
      <c r="O177" s="723"/>
      <c r="P177" s="9"/>
      <c r="Q177" s="723"/>
      <c r="R177" s="9"/>
      <c r="S177" s="362"/>
      <c r="T177" s="363"/>
      <c r="U177" s="363"/>
      <c r="V177" s="363"/>
      <c r="W177" s="723"/>
      <c r="X177" s="9"/>
      <c r="Y177" s="362"/>
      <c r="Z177" s="363"/>
      <c r="AA177" s="363"/>
      <c r="AB177" s="363"/>
      <c r="AC177" s="723"/>
      <c r="AD177" s="9"/>
      <c r="AE177" s="362"/>
      <c r="AF177" s="363"/>
      <c r="AG177" s="363"/>
      <c r="AH177" s="364"/>
      <c r="AI177" s="723"/>
      <c r="AJ177" s="9"/>
      <c r="AK177" s="758"/>
      <c r="AL177" s="624"/>
      <c r="AM177" s="624"/>
      <c r="AN177" s="624"/>
      <c r="AO177" s="401">
        <f>SUM(AO179:AO180)</f>
        <v>0.32</v>
      </c>
      <c r="AP177" s="9"/>
      <c r="AQ177" s="758"/>
      <c r="AR177" s="624"/>
      <c r="AS177" s="624"/>
      <c r="AT177" s="624"/>
      <c r="AU177" s="401">
        <f>SUM(AU179:AU180)</f>
        <v>0.33999999999999997</v>
      </c>
      <c r="AV177" s="9"/>
      <c r="AW177" s="758"/>
      <c r="AX177" s="624"/>
      <c r="AY177" s="624"/>
      <c r="AZ177" s="624"/>
      <c r="BA177" s="401">
        <f>SUM(BA179:BA180)</f>
        <v>0.3</v>
      </c>
      <c r="BB177" s="9"/>
      <c r="BC177" s="758"/>
      <c r="BD177" s="624"/>
      <c r="BE177" s="9"/>
      <c r="BF177" s="9"/>
      <c r="BG177" s="826">
        <f>SUM(BG179:BG180)</f>
        <v>0.3</v>
      </c>
      <c r="BH177" s="9"/>
      <c r="BI177" s="362"/>
      <c r="BJ177" s="9"/>
      <c r="BK177" s="9"/>
      <c r="BL177" s="9"/>
      <c r="BM177" s="779"/>
      <c r="BN177" s="9"/>
      <c r="BO177" s="362"/>
      <c r="BP177" s="363"/>
      <c r="BQ177" s="363"/>
      <c r="BR177" s="364"/>
      <c r="BS177" s="357"/>
      <c r="BT177" s="9"/>
      <c r="BU177" s="362"/>
      <c r="BV177" s="363"/>
      <c r="BW177" s="363"/>
      <c r="BX177" s="364"/>
      <c r="BY177" s="357"/>
      <c r="BZ177" s="9"/>
      <c r="CA177" s="362"/>
      <c r="CB177" s="363"/>
      <c r="CC177" s="363"/>
      <c r="CD177" s="364"/>
      <c r="CE177" s="357"/>
      <c r="CF177" s="9"/>
      <c r="CG177" s="362"/>
      <c r="CH177" s="363"/>
      <c r="CI177" s="363"/>
      <c r="CJ177" s="364"/>
      <c r="CK177" s="357"/>
      <c r="CL177" s="9"/>
      <c r="CM177" s="362"/>
      <c r="CN177" s="363"/>
      <c r="CO177" s="363"/>
      <c r="CP177" s="364"/>
      <c r="CQ177" s="357"/>
      <c r="CR177" s="9"/>
      <c r="CS177" s="362"/>
      <c r="CT177" s="363"/>
      <c r="CU177" s="363"/>
      <c r="CV177" s="364"/>
      <c r="CW177" s="357"/>
      <c r="CX177" s="9"/>
      <c r="CY177" s="362"/>
      <c r="CZ177" s="363"/>
      <c r="DA177" s="363"/>
      <c r="DB177" s="364"/>
      <c r="DC177" s="357"/>
      <c r="DD177" s="9"/>
      <c r="DE177" s="362"/>
      <c r="DF177" s="363"/>
      <c r="DG177" s="363"/>
      <c r="DH177" s="364"/>
      <c r="DI177" s="357"/>
    </row>
    <row r="178" spans="1:113" s="355" customFormat="1" ht="11.25" hidden="1" customHeight="1" outlineLevel="1">
      <c r="A178" s="1618" t="s">
        <v>360</v>
      </c>
      <c r="B178" s="9"/>
      <c r="C178" s="723"/>
      <c r="D178" s="9"/>
      <c r="E178" s="723"/>
      <c r="F178" s="9"/>
      <c r="G178" s="723"/>
      <c r="H178" s="9"/>
      <c r="I178" s="723"/>
      <c r="J178" s="9"/>
      <c r="K178" s="723"/>
      <c r="L178" s="9"/>
      <c r="M178" s="723"/>
      <c r="N178" s="9"/>
      <c r="O178" s="723"/>
      <c r="P178" s="9"/>
      <c r="Q178" s="723"/>
      <c r="R178" s="9"/>
      <c r="S178" s="362"/>
      <c r="T178" s="363"/>
      <c r="U178" s="363"/>
      <c r="V178" s="363"/>
      <c r="W178" s="723"/>
      <c r="X178" s="9"/>
      <c r="Y178" s="362"/>
      <c r="Z178" s="363"/>
      <c r="AA178" s="363"/>
      <c r="AB178" s="363"/>
      <c r="AC178" s="723"/>
      <c r="AD178" s="9"/>
      <c r="AE178" s="362"/>
      <c r="AF178" s="363"/>
      <c r="AG178" s="363"/>
      <c r="AH178" s="364"/>
      <c r="AI178" s="723"/>
      <c r="AJ178" s="9"/>
      <c r="AK178" s="758"/>
      <c r="AL178" s="624"/>
      <c r="AM178" s="624"/>
      <c r="AN178" s="624"/>
      <c r="AO178" s="575"/>
      <c r="AP178" s="9"/>
      <c r="AQ178" s="758"/>
      <c r="AR178" s="624"/>
      <c r="AS178" s="624"/>
      <c r="AT178" s="624"/>
      <c r="AU178" s="575"/>
      <c r="AV178" s="9"/>
      <c r="AW178" s="758"/>
      <c r="AX178" s="624"/>
      <c r="AY178" s="624"/>
      <c r="AZ178" s="624"/>
      <c r="BA178" s="575"/>
      <c r="BB178" s="9"/>
      <c r="BC178" s="758"/>
      <c r="BD178" s="624"/>
      <c r="BE178" s="9"/>
      <c r="BF178" s="9"/>
      <c r="BG178" s="784"/>
      <c r="BH178" s="9"/>
      <c r="BI178" s="362"/>
      <c r="BJ178" s="9"/>
      <c r="BK178" s="9"/>
      <c r="BL178" s="9"/>
      <c r="BM178" s="779"/>
      <c r="BN178" s="9"/>
      <c r="BO178" s="362"/>
      <c r="BP178" s="363"/>
      <c r="BQ178" s="363"/>
      <c r="BR178" s="364"/>
      <c r="BS178" s="357"/>
      <c r="BT178" s="9"/>
      <c r="BU178" s="362"/>
      <c r="BV178" s="363"/>
      <c r="BW178" s="363"/>
      <c r="BX178" s="364"/>
      <c r="BY178" s="357"/>
      <c r="BZ178" s="9"/>
      <c r="CA178" s="362"/>
      <c r="CB178" s="363"/>
      <c r="CC178" s="363"/>
      <c r="CD178" s="364"/>
      <c r="CE178" s="357"/>
      <c r="CF178" s="9"/>
      <c r="CG178" s="362"/>
      <c r="CH178" s="363"/>
      <c r="CI178" s="363"/>
      <c r="CJ178" s="364"/>
      <c r="CK178" s="357"/>
      <c r="CL178" s="9"/>
      <c r="CM178" s="362"/>
      <c r="CN178" s="363"/>
      <c r="CO178" s="363"/>
      <c r="CP178" s="364"/>
      <c r="CQ178" s="357"/>
      <c r="CR178" s="9"/>
      <c r="CS178" s="362"/>
      <c r="CT178" s="363"/>
      <c r="CU178" s="363"/>
      <c r="CV178" s="364"/>
      <c r="CW178" s="357"/>
      <c r="CX178" s="9"/>
      <c r="CY178" s="362"/>
      <c r="CZ178" s="363"/>
      <c r="DA178" s="363"/>
      <c r="DB178" s="364"/>
      <c r="DC178" s="357"/>
      <c r="DD178" s="9"/>
      <c r="DE178" s="362"/>
      <c r="DF178" s="363"/>
      <c r="DG178" s="363"/>
      <c r="DH178" s="364"/>
      <c r="DI178" s="357"/>
    </row>
    <row r="179" spans="1:113" s="355" customFormat="1" ht="11.25" hidden="1" customHeight="1" outlineLevel="1">
      <c r="A179" s="1618" t="s">
        <v>358</v>
      </c>
      <c r="B179" s="9"/>
      <c r="C179" s="723"/>
      <c r="D179" s="9"/>
      <c r="E179" s="723"/>
      <c r="F179" s="9"/>
      <c r="G179" s="723"/>
      <c r="H179" s="9"/>
      <c r="I179" s="723"/>
      <c r="J179" s="9"/>
      <c r="K179" s="723"/>
      <c r="L179" s="9"/>
      <c r="M179" s="723"/>
      <c r="N179" s="9"/>
      <c r="O179" s="723"/>
      <c r="P179" s="9"/>
      <c r="Q179" s="723"/>
      <c r="R179" s="9"/>
      <c r="S179" s="362"/>
      <c r="T179" s="363"/>
      <c r="U179" s="363"/>
      <c r="V179" s="363"/>
      <c r="W179" s="723"/>
      <c r="X179" s="9"/>
      <c r="Y179" s="362"/>
      <c r="Z179" s="363"/>
      <c r="AA179" s="363"/>
      <c r="AB179" s="363"/>
      <c r="AC179" s="723"/>
      <c r="AD179" s="9"/>
      <c r="AE179" s="362"/>
      <c r="AF179" s="363"/>
      <c r="AG179" s="363"/>
      <c r="AH179" s="364"/>
      <c r="AI179" s="723"/>
      <c r="AJ179" s="9"/>
      <c r="AK179" s="758"/>
      <c r="AL179" s="624"/>
      <c r="AM179" s="624"/>
      <c r="AN179" s="624"/>
      <c r="AO179" s="785">
        <v>0.21</v>
      </c>
      <c r="AP179" s="736"/>
      <c r="AQ179" s="758"/>
      <c r="AR179" s="624"/>
      <c r="AS179" s="624"/>
      <c r="AT179" s="624"/>
      <c r="AU179" s="785">
        <v>0.22</v>
      </c>
      <c r="AV179" s="736"/>
      <c r="AW179" s="758"/>
      <c r="AX179" s="624"/>
      <c r="AY179" s="624"/>
      <c r="AZ179" s="624"/>
      <c r="BA179" s="785">
        <v>0.21</v>
      </c>
      <c r="BB179" s="9"/>
      <c r="BC179" s="758"/>
      <c r="BD179" s="624"/>
      <c r="BE179" s="9"/>
      <c r="BF179" s="9"/>
      <c r="BG179" s="1142">
        <v>0.22</v>
      </c>
      <c r="BH179" s="9"/>
      <c r="BI179" s="362"/>
      <c r="BJ179" s="9"/>
      <c r="BK179" s="9"/>
      <c r="BL179" s="9"/>
      <c r="BM179" s="779"/>
      <c r="BN179" s="9"/>
      <c r="BO179" s="362"/>
      <c r="BP179" s="363"/>
      <c r="BQ179" s="363"/>
      <c r="BR179" s="364"/>
      <c r="BS179" s="357"/>
      <c r="BT179" s="9"/>
      <c r="BU179" s="362"/>
      <c r="BV179" s="363"/>
      <c r="BW179" s="363"/>
      <c r="BX179" s="364"/>
      <c r="BY179" s="357"/>
      <c r="BZ179" s="9"/>
      <c r="CA179" s="362"/>
      <c r="CB179" s="363"/>
      <c r="CC179" s="363"/>
      <c r="CD179" s="364"/>
      <c r="CE179" s="357"/>
      <c r="CF179" s="9"/>
      <c r="CG179" s="362"/>
      <c r="CH179" s="363"/>
      <c r="CI179" s="363"/>
      <c r="CJ179" s="364"/>
      <c r="CK179" s="357"/>
      <c r="CL179" s="9"/>
      <c r="CM179" s="362"/>
      <c r="CN179" s="363"/>
      <c r="CO179" s="363"/>
      <c r="CP179" s="364"/>
      <c r="CQ179" s="357"/>
      <c r="CR179" s="9"/>
      <c r="CS179" s="362"/>
      <c r="CT179" s="363"/>
      <c r="CU179" s="363"/>
      <c r="CV179" s="364"/>
      <c r="CW179" s="357"/>
      <c r="CX179" s="9"/>
      <c r="CY179" s="362"/>
      <c r="CZ179" s="363"/>
      <c r="DA179" s="363"/>
      <c r="DB179" s="364"/>
      <c r="DC179" s="357"/>
      <c r="DD179" s="9"/>
      <c r="DE179" s="362"/>
      <c r="DF179" s="363"/>
      <c r="DG179" s="363"/>
      <c r="DH179" s="364"/>
      <c r="DI179" s="357"/>
    </row>
    <row r="180" spans="1:113" s="355" customFormat="1" ht="11.25" hidden="1" customHeight="1" outlineLevel="1">
      <c r="A180" s="1618" t="s">
        <v>359</v>
      </c>
      <c r="B180" s="9"/>
      <c r="C180" s="723"/>
      <c r="D180" s="9"/>
      <c r="E180" s="723"/>
      <c r="F180" s="9"/>
      <c r="G180" s="723"/>
      <c r="H180" s="9"/>
      <c r="I180" s="723"/>
      <c r="J180" s="9"/>
      <c r="K180" s="723"/>
      <c r="L180" s="9"/>
      <c r="M180" s="723"/>
      <c r="N180" s="9"/>
      <c r="O180" s="723"/>
      <c r="P180" s="9"/>
      <c r="Q180" s="723"/>
      <c r="R180" s="9"/>
      <c r="S180" s="362"/>
      <c r="T180" s="363"/>
      <c r="U180" s="363"/>
      <c r="V180" s="363"/>
      <c r="W180" s="723"/>
      <c r="X180" s="9"/>
      <c r="Y180" s="362"/>
      <c r="Z180" s="363"/>
      <c r="AA180" s="363"/>
      <c r="AB180" s="363"/>
      <c r="AC180" s="723"/>
      <c r="AD180" s="9"/>
      <c r="AE180" s="362"/>
      <c r="AF180" s="363"/>
      <c r="AG180" s="363"/>
      <c r="AH180" s="364"/>
      <c r="AI180" s="723"/>
      <c r="AJ180" s="9"/>
      <c r="AK180" s="758"/>
      <c r="AL180" s="624"/>
      <c r="AM180" s="624"/>
      <c r="AN180" s="624"/>
      <c r="AO180" s="785">
        <v>0.11</v>
      </c>
      <c r="AP180" s="736"/>
      <c r="AQ180" s="758"/>
      <c r="AR180" s="624"/>
      <c r="AS180" s="624"/>
      <c r="AT180" s="624"/>
      <c r="AU180" s="785">
        <v>0.12</v>
      </c>
      <c r="AV180" s="736"/>
      <c r="AW180" s="758"/>
      <c r="AX180" s="624"/>
      <c r="AY180" s="624"/>
      <c r="AZ180" s="624"/>
      <c r="BA180" s="785">
        <v>0.09</v>
      </c>
      <c r="BB180" s="9"/>
      <c r="BC180" s="758"/>
      <c r="BD180" s="624"/>
      <c r="BE180" s="9"/>
      <c r="BF180" s="9"/>
      <c r="BG180" s="1142">
        <v>0.08</v>
      </c>
      <c r="BH180" s="9"/>
      <c r="BI180" s="362"/>
      <c r="BJ180" s="9"/>
      <c r="BK180" s="9"/>
      <c r="BL180" s="9"/>
      <c r="BM180" s="779"/>
      <c r="BN180" s="9"/>
      <c r="BO180" s="362"/>
      <c r="BP180" s="363"/>
      <c r="BQ180" s="363"/>
      <c r="BR180" s="364"/>
      <c r="BS180" s="357"/>
      <c r="BT180" s="9"/>
      <c r="BU180" s="362"/>
      <c r="BV180" s="363"/>
      <c r="BW180" s="363"/>
      <c r="BX180" s="364"/>
      <c r="BY180" s="357"/>
      <c r="BZ180" s="9"/>
      <c r="CA180" s="362"/>
      <c r="CB180" s="363"/>
      <c r="CC180" s="363"/>
      <c r="CD180" s="364"/>
      <c r="CE180" s="357"/>
      <c r="CF180" s="9"/>
      <c r="CG180" s="362"/>
      <c r="CH180" s="363"/>
      <c r="CI180" s="363"/>
      <c r="CJ180" s="364"/>
      <c r="CK180" s="357"/>
      <c r="CL180" s="9"/>
      <c r="CM180" s="362"/>
      <c r="CN180" s="363"/>
      <c r="CO180" s="363"/>
      <c r="CP180" s="364"/>
      <c r="CQ180" s="357"/>
      <c r="CR180" s="9"/>
      <c r="CS180" s="362"/>
      <c r="CT180" s="363"/>
      <c r="CU180" s="363"/>
      <c r="CV180" s="364"/>
      <c r="CW180" s="357"/>
      <c r="CX180" s="9"/>
      <c r="CY180" s="362"/>
      <c r="CZ180" s="363"/>
      <c r="DA180" s="363"/>
      <c r="DB180" s="364"/>
      <c r="DC180" s="357"/>
      <c r="DD180" s="9"/>
      <c r="DE180" s="362"/>
      <c r="DF180" s="363"/>
      <c r="DG180" s="363"/>
      <c r="DH180" s="364"/>
      <c r="DI180" s="357"/>
    </row>
    <row r="181" spans="1:113" s="355" customFormat="1" ht="11.25" hidden="1" customHeight="1" outlineLevel="1">
      <c r="A181" s="735" t="s">
        <v>16</v>
      </c>
      <c r="B181" s="9"/>
      <c r="C181" s="723"/>
      <c r="D181" s="9"/>
      <c r="E181" s="723"/>
      <c r="F181" s="9"/>
      <c r="G181" s="723"/>
      <c r="H181" s="9"/>
      <c r="I181" s="723"/>
      <c r="J181" s="9"/>
      <c r="K181" s="723"/>
      <c r="L181" s="9"/>
      <c r="M181" s="723"/>
      <c r="N181" s="9"/>
      <c r="O181" s="723"/>
      <c r="P181" s="9"/>
      <c r="Q181" s="723"/>
      <c r="R181" s="9"/>
      <c r="S181" s="362"/>
      <c r="T181" s="363"/>
      <c r="U181" s="363"/>
      <c r="V181" s="363"/>
      <c r="W181" s="723"/>
      <c r="X181" s="9"/>
      <c r="Y181" s="362"/>
      <c r="Z181" s="363"/>
      <c r="AA181" s="363"/>
      <c r="AB181" s="363"/>
      <c r="AC181" s="723"/>
      <c r="AD181" s="9"/>
      <c r="AE181" s="362"/>
      <c r="AF181" s="363"/>
      <c r="AG181" s="363"/>
      <c r="AH181" s="364"/>
      <c r="AI181" s="723"/>
      <c r="AJ181" s="9"/>
      <c r="AK181" s="758"/>
      <c r="AL181" s="624"/>
      <c r="AM181" s="624"/>
      <c r="AN181" s="624"/>
      <c r="AO181" s="723"/>
      <c r="AP181" s="9"/>
      <c r="AQ181" s="758"/>
      <c r="AR181" s="624"/>
      <c r="AS181" s="624"/>
      <c r="AT181" s="624"/>
      <c r="AU181" s="723"/>
      <c r="AV181" s="9"/>
      <c r="AW181" s="758"/>
      <c r="AX181" s="624"/>
      <c r="AY181" s="624"/>
      <c r="AZ181" s="624"/>
      <c r="BA181" s="723"/>
      <c r="BB181" s="9"/>
      <c r="BC181" s="758"/>
      <c r="BD181" s="624"/>
      <c r="BE181" s="9"/>
      <c r="BF181" s="9"/>
      <c r="BG181" s="723"/>
      <c r="BH181" s="9"/>
      <c r="BI181" s="362"/>
      <c r="BJ181" s="9"/>
      <c r="BK181" s="9"/>
      <c r="BL181" s="9"/>
      <c r="BM181" s="780"/>
      <c r="BN181" s="9"/>
      <c r="BO181" s="362"/>
      <c r="BP181" s="363"/>
      <c r="BQ181" s="363"/>
      <c r="BR181" s="364"/>
      <c r="BS181" s="357"/>
      <c r="BT181" s="9"/>
      <c r="BU181" s="362"/>
      <c r="BV181" s="363"/>
      <c r="BW181" s="363"/>
      <c r="BX181" s="364"/>
      <c r="BY181" s="357"/>
      <c r="BZ181" s="9"/>
      <c r="CA181" s="362"/>
      <c r="CB181" s="363"/>
      <c r="CC181" s="363"/>
      <c r="CD181" s="364"/>
      <c r="CE181" s="357"/>
      <c r="CF181" s="9"/>
      <c r="CG181" s="362"/>
      <c r="CH181" s="363"/>
      <c r="CI181" s="363"/>
      <c r="CJ181" s="364"/>
      <c r="CK181" s="357"/>
      <c r="CL181" s="9"/>
      <c r="CM181" s="362"/>
      <c r="CN181" s="363"/>
      <c r="CO181" s="363"/>
      <c r="CP181" s="364"/>
      <c r="CQ181" s="357"/>
      <c r="CR181" s="9"/>
      <c r="CS181" s="362"/>
      <c r="CT181" s="363"/>
      <c r="CU181" s="363"/>
      <c r="CV181" s="364"/>
      <c r="CW181" s="357"/>
      <c r="CX181" s="9"/>
      <c r="CY181" s="362"/>
      <c r="CZ181" s="363"/>
      <c r="DA181" s="363"/>
      <c r="DB181" s="364"/>
      <c r="DC181" s="357"/>
      <c r="DD181" s="9"/>
      <c r="DE181" s="362"/>
      <c r="DF181" s="363"/>
      <c r="DG181" s="363"/>
      <c r="DH181" s="364"/>
      <c r="DI181" s="357"/>
    </row>
    <row r="182" spans="1:113" s="355" customFormat="1" ht="11.25" hidden="1" customHeight="1" outlineLevel="1">
      <c r="A182" s="1618" t="s">
        <v>341</v>
      </c>
      <c r="B182" s="9"/>
      <c r="C182" s="723"/>
      <c r="D182" s="9"/>
      <c r="E182" s="723"/>
      <c r="F182" s="9"/>
      <c r="G182" s="723"/>
      <c r="H182" s="9"/>
      <c r="I182" s="723"/>
      <c r="J182" s="9"/>
      <c r="K182" s="723"/>
      <c r="L182" s="9"/>
      <c r="M182" s="723"/>
      <c r="N182" s="9"/>
      <c r="O182" s="723"/>
      <c r="P182" s="9"/>
      <c r="Q182" s="723"/>
      <c r="R182" s="9"/>
      <c r="S182" s="362"/>
      <c r="T182" s="363"/>
      <c r="U182" s="363"/>
      <c r="V182" s="363"/>
      <c r="W182" s="723"/>
      <c r="X182" s="9"/>
      <c r="Y182" s="362"/>
      <c r="Z182" s="363"/>
      <c r="AA182" s="363"/>
      <c r="AB182" s="363"/>
      <c r="AC182" s="723"/>
      <c r="AD182" s="9"/>
      <c r="AE182" s="362"/>
      <c r="AF182" s="363"/>
      <c r="AG182" s="363"/>
      <c r="AH182" s="364"/>
      <c r="AI182" s="723"/>
      <c r="AJ182" s="9"/>
      <c r="AK182" s="758"/>
      <c r="AL182" s="624"/>
      <c r="AM182" s="624"/>
      <c r="AN182" s="624"/>
      <c r="AO182" s="716">
        <f>AO174*AO$9</f>
        <v>467.58800000000002</v>
      </c>
      <c r="AP182" s="717"/>
      <c r="AQ182" s="875"/>
      <c r="AR182" s="718"/>
      <c r="AS182" s="718"/>
      <c r="AT182" s="718"/>
      <c r="AU182" s="716">
        <f>AU174*AU$9</f>
        <v>514.54200000000003</v>
      </c>
      <c r="AV182" s="717"/>
      <c r="AW182" s="875"/>
      <c r="AX182" s="718"/>
      <c r="AY182" s="718"/>
      <c r="AZ182" s="718"/>
      <c r="BA182" s="716">
        <f>BA174*BA$9</f>
        <v>590.55800000000011</v>
      </c>
      <c r="BB182" s="717"/>
      <c r="BC182" s="758"/>
      <c r="BD182" s="624"/>
      <c r="BE182" s="9"/>
      <c r="BF182" s="9"/>
      <c r="BG182" s="716">
        <f>BG174*BG$9</f>
        <v>599.79599999999994</v>
      </c>
      <c r="BH182" s="9"/>
      <c r="BI182" s="362"/>
      <c r="BJ182" s="9"/>
      <c r="BK182" s="9"/>
      <c r="BL182" s="9"/>
      <c r="BM182" s="781"/>
      <c r="BN182" s="9"/>
      <c r="BO182" s="362"/>
      <c r="BP182" s="363"/>
      <c r="BQ182" s="363"/>
      <c r="BR182" s="364"/>
      <c r="BS182" s="357"/>
      <c r="BT182" s="9"/>
      <c r="BU182" s="362"/>
      <c r="BV182" s="363"/>
      <c r="BW182" s="363"/>
      <c r="BX182" s="364"/>
      <c r="BY182" s="357"/>
      <c r="BZ182" s="9"/>
      <c r="CA182" s="362"/>
      <c r="CB182" s="363"/>
      <c r="CC182" s="363"/>
      <c r="CD182" s="364"/>
      <c r="CE182" s="357"/>
      <c r="CF182" s="9"/>
      <c r="CG182" s="362"/>
      <c r="CH182" s="363"/>
      <c r="CI182" s="363"/>
      <c r="CJ182" s="364"/>
      <c r="CK182" s="357"/>
      <c r="CL182" s="9"/>
      <c r="CM182" s="362"/>
      <c r="CN182" s="363"/>
      <c r="CO182" s="363"/>
      <c r="CP182" s="364"/>
      <c r="CQ182" s="357"/>
      <c r="CR182" s="9"/>
      <c r="CS182" s="362"/>
      <c r="CT182" s="363"/>
      <c r="CU182" s="363"/>
      <c r="CV182" s="364"/>
      <c r="CW182" s="357"/>
      <c r="CX182" s="9"/>
      <c r="CY182" s="362"/>
      <c r="CZ182" s="363"/>
      <c r="DA182" s="363"/>
      <c r="DB182" s="364"/>
      <c r="DC182" s="357"/>
      <c r="DD182" s="9"/>
      <c r="DE182" s="362"/>
      <c r="DF182" s="363"/>
      <c r="DG182" s="363"/>
      <c r="DH182" s="364"/>
      <c r="DI182" s="357"/>
    </row>
    <row r="183" spans="1:113" s="355" customFormat="1" ht="11.25" hidden="1" customHeight="1" outlineLevel="1">
      <c r="A183" s="1618" t="s">
        <v>342</v>
      </c>
      <c r="B183" s="9"/>
      <c r="C183" s="723"/>
      <c r="D183" s="9"/>
      <c r="E183" s="723"/>
      <c r="F183" s="9"/>
      <c r="G183" s="723"/>
      <c r="H183" s="9"/>
      <c r="I183" s="723"/>
      <c r="J183" s="9"/>
      <c r="K183" s="723"/>
      <c r="L183" s="9"/>
      <c r="M183" s="723"/>
      <c r="N183" s="9"/>
      <c r="O183" s="723"/>
      <c r="P183" s="9"/>
      <c r="Q183" s="723"/>
      <c r="R183" s="9"/>
      <c r="S183" s="362"/>
      <c r="T183" s="363"/>
      <c r="U183" s="363"/>
      <c r="V183" s="363"/>
      <c r="W183" s="723"/>
      <c r="X183" s="9"/>
      <c r="Y183" s="362"/>
      <c r="Z183" s="363"/>
      <c r="AA183" s="363"/>
      <c r="AB183" s="363"/>
      <c r="AC183" s="723"/>
      <c r="AD183" s="9"/>
      <c r="AE183" s="362"/>
      <c r="AF183" s="363"/>
      <c r="AG183" s="363"/>
      <c r="AH183" s="364"/>
      <c r="AI183" s="723"/>
      <c r="AJ183" s="9"/>
      <c r="AK183" s="758"/>
      <c r="AL183" s="624"/>
      <c r="AM183" s="624"/>
      <c r="AN183" s="624"/>
      <c r="AO183" s="716">
        <f>AO175*AO$9</f>
        <v>255.048</v>
      </c>
      <c r="AP183" s="717"/>
      <c r="AQ183" s="875"/>
      <c r="AR183" s="718"/>
      <c r="AS183" s="718"/>
      <c r="AT183" s="718"/>
      <c r="AU183" s="716">
        <f>AU175*AU$9</f>
        <v>294.024</v>
      </c>
      <c r="AV183" s="717"/>
      <c r="AW183" s="875"/>
      <c r="AX183" s="718"/>
      <c r="AY183" s="718"/>
      <c r="AZ183" s="718"/>
      <c r="BA183" s="716">
        <f>BA175*BA$9</f>
        <v>497.31200000000007</v>
      </c>
      <c r="BB183" s="717"/>
      <c r="BC183" s="758"/>
      <c r="BD183" s="624"/>
      <c r="BE183" s="9"/>
      <c r="BF183" s="9"/>
      <c r="BG183" s="716">
        <f>BG175*BG$9</f>
        <v>566.47400000000005</v>
      </c>
      <c r="BH183" s="9"/>
      <c r="BI183" s="362"/>
      <c r="BJ183" s="9"/>
      <c r="BK183" s="9"/>
      <c r="BL183" s="9"/>
      <c r="BM183" s="781"/>
      <c r="BN183" s="9"/>
      <c r="BO183" s="362"/>
      <c r="BP183" s="363"/>
      <c r="BQ183" s="363"/>
      <c r="BR183" s="364"/>
      <c r="BS183" s="357"/>
      <c r="BT183" s="9"/>
      <c r="BU183" s="362"/>
      <c r="BV183" s="363"/>
      <c r="BW183" s="363"/>
      <c r="BX183" s="364"/>
      <c r="BY183" s="357"/>
      <c r="BZ183" s="9"/>
      <c r="CA183" s="362"/>
      <c r="CB183" s="363"/>
      <c r="CC183" s="363"/>
      <c r="CD183" s="364"/>
      <c r="CE183" s="357"/>
      <c r="CF183" s="9"/>
      <c r="CG183" s="362"/>
      <c r="CH183" s="363"/>
      <c r="CI183" s="363"/>
      <c r="CJ183" s="364"/>
      <c r="CK183" s="357"/>
      <c r="CL183" s="9"/>
      <c r="CM183" s="362"/>
      <c r="CN183" s="363"/>
      <c r="CO183" s="363"/>
      <c r="CP183" s="364"/>
      <c r="CQ183" s="357"/>
      <c r="CR183" s="9"/>
      <c r="CS183" s="362"/>
      <c r="CT183" s="363"/>
      <c r="CU183" s="363"/>
      <c r="CV183" s="364"/>
      <c r="CW183" s="357"/>
      <c r="CX183" s="9"/>
      <c r="CY183" s="362"/>
      <c r="CZ183" s="363"/>
      <c r="DA183" s="363"/>
      <c r="DB183" s="364"/>
      <c r="DC183" s="357"/>
      <c r="DD183" s="9"/>
      <c r="DE183" s="362"/>
      <c r="DF183" s="363"/>
      <c r="DG183" s="363"/>
      <c r="DH183" s="364"/>
      <c r="DI183" s="357"/>
    </row>
    <row r="184" spans="1:113" s="355" customFormat="1" ht="11.25" hidden="1" customHeight="1" outlineLevel="1">
      <c r="A184" s="1618" t="s">
        <v>357</v>
      </c>
      <c r="B184" s="9"/>
      <c r="C184" s="723"/>
      <c r="D184" s="9"/>
      <c r="E184" s="723"/>
      <c r="F184" s="9"/>
      <c r="G184" s="723"/>
      <c r="H184" s="9"/>
      <c r="I184" s="723"/>
      <c r="J184" s="9"/>
      <c r="K184" s="723"/>
      <c r="L184" s="9"/>
      <c r="M184" s="723"/>
      <c r="N184" s="9"/>
      <c r="O184" s="723"/>
      <c r="P184" s="9"/>
      <c r="Q184" s="723"/>
      <c r="R184" s="9"/>
      <c r="S184" s="362"/>
      <c r="T184" s="363"/>
      <c r="U184" s="363"/>
      <c r="V184" s="363"/>
      <c r="W184" s="723"/>
      <c r="X184" s="9"/>
      <c r="Y184" s="362"/>
      <c r="Z184" s="363"/>
      <c r="AA184" s="363"/>
      <c r="AB184" s="363"/>
      <c r="AC184" s="723"/>
      <c r="AD184" s="9"/>
      <c r="AE184" s="362"/>
      <c r="AF184" s="363"/>
      <c r="AG184" s="363"/>
      <c r="AH184" s="364"/>
      <c r="AI184" s="723"/>
      <c r="AJ184" s="9"/>
      <c r="AK184" s="758"/>
      <c r="AL184" s="624"/>
      <c r="AM184" s="624"/>
      <c r="AN184" s="624"/>
      <c r="AO184" s="716"/>
      <c r="AP184" s="717"/>
      <c r="AQ184" s="875"/>
      <c r="AR184" s="718"/>
      <c r="AS184" s="718"/>
      <c r="AT184" s="718"/>
      <c r="AU184" s="716"/>
      <c r="AV184" s="717"/>
      <c r="AW184" s="875"/>
      <c r="AX184" s="718"/>
      <c r="AY184" s="718"/>
      <c r="AZ184" s="718"/>
      <c r="BA184" s="716"/>
      <c r="BB184" s="717"/>
      <c r="BC184" s="758"/>
      <c r="BD184" s="624"/>
      <c r="BE184" s="9"/>
      <c r="BF184" s="9"/>
      <c r="BG184" s="716"/>
      <c r="BH184" s="9"/>
      <c r="BI184" s="362"/>
      <c r="BJ184" s="9"/>
      <c r="BK184" s="9"/>
      <c r="BL184" s="9"/>
      <c r="BM184" s="781"/>
      <c r="BN184" s="9"/>
      <c r="BO184" s="362"/>
      <c r="BP184" s="363"/>
      <c r="BQ184" s="363"/>
      <c r="BR184" s="364"/>
      <c r="BS184" s="357"/>
      <c r="BT184" s="9"/>
      <c r="BU184" s="362"/>
      <c r="BV184" s="363"/>
      <c r="BW184" s="363"/>
      <c r="BX184" s="364"/>
      <c r="BY184" s="357"/>
      <c r="BZ184" s="9"/>
      <c r="CA184" s="362"/>
      <c r="CB184" s="363"/>
      <c r="CC184" s="363"/>
      <c r="CD184" s="364"/>
      <c r="CE184" s="357"/>
      <c r="CF184" s="9"/>
      <c r="CG184" s="362"/>
      <c r="CH184" s="363"/>
      <c r="CI184" s="363"/>
      <c r="CJ184" s="364"/>
      <c r="CK184" s="357"/>
      <c r="CL184" s="9"/>
      <c r="CM184" s="362"/>
      <c r="CN184" s="363"/>
      <c r="CO184" s="363"/>
      <c r="CP184" s="364"/>
      <c r="CQ184" s="357"/>
      <c r="CR184" s="9"/>
      <c r="CS184" s="362"/>
      <c r="CT184" s="363"/>
      <c r="CU184" s="363"/>
      <c r="CV184" s="364"/>
      <c r="CW184" s="357"/>
      <c r="CX184" s="9"/>
      <c r="CY184" s="362"/>
      <c r="CZ184" s="363"/>
      <c r="DA184" s="363"/>
      <c r="DB184" s="364"/>
      <c r="DC184" s="357"/>
      <c r="DD184" s="9"/>
      <c r="DE184" s="362"/>
      <c r="DF184" s="363"/>
      <c r="DG184" s="363"/>
      <c r="DH184" s="364"/>
      <c r="DI184" s="357"/>
    </row>
    <row r="185" spans="1:113" s="355" customFormat="1" ht="11.25" hidden="1" customHeight="1" outlineLevel="1">
      <c r="A185" s="1619" t="s">
        <v>354</v>
      </c>
      <c r="B185" s="9"/>
      <c r="C185" s="723"/>
      <c r="D185" s="9"/>
      <c r="E185" s="723"/>
      <c r="F185" s="9"/>
      <c r="G185" s="723"/>
      <c r="H185" s="9"/>
      <c r="I185" s="723"/>
      <c r="J185" s="9"/>
      <c r="K185" s="723"/>
      <c r="L185" s="9"/>
      <c r="M185" s="723"/>
      <c r="N185" s="9"/>
      <c r="O185" s="723"/>
      <c r="P185" s="9"/>
      <c r="Q185" s="723"/>
      <c r="R185" s="9"/>
      <c r="S185" s="362"/>
      <c r="T185" s="363"/>
      <c r="U185" s="363"/>
      <c r="V185" s="363"/>
      <c r="W185" s="723"/>
      <c r="X185" s="9"/>
      <c r="Y185" s="362"/>
      <c r="Z185" s="363"/>
      <c r="AA185" s="363"/>
      <c r="AB185" s="363"/>
      <c r="AC185" s="723"/>
      <c r="AD185" s="9"/>
      <c r="AE185" s="362"/>
      <c r="AF185" s="363"/>
      <c r="AG185" s="363"/>
      <c r="AH185" s="364"/>
      <c r="AI185" s="723"/>
      <c r="AJ185" s="9"/>
      <c r="AK185" s="758"/>
      <c r="AL185" s="624"/>
      <c r="AM185" s="624"/>
      <c r="AN185" s="624"/>
      <c r="AO185" s="716">
        <f>SUM(AO187:AO188)</f>
        <v>340.06400000000002</v>
      </c>
      <c r="AP185" s="717"/>
      <c r="AQ185" s="875"/>
      <c r="AR185" s="718"/>
      <c r="AS185" s="718"/>
      <c r="AT185" s="718"/>
      <c r="AU185" s="716">
        <f>SUM(AU187:AU188)</f>
        <v>416.53400000000005</v>
      </c>
      <c r="AV185" s="717"/>
      <c r="AW185" s="875"/>
      <c r="AX185" s="718"/>
      <c r="AY185" s="718"/>
      <c r="AZ185" s="718"/>
      <c r="BA185" s="716">
        <f>SUM(BA187:BA188)</f>
        <v>466.23</v>
      </c>
      <c r="BB185" s="717"/>
      <c r="BC185" s="758"/>
      <c r="BD185" s="624"/>
      <c r="BE185" s="9"/>
      <c r="BF185" s="9"/>
      <c r="BG185" s="716">
        <f>SUM(BG187:BG188)</f>
        <v>499.82999999999993</v>
      </c>
      <c r="BH185" s="9"/>
      <c r="BI185" s="362"/>
      <c r="BJ185" s="9"/>
      <c r="BK185" s="9"/>
      <c r="BL185" s="9"/>
      <c r="BM185" s="781"/>
      <c r="BN185" s="9"/>
      <c r="BO185" s="362"/>
      <c r="BP185" s="363"/>
      <c r="BQ185" s="363"/>
      <c r="BR185" s="364"/>
      <c r="BS185" s="357"/>
      <c r="BT185" s="9"/>
      <c r="BU185" s="362"/>
      <c r="BV185" s="363"/>
      <c r="BW185" s="363"/>
      <c r="BX185" s="364"/>
      <c r="BY185" s="357"/>
      <c r="BZ185" s="9"/>
      <c r="CA185" s="362"/>
      <c r="CB185" s="363"/>
      <c r="CC185" s="363"/>
      <c r="CD185" s="364"/>
      <c r="CE185" s="357"/>
      <c r="CF185" s="9"/>
      <c r="CG185" s="362"/>
      <c r="CH185" s="363"/>
      <c r="CI185" s="363"/>
      <c r="CJ185" s="364"/>
      <c r="CK185" s="357"/>
      <c r="CL185" s="9"/>
      <c r="CM185" s="362"/>
      <c r="CN185" s="363"/>
      <c r="CO185" s="363"/>
      <c r="CP185" s="364"/>
      <c r="CQ185" s="357"/>
      <c r="CR185" s="9"/>
      <c r="CS185" s="362"/>
      <c r="CT185" s="363"/>
      <c r="CU185" s="363"/>
      <c r="CV185" s="364"/>
      <c r="CW185" s="357"/>
      <c r="CX185" s="9"/>
      <c r="CY185" s="362"/>
      <c r="CZ185" s="363"/>
      <c r="DA185" s="363"/>
      <c r="DB185" s="364"/>
      <c r="DC185" s="357"/>
      <c r="DD185" s="9"/>
      <c r="DE185" s="362"/>
      <c r="DF185" s="363"/>
      <c r="DG185" s="363"/>
      <c r="DH185" s="364"/>
      <c r="DI185" s="357"/>
    </row>
    <row r="186" spans="1:113" s="355" customFormat="1" ht="11.25" hidden="1" customHeight="1" outlineLevel="1">
      <c r="A186" s="1618" t="s">
        <v>360</v>
      </c>
      <c r="B186" s="9"/>
      <c r="C186" s="723"/>
      <c r="D186" s="9"/>
      <c r="E186" s="723"/>
      <c r="F186" s="9"/>
      <c r="G186" s="723"/>
      <c r="H186" s="9"/>
      <c r="I186" s="723"/>
      <c r="J186" s="9"/>
      <c r="K186" s="723"/>
      <c r="L186" s="9"/>
      <c r="M186" s="723"/>
      <c r="N186" s="9"/>
      <c r="O186" s="723"/>
      <c r="P186" s="9"/>
      <c r="Q186" s="723"/>
      <c r="R186" s="9"/>
      <c r="S186" s="362"/>
      <c r="T186" s="363"/>
      <c r="U186" s="363"/>
      <c r="V186" s="363"/>
      <c r="W186" s="723"/>
      <c r="X186" s="9"/>
      <c r="Y186" s="362"/>
      <c r="Z186" s="363"/>
      <c r="AA186" s="363"/>
      <c r="AB186" s="363"/>
      <c r="AC186" s="723"/>
      <c r="AD186" s="9"/>
      <c r="AE186" s="362"/>
      <c r="AF186" s="363"/>
      <c r="AG186" s="363"/>
      <c r="AH186" s="364"/>
      <c r="AI186" s="723"/>
      <c r="AJ186" s="9"/>
      <c r="AK186" s="758"/>
      <c r="AL186" s="624"/>
      <c r="AM186" s="624"/>
      <c r="AN186" s="624"/>
      <c r="AO186" s="716"/>
      <c r="AP186" s="717"/>
      <c r="AQ186" s="875"/>
      <c r="AR186" s="718"/>
      <c r="AS186" s="718"/>
      <c r="AT186" s="718"/>
      <c r="AU186" s="716"/>
      <c r="AV186" s="717"/>
      <c r="AW186" s="875"/>
      <c r="AX186" s="718"/>
      <c r="AY186" s="718"/>
      <c r="AZ186" s="718"/>
      <c r="BA186" s="716"/>
      <c r="BB186" s="717"/>
      <c r="BC186" s="1143">
        <v>22</v>
      </c>
      <c r="BD186" s="1240"/>
      <c r="BE186" s="1241"/>
      <c r="BF186" s="1241"/>
      <c r="BG186" s="716"/>
      <c r="BH186" s="9"/>
      <c r="BI186" s="1244"/>
      <c r="BJ186" s="1241"/>
      <c r="BK186" s="1241"/>
      <c r="BL186" s="1241"/>
      <c r="BM186" s="781"/>
      <c r="BN186" s="9"/>
      <c r="BO186" s="362"/>
      <c r="BP186" s="363"/>
      <c r="BQ186" s="363"/>
      <c r="BR186" s="364"/>
      <c r="BS186" s="357"/>
      <c r="BT186" s="9"/>
      <c r="BU186" s="362"/>
      <c r="BV186" s="363"/>
      <c r="BW186" s="363"/>
      <c r="BX186" s="364"/>
      <c r="BY186" s="357"/>
      <c r="BZ186" s="9"/>
      <c r="CA186" s="362"/>
      <c r="CB186" s="363"/>
      <c r="CC186" s="363"/>
      <c r="CD186" s="364"/>
      <c r="CE186" s="357"/>
      <c r="CF186" s="9"/>
      <c r="CG186" s="362"/>
      <c r="CH186" s="363"/>
      <c r="CI186" s="363"/>
      <c r="CJ186" s="364"/>
      <c r="CK186" s="357"/>
      <c r="CL186" s="9"/>
      <c r="CM186" s="362"/>
      <c r="CN186" s="363"/>
      <c r="CO186" s="363"/>
      <c r="CP186" s="364"/>
      <c r="CQ186" s="357"/>
      <c r="CR186" s="9"/>
      <c r="CS186" s="362"/>
      <c r="CT186" s="363"/>
      <c r="CU186" s="363"/>
      <c r="CV186" s="364"/>
      <c r="CW186" s="357"/>
      <c r="CX186" s="9"/>
      <c r="CY186" s="362"/>
      <c r="CZ186" s="363"/>
      <c r="DA186" s="363"/>
      <c r="DB186" s="364"/>
      <c r="DC186" s="357"/>
      <c r="DD186" s="9"/>
      <c r="DE186" s="362"/>
      <c r="DF186" s="363"/>
      <c r="DG186" s="363"/>
      <c r="DH186" s="364"/>
      <c r="DI186" s="357"/>
    </row>
    <row r="187" spans="1:113" s="355" customFormat="1" ht="11.25" hidden="1" customHeight="1" outlineLevel="1">
      <c r="A187" s="1619" t="s">
        <v>358</v>
      </c>
      <c r="B187" s="9"/>
      <c r="C187" s="723"/>
      <c r="D187" s="9"/>
      <c r="E187" s="723"/>
      <c r="F187" s="9"/>
      <c r="G187" s="723"/>
      <c r="H187" s="9"/>
      <c r="I187" s="723"/>
      <c r="J187" s="9"/>
      <c r="K187" s="723"/>
      <c r="L187" s="9"/>
      <c r="M187" s="723"/>
      <c r="N187" s="9"/>
      <c r="O187" s="723"/>
      <c r="P187" s="9"/>
      <c r="Q187" s="723"/>
      <c r="R187" s="9"/>
      <c r="S187" s="362"/>
      <c r="T187" s="363"/>
      <c r="U187" s="363"/>
      <c r="V187" s="363"/>
      <c r="W187" s="723"/>
      <c r="X187" s="9"/>
      <c r="Y187" s="362"/>
      <c r="Z187" s="363"/>
      <c r="AA187" s="363"/>
      <c r="AB187" s="363"/>
      <c r="AC187" s="723"/>
      <c r="AD187" s="9"/>
      <c r="AE187" s="362"/>
      <c r="AF187" s="363"/>
      <c r="AG187" s="363"/>
      <c r="AH187" s="364"/>
      <c r="AI187" s="723"/>
      <c r="AJ187" s="9"/>
      <c r="AK187" s="758"/>
      <c r="AL187" s="624"/>
      <c r="AM187" s="624"/>
      <c r="AN187" s="624"/>
      <c r="AO187" s="776">
        <f>AO179*AO$9</f>
        <v>223.167</v>
      </c>
      <c r="AP187" s="777"/>
      <c r="AQ187" s="875"/>
      <c r="AR187" s="718"/>
      <c r="AS187" s="718"/>
      <c r="AT187" s="718"/>
      <c r="AU187" s="776">
        <f>AU179*AU$9</f>
        <v>269.52200000000005</v>
      </c>
      <c r="AV187" s="777"/>
      <c r="AW187" s="875"/>
      <c r="AX187" s="718"/>
      <c r="AY187" s="718"/>
      <c r="AZ187" s="718"/>
      <c r="BA187" s="776">
        <f>BA179*BA$9</f>
        <v>326.36099999999999</v>
      </c>
      <c r="BB187" s="777"/>
      <c r="BC187" s="1242"/>
      <c r="BD187" s="1240"/>
      <c r="BE187" s="1243"/>
      <c r="BF187" s="1243"/>
      <c r="BG187" s="776">
        <f>BG179*BG$9</f>
        <v>366.54199999999997</v>
      </c>
      <c r="BH187" s="736"/>
      <c r="BI187" s="362"/>
      <c r="BJ187" s="9"/>
      <c r="BK187" s="9"/>
      <c r="BL187" s="9"/>
      <c r="BM187" s="782"/>
      <c r="BN187" s="736"/>
      <c r="BO187" s="362"/>
      <c r="BP187" s="363"/>
      <c r="BQ187" s="363"/>
      <c r="BR187" s="364"/>
      <c r="BS187" s="357"/>
      <c r="BT187" s="9"/>
      <c r="BU187" s="362"/>
      <c r="BV187" s="363"/>
      <c r="BW187" s="363"/>
      <c r="BX187" s="364"/>
      <c r="BY187" s="357"/>
      <c r="BZ187" s="9"/>
      <c r="CA187" s="362"/>
      <c r="CB187" s="363"/>
      <c r="CC187" s="363"/>
      <c r="CD187" s="364"/>
      <c r="CE187" s="357"/>
      <c r="CF187" s="9"/>
      <c r="CG187" s="362"/>
      <c r="CH187" s="363"/>
      <c r="CI187" s="363"/>
      <c r="CJ187" s="364"/>
      <c r="CK187" s="357"/>
      <c r="CL187" s="9"/>
      <c r="CM187" s="362"/>
      <c r="CN187" s="363"/>
      <c r="CO187" s="363"/>
      <c r="CP187" s="364"/>
      <c r="CQ187" s="357"/>
      <c r="CR187" s="9"/>
      <c r="CS187" s="362"/>
      <c r="CT187" s="363"/>
      <c r="CU187" s="363"/>
      <c r="CV187" s="364"/>
      <c r="CW187" s="357"/>
      <c r="CX187" s="9"/>
      <c r="CY187" s="362"/>
      <c r="CZ187" s="363"/>
      <c r="DA187" s="363"/>
      <c r="DB187" s="364"/>
      <c r="DC187" s="357"/>
      <c r="DD187" s="9"/>
      <c r="DE187" s="362"/>
      <c r="DF187" s="363"/>
      <c r="DG187" s="363"/>
      <c r="DH187" s="364"/>
      <c r="DI187" s="357"/>
    </row>
    <row r="188" spans="1:113" s="355" customFormat="1" ht="11.25" hidden="1" customHeight="1" outlineLevel="1">
      <c r="A188" s="1619" t="s">
        <v>359</v>
      </c>
      <c r="B188" s="9"/>
      <c r="C188" s="723"/>
      <c r="D188" s="9"/>
      <c r="E188" s="723"/>
      <c r="F188" s="9"/>
      <c r="G188" s="723"/>
      <c r="H188" s="9"/>
      <c r="I188" s="723"/>
      <c r="J188" s="9"/>
      <c r="K188" s="723"/>
      <c r="L188" s="9"/>
      <c r="M188" s="723"/>
      <c r="N188" s="9"/>
      <c r="O188" s="723"/>
      <c r="P188" s="9"/>
      <c r="Q188" s="723"/>
      <c r="R188" s="9"/>
      <c r="S188" s="362"/>
      <c r="T188" s="363"/>
      <c r="U188" s="363"/>
      <c r="V188" s="363"/>
      <c r="W188" s="723"/>
      <c r="X188" s="9"/>
      <c r="Y188" s="362"/>
      <c r="Z188" s="363"/>
      <c r="AA188" s="363"/>
      <c r="AB188" s="363"/>
      <c r="AC188" s="723"/>
      <c r="AD188" s="9"/>
      <c r="AE188" s="362"/>
      <c r="AF188" s="363"/>
      <c r="AG188" s="363"/>
      <c r="AH188" s="364"/>
      <c r="AI188" s="723"/>
      <c r="AJ188" s="9"/>
      <c r="AK188" s="758"/>
      <c r="AL188" s="624"/>
      <c r="AM188" s="624"/>
      <c r="AN188" s="624"/>
      <c r="AO188" s="776">
        <f>AO180*AO$9</f>
        <v>116.89700000000001</v>
      </c>
      <c r="AP188" s="777"/>
      <c r="AQ188" s="875"/>
      <c r="AR188" s="718"/>
      <c r="AS188" s="718"/>
      <c r="AT188" s="718"/>
      <c r="AU188" s="776">
        <f>AU180*AU$9</f>
        <v>147.012</v>
      </c>
      <c r="AV188" s="777"/>
      <c r="AW188" s="875"/>
      <c r="AX188" s="718"/>
      <c r="AY188" s="718"/>
      <c r="AZ188" s="718"/>
      <c r="BA188" s="776">
        <f>BA180*BA$9</f>
        <v>139.869</v>
      </c>
      <c r="BB188" s="777"/>
      <c r="BC188" s="1242"/>
      <c r="BD188" s="1240"/>
      <c r="BE188" s="1243"/>
      <c r="BF188" s="1243"/>
      <c r="BG188" s="776">
        <f>BG180*BG$9</f>
        <v>133.28799999999998</v>
      </c>
      <c r="BH188" s="736"/>
      <c r="BI188" s="362"/>
      <c r="BJ188" s="9"/>
      <c r="BK188" s="9"/>
      <c r="BL188" s="9"/>
      <c r="BM188" s="782"/>
      <c r="BN188" s="736"/>
      <c r="BO188" s="362"/>
      <c r="BP188" s="363"/>
      <c r="BQ188" s="363"/>
      <c r="BR188" s="364"/>
      <c r="BS188" s="428"/>
      <c r="BT188" s="9"/>
      <c r="BU188" s="362"/>
      <c r="BV188" s="363"/>
      <c r="BW188" s="363"/>
      <c r="BX188" s="364"/>
      <c r="BY188" s="357"/>
      <c r="BZ188" s="9"/>
      <c r="CA188" s="362"/>
      <c r="CB188" s="363"/>
      <c r="CC188" s="363"/>
      <c r="CD188" s="364"/>
      <c r="CE188" s="357"/>
      <c r="CF188" s="9"/>
      <c r="CG188" s="362"/>
      <c r="CH188" s="363"/>
      <c r="CI188" s="363"/>
      <c r="CJ188" s="364"/>
      <c r="CK188" s="357"/>
      <c r="CL188" s="9"/>
      <c r="CM188" s="362"/>
      <c r="CN188" s="363"/>
      <c r="CO188" s="363"/>
      <c r="CP188" s="364"/>
      <c r="CQ188" s="357"/>
      <c r="CR188" s="9"/>
      <c r="CS188" s="362"/>
      <c r="CT188" s="363"/>
      <c r="CU188" s="363"/>
      <c r="CV188" s="364"/>
      <c r="CW188" s="357"/>
      <c r="CX188" s="9"/>
      <c r="CY188" s="362"/>
      <c r="CZ188" s="363"/>
      <c r="DA188" s="363"/>
      <c r="DB188" s="364"/>
      <c r="DC188" s="357"/>
      <c r="DD188" s="9"/>
      <c r="DE188" s="362"/>
      <c r="DF188" s="363"/>
      <c r="DG188" s="363"/>
      <c r="DH188" s="364"/>
      <c r="DI188" s="357"/>
    </row>
    <row r="189" spans="1:113" s="355" customFormat="1" ht="11.25" hidden="1" customHeight="1" outlineLevel="1">
      <c r="A189" s="735" t="s">
        <v>363</v>
      </c>
      <c r="B189" s="9"/>
      <c r="C189" s="723"/>
      <c r="D189" s="9"/>
      <c r="E189" s="723"/>
      <c r="F189" s="9"/>
      <c r="G189" s="723"/>
      <c r="H189" s="9"/>
      <c r="I189" s="723"/>
      <c r="J189" s="9"/>
      <c r="K189" s="723"/>
      <c r="L189" s="9"/>
      <c r="M189" s="723"/>
      <c r="N189" s="9"/>
      <c r="O189" s="723"/>
      <c r="P189" s="9"/>
      <c r="Q189" s="723"/>
      <c r="R189" s="9"/>
      <c r="S189" s="362"/>
      <c r="T189" s="363"/>
      <c r="U189" s="363"/>
      <c r="V189" s="363"/>
      <c r="W189" s="723"/>
      <c r="X189" s="9"/>
      <c r="Y189" s="362"/>
      <c r="Z189" s="363"/>
      <c r="AA189" s="363"/>
      <c r="AB189" s="363"/>
      <c r="AC189" s="723"/>
      <c r="AD189" s="9"/>
      <c r="AE189" s="362"/>
      <c r="AF189" s="363"/>
      <c r="AG189" s="363"/>
      <c r="AH189" s="364"/>
      <c r="AI189" s="723"/>
      <c r="AJ189" s="9"/>
      <c r="AK189" s="758"/>
      <c r="AL189" s="624"/>
      <c r="AM189" s="624"/>
      <c r="AN189" s="624"/>
      <c r="AO189" s="723"/>
      <c r="AP189" s="9"/>
      <c r="AQ189" s="758"/>
      <c r="AR189" s="624"/>
      <c r="AS189" s="624"/>
      <c r="AT189" s="624"/>
      <c r="AU189" s="723"/>
      <c r="AV189" s="9"/>
      <c r="AW189" s="758"/>
      <c r="AX189" s="624"/>
      <c r="AY189" s="624"/>
      <c r="AZ189" s="624"/>
      <c r="BA189" s="723"/>
      <c r="BB189" s="9"/>
      <c r="BC189" s="1242"/>
      <c r="BD189" s="1240"/>
      <c r="BE189" s="1241"/>
      <c r="BF189" s="1241"/>
      <c r="BG189" s="723"/>
      <c r="BH189" s="9"/>
      <c r="BI189" s="1244"/>
      <c r="BJ189" s="1241"/>
      <c r="BK189" s="1241"/>
      <c r="BL189" s="1241"/>
      <c r="BM189" s="780"/>
      <c r="BN189" s="9"/>
      <c r="BO189" s="362"/>
      <c r="BP189" s="363"/>
      <c r="BQ189" s="363"/>
      <c r="BR189" s="364"/>
      <c r="BS189" s="428"/>
      <c r="BT189" s="9"/>
      <c r="BU189" s="362"/>
      <c r="BV189" s="363"/>
      <c r="BW189" s="363"/>
      <c r="BX189" s="364"/>
      <c r="BY189" s="357"/>
      <c r="BZ189" s="9"/>
      <c r="CA189" s="362"/>
      <c r="CB189" s="363"/>
      <c r="CC189" s="363"/>
      <c r="CD189" s="364"/>
      <c r="CE189" s="357"/>
      <c r="CF189" s="9"/>
      <c r="CG189" s="362"/>
      <c r="CH189" s="363"/>
      <c r="CI189" s="363"/>
      <c r="CJ189" s="364"/>
      <c r="CK189" s="357"/>
      <c r="CL189" s="9"/>
      <c r="CM189" s="362"/>
      <c r="CN189" s="363"/>
      <c r="CO189" s="363"/>
      <c r="CP189" s="364"/>
      <c r="CQ189" s="357"/>
      <c r="CR189" s="9"/>
      <c r="CS189" s="362"/>
      <c r="CT189" s="363"/>
      <c r="CU189" s="363"/>
      <c r="CV189" s="364"/>
      <c r="CW189" s="357"/>
      <c r="CX189" s="9"/>
      <c r="CY189" s="362"/>
      <c r="CZ189" s="363"/>
      <c r="DA189" s="363"/>
      <c r="DB189" s="364"/>
      <c r="DC189" s="357"/>
      <c r="DD189" s="9"/>
      <c r="DE189" s="362"/>
      <c r="DF189" s="363"/>
      <c r="DG189" s="363"/>
      <c r="DH189" s="364"/>
      <c r="DI189" s="357"/>
    </row>
    <row r="190" spans="1:113" s="355" customFormat="1" ht="11.25" customHeight="1" collapsed="1">
      <c r="A190" s="1620" t="s">
        <v>402</v>
      </c>
      <c r="B190" s="9"/>
      <c r="C190" s="723"/>
      <c r="D190" s="9"/>
      <c r="E190" s="723"/>
      <c r="F190" s="9"/>
      <c r="G190" s="723"/>
      <c r="H190" s="9"/>
      <c r="I190" s="723"/>
      <c r="J190" s="9"/>
      <c r="K190" s="723"/>
      <c r="L190" s="9"/>
      <c r="M190" s="723"/>
      <c r="N190" s="9"/>
      <c r="O190" s="723"/>
      <c r="P190" s="9"/>
      <c r="Q190" s="723"/>
      <c r="R190" s="9"/>
      <c r="S190" s="362"/>
      <c r="T190" s="363"/>
      <c r="U190" s="363"/>
      <c r="V190" s="363"/>
      <c r="W190" s="723"/>
      <c r="X190" s="9"/>
      <c r="Y190" s="362"/>
      <c r="Z190" s="363"/>
      <c r="AA190" s="363"/>
      <c r="AB190" s="363"/>
      <c r="AC190" s="723"/>
      <c r="AD190" s="9"/>
      <c r="AE190" s="362"/>
      <c r="AF190" s="363"/>
      <c r="AG190" s="363"/>
      <c r="AH190" s="364"/>
      <c r="AI190" s="785">
        <v>0</v>
      </c>
      <c r="AJ190" s="9"/>
      <c r="AK190" s="758"/>
      <c r="AL190" s="624"/>
      <c r="AM190" s="624"/>
      <c r="AN190" s="624"/>
      <c r="AO190" s="401"/>
      <c r="AP190" s="9"/>
      <c r="AQ190" s="758"/>
      <c r="AR190" s="624"/>
      <c r="AS190" s="624"/>
      <c r="AT190" s="624"/>
      <c r="AU190" s="401">
        <f>AU182/AO182-1</f>
        <v>0.10041746152595876</v>
      </c>
      <c r="AV190" s="9"/>
      <c r="AW190" s="1193" t="s">
        <v>26</v>
      </c>
      <c r="AX190" s="1271" t="s">
        <v>26</v>
      </c>
      <c r="AY190" s="1271" t="s">
        <v>26</v>
      </c>
      <c r="AZ190" s="1272" t="s">
        <v>26</v>
      </c>
      <c r="BA190" s="436">
        <f>BA182/AU182-1</f>
        <v>0.14773526748059451</v>
      </c>
      <c r="BC190" s="1273" t="s">
        <v>26</v>
      </c>
      <c r="BD190" s="1271" t="s">
        <v>26</v>
      </c>
      <c r="BE190" s="1274">
        <v>0.04</v>
      </c>
      <c r="BF190" s="1274">
        <v>0.02</v>
      </c>
      <c r="BG190" s="1275">
        <f>BG182/BA182-1</f>
        <v>1.5642832710758059E-2</v>
      </c>
      <c r="BH190" s="69"/>
      <c r="BI190" s="1276">
        <v>7.0000000000000007E-2</v>
      </c>
      <c r="BJ190" s="1274">
        <v>0.06</v>
      </c>
      <c r="BK190" s="1274">
        <v>-0.05</v>
      </c>
      <c r="BL190" s="1347">
        <v>0.11</v>
      </c>
      <c r="BM190" s="1657">
        <v>0.08</v>
      </c>
      <c r="BN190" s="9"/>
      <c r="BO190" s="1643">
        <v>0.05</v>
      </c>
      <c r="BP190" s="1646">
        <v>0.05</v>
      </c>
      <c r="BQ190" s="1644">
        <v>-0.06</v>
      </c>
      <c r="BR190" s="1650">
        <v>-0.05</v>
      </c>
      <c r="BS190" s="1887">
        <v>-3.0000000000000001E-3</v>
      </c>
      <c r="BT190" s="1653"/>
      <c r="BU190" s="1643">
        <v>-0.05</v>
      </c>
      <c r="BV190" s="480">
        <f>BV30</f>
        <v>-0.04</v>
      </c>
      <c r="BW190" s="480">
        <f>BW30</f>
        <v>0.08</v>
      </c>
      <c r="BX190" s="1889">
        <f>BX30</f>
        <v>-8.0403409109834706E-2</v>
      </c>
      <c r="BY190" s="1890">
        <f>BY30</f>
        <v>-3.3000000000000002E-2</v>
      </c>
      <c r="BZ190" s="9"/>
      <c r="CA190" s="1910">
        <f>CA30</f>
        <v>0.12</v>
      </c>
      <c r="CB190" s="480">
        <f>CB30</f>
        <v>-0.01</v>
      </c>
      <c r="CC190" s="480">
        <f>CC30</f>
        <v>0.05</v>
      </c>
      <c r="CD190" s="1889">
        <f>CD30</f>
        <v>0.03</v>
      </c>
      <c r="CE190" s="1890">
        <f>CE30</f>
        <v>4.4215964622548218E-2</v>
      </c>
      <c r="CF190" s="9"/>
      <c r="CG190" s="1910">
        <f>CG30</f>
        <v>1.7000000000000001E-2</v>
      </c>
      <c r="CH190" s="480">
        <f>CH30</f>
        <v>4.4999999999999998E-2</v>
      </c>
      <c r="CI190" s="480">
        <f>CI30</f>
        <v>0</v>
      </c>
      <c r="CJ190" s="364"/>
      <c r="CK190" s="357"/>
      <c r="CL190" s="9"/>
      <c r="CM190" s="362"/>
      <c r="CN190" s="363"/>
      <c r="CO190" s="363"/>
      <c r="CP190" s="364"/>
      <c r="CQ190" s="357"/>
      <c r="CR190" s="9"/>
      <c r="CS190" s="362"/>
      <c r="CT190" s="363"/>
      <c r="CU190" s="363"/>
      <c r="CV190" s="364"/>
      <c r="CW190" s="357"/>
      <c r="CX190" s="9"/>
      <c r="CY190" s="362"/>
      <c r="CZ190" s="363"/>
      <c r="DA190" s="363"/>
      <c r="DB190" s="364"/>
      <c r="DC190" s="357"/>
      <c r="DD190" s="9"/>
      <c r="DE190" s="362"/>
      <c r="DF190" s="363"/>
      <c r="DG190" s="363"/>
      <c r="DH190" s="364"/>
      <c r="DI190" s="357"/>
    </row>
    <row r="191" spans="1:113" s="355" customFormat="1" ht="11.25" customHeight="1">
      <c r="A191" s="1620" t="s">
        <v>465</v>
      </c>
      <c r="B191" s="9"/>
      <c r="C191" s="723"/>
      <c r="D191" s="9"/>
      <c r="E191" s="723"/>
      <c r="F191" s="9"/>
      <c r="G191" s="723"/>
      <c r="H191" s="9"/>
      <c r="I191" s="723"/>
      <c r="J191" s="9"/>
      <c r="K191" s="723"/>
      <c r="L191" s="9"/>
      <c r="M191" s="723"/>
      <c r="N191" s="9"/>
      <c r="O191" s="723"/>
      <c r="P191" s="9"/>
      <c r="Q191" s="723"/>
      <c r="R191" s="9"/>
      <c r="S191" s="362"/>
      <c r="T191" s="363"/>
      <c r="U191" s="363"/>
      <c r="V191" s="363"/>
      <c r="W191" s="723"/>
      <c r="X191" s="9"/>
      <c r="Y191" s="362"/>
      <c r="Z191" s="363"/>
      <c r="AA191" s="363"/>
      <c r="AB191" s="363"/>
      <c r="AC191" s="723"/>
      <c r="AD191" s="9"/>
      <c r="AE191" s="362"/>
      <c r="AF191" s="363"/>
      <c r="AG191" s="363"/>
      <c r="AH191" s="364"/>
      <c r="AI191" s="785">
        <v>0.1</v>
      </c>
      <c r="AJ191" s="9"/>
      <c r="AK191" s="758"/>
      <c r="AL191" s="624"/>
      <c r="AM191" s="624"/>
      <c r="AN191" s="624"/>
      <c r="AO191" s="401"/>
      <c r="AP191" s="9"/>
      <c r="AQ191" s="758"/>
      <c r="AR191" s="624"/>
      <c r="AS191" s="624"/>
      <c r="AT191" s="624"/>
      <c r="AU191" s="401">
        <f>AU183/AO183-1</f>
        <v>0.15281829302719485</v>
      </c>
      <c r="AV191" s="9"/>
      <c r="AW191" s="1277">
        <v>0.12</v>
      </c>
      <c r="AX191" s="1271" t="s">
        <v>26</v>
      </c>
      <c r="AY191" s="1271" t="s">
        <v>26</v>
      </c>
      <c r="AZ191" s="1278" t="s">
        <v>26</v>
      </c>
      <c r="BA191" s="436">
        <f>BA183/AU183-1</f>
        <v>0.69139934155034988</v>
      </c>
      <c r="BC191" s="1273" t="s">
        <v>26</v>
      </c>
      <c r="BD191" s="1271" t="s">
        <v>26</v>
      </c>
      <c r="BE191" s="1279" t="s">
        <v>26</v>
      </c>
      <c r="BF191" s="1274">
        <v>7.0000000000000007E-2</v>
      </c>
      <c r="BG191" s="1275">
        <f>BG183/BA183-1</f>
        <v>0.13907164918602399</v>
      </c>
      <c r="BH191" s="69"/>
      <c r="BI191" s="1276">
        <v>-0.02</v>
      </c>
      <c r="BJ191" s="1274">
        <v>-0.05</v>
      </c>
      <c r="BK191" s="1344">
        <v>-2.5000000000000001E-2</v>
      </c>
      <c r="BL191" s="1347">
        <v>-0.15</v>
      </c>
      <c r="BM191" s="1657">
        <v>-0.08</v>
      </c>
      <c r="BN191" s="9"/>
      <c r="BO191" s="1643">
        <v>0.05</v>
      </c>
      <c r="BP191" s="1646">
        <v>0</v>
      </c>
      <c r="BQ191" s="1644">
        <v>-0.09</v>
      </c>
      <c r="BR191" s="1650">
        <v>0</v>
      </c>
      <c r="BS191" s="1887">
        <v>-1.0999999999999999E-2</v>
      </c>
      <c r="BT191" s="1653"/>
      <c r="BU191" s="1645">
        <v>0.02</v>
      </c>
      <c r="BV191" s="480">
        <f>BV46</f>
        <v>2.5000000000000001E-2</v>
      </c>
      <c r="BW191" s="480">
        <f>BW46</f>
        <v>-0.06</v>
      </c>
      <c r="BX191" s="1889">
        <f>BX46</f>
        <v>5.2803796192288498E-2</v>
      </c>
      <c r="BY191" s="1890">
        <f>BY46</f>
        <v>1.0999999999999999E-2</v>
      </c>
      <c r="BZ191" s="9"/>
      <c r="CA191" s="1911">
        <f>CA46</f>
        <v>-8.0684797230032024E-3</v>
      </c>
      <c r="CB191" s="480">
        <f>CB46</f>
        <v>-0.17499999999999999</v>
      </c>
      <c r="CC191" s="480">
        <f>CC46</f>
        <v>-9.6000000000000002E-2</v>
      </c>
      <c r="CD191" s="1889">
        <f>CD46</f>
        <v>-5.3499999999999999E-2</v>
      </c>
      <c r="CE191" s="1890">
        <f>CE46</f>
        <v>-8.0838494060738564E-2</v>
      </c>
      <c r="CF191" s="9"/>
      <c r="CG191" s="1911">
        <f>CG46</f>
        <v>3.0838500000000008E-2</v>
      </c>
      <c r="CH191" s="480">
        <f>CH46</f>
        <v>-2.8000000000000001E-2</v>
      </c>
      <c r="CI191" s="480">
        <f>CI46</f>
        <v>0.10679999999999999</v>
      </c>
      <c r="CJ191" s="364"/>
      <c r="CK191" s="357"/>
      <c r="CL191" s="9"/>
      <c r="CM191" s="362"/>
      <c r="CN191" s="363"/>
      <c r="CO191" s="363"/>
      <c r="CP191" s="364"/>
      <c r="CQ191" s="357"/>
      <c r="CR191" s="9"/>
      <c r="CS191" s="362"/>
      <c r="CT191" s="363"/>
      <c r="CU191" s="363"/>
      <c r="CV191" s="364"/>
      <c r="CW191" s="357"/>
      <c r="CX191" s="9"/>
      <c r="CY191" s="362"/>
      <c r="CZ191" s="363"/>
      <c r="DA191" s="363"/>
      <c r="DB191" s="364"/>
      <c r="DC191" s="357"/>
      <c r="DD191" s="9"/>
      <c r="DE191" s="362"/>
      <c r="DF191" s="363"/>
      <c r="DG191" s="363"/>
      <c r="DH191" s="364"/>
      <c r="DI191" s="357"/>
    </row>
    <row r="192" spans="1:113" s="355" customFormat="1" ht="11.25" customHeight="1">
      <c r="A192" s="1618" t="s">
        <v>357</v>
      </c>
      <c r="B192" s="9"/>
      <c r="C192" s="723"/>
      <c r="D192" s="9"/>
      <c r="E192" s="723"/>
      <c r="F192" s="9"/>
      <c r="G192" s="723"/>
      <c r="H192" s="9"/>
      <c r="I192" s="723"/>
      <c r="J192" s="9"/>
      <c r="K192" s="723"/>
      <c r="L192" s="9"/>
      <c r="M192" s="723"/>
      <c r="N192" s="9"/>
      <c r="O192" s="723"/>
      <c r="P192" s="9"/>
      <c r="Q192" s="723"/>
      <c r="R192" s="9"/>
      <c r="S192" s="362"/>
      <c r="T192" s="363"/>
      <c r="U192" s="363"/>
      <c r="V192" s="363"/>
      <c r="W192" s="723"/>
      <c r="X192" s="9"/>
      <c r="Y192" s="362"/>
      <c r="Z192" s="363"/>
      <c r="AA192" s="363"/>
      <c r="AB192" s="363"/>
      <c r="AC192" s="723"/>
      <c r="AD192" s="9"/>
      <c r="AE192" s="362"/>
      <c r="AF192" s="363"/>
      <c r="AG192" s="363"/>
      <c r="AH192" s="364"/>
      <c r="AI192" s="714"/>
      <c r="AJ192" s="9"/>
      <c r="AK192" s="758"/>
      <c r="AL192" s="624"/>
      <c r="AM192" s="624"/>
      <c r="AN192" s="624"/>
      <c r="AO192" s="401"/>
      <c r="AP192" s="9"/>
      <c r="AQ192" s="758"/>
      <c r="AR192" s="624"/>
      <c r="AS192" s="624"/>
      <c r="AT192" s="624"/>
      <c r="AU192" s="401"/>
      <c r="AV192" s="9"/>
      <c r="AW192" s="1193" t="s">
        <v>26</v>
      </c>
      <c r="AX192" s="1271" t="s">
        <v>26</v>
      </c>
      <c r="AY192" s="1278" t="s">
        <v>26</v>
      </c>
      <c r="AZ192" s="1278" t="s">
        <v>26</v>
      </c>
      <c r="BA192" s="436"/>
      <c r="BC192" s="1273" t="s">
        <v>26</v>
      </c>
      <c r="BD192" s="1271" t="s">
        <v>26</v>
      </c>
      <c r="BE192" s="1280" t="s">
        <v>26</v>
      </c>
      <c r="BF192" s="1280" t="s">
        <v>26</v>
      </c>
      <c r="BG192" s="1275"/>
      <c r="BH192" s="69"/>
      <c r="BI192" s="1276"/>
      <c r="BJ192" s="1274"/>
      <c r="BK192" s="1344"/>
      <c r="BL192" s="1241"/>
      <c r="BM192" s="1657"/>
      <c r="BN192" s="9"/>
      <c r="BO192" s="1643"/>
      <c r="BP192" s="1646"/>
      <c r="BQ192" s="1646"/>
      <c r="BR192" s="1650"/>
      <c r="BS192" s="1654"/>
      <c r="BT192" s="1653"/>
      <c r="BU192" s="1643"/>
      <c r="BV192" s="1690"/>
      <c r="BW192" s="1690"/>
      <c r="BX192" s="1650"/>
      <c r="BY192" s="1654"/>
      <c r="BZ192" s="9"/>
      <c r="CA192" s="1643"/>
      <c r="CB192" s="363"/>
      <c r="CC192" s="363"/>
      <c r="CD192" s="364"/>
      <c r="CE192" s="357"/>
      <c r="CF192" s="9"/>
      <c r="CG192" s="362"/>
      <c r="CH192" s="363"/>
      <c r="CI192" s="363"/>
      <c r="CJ192" s="364"/>
      <c r="CK192" s="357"/>
      <c r="CL192" s="9"/>
      <c r="CM192" s="362"/>
      <c r="CN192" s="363"/>
      <c r="CO192" s="363"/>
      <c r="CP192" s="364"/>
      <c r="CQ192" s="357"/>
      <c r="CR192" s="9"/>
      <c r="CS192" s="362"/>
      <c r="CT192" s="363"/>
      <c r="CU192" s="363"/>
      <c r="CV192" s="364"/>
      <c r="CW192" s="357"/>
      <c r="CX192" s="9"/>
      <c r="CY192" s="362"/>
      <c r="CZ192" s="363"/>
      <c r="DA192" s="363"/>
      <c r="DB192" s="364"/>
      <c r="DC192" s="357"/>
      <c r="DD192" s="9"/>
      <c r="DE192" s="362"/>
      <c r="DF192" s="363"/>
      <c r="DG192" s="363"/>
      <c r="DH192" s="364"/>
      <c r="DI192" s="357"/>
    </row>
    <row r="193" spans="1:141" s="355" customFormat="1" ht="11.25" customHeight="1">
      <c r="A193" s="1621" t="s">
        <v>403</v>
      </c>
      <c r="B193" s="9"/>
      <c r="C193" s="723"/>
      <c r="D193" s="9"/>
      <c r="E193" s="723"/>
      <c r="F193" s="9"/>
      <c r="G193" s="723"/>
      <c r="H193" s="9"/>
      <c r="I193" s="723"/>
      <c r="J193" s="9"/>
      <c r="K193" s="723"/>
      <c r="L193" s="9"/>
      <c r="M193" s="723"/>
      <c r="N193" s="9"/>
      <c r="O193" s="723"/>
      <c r="P193" s="9"/>
      <c r="Q193" s="723"/>
      <c r="R193" s="9"/>
      <c r="S193" s="362"/>
      <c r="T193" s="363"/>
      <c r="U193" s="363"/>
      <c r="V193" s="363"/>
      <c r="W193" s="723"/>
      <c r="X193" s="9"/>
      <c r="Y193" s="362"/>
      <c r="Z193" s="363"/>
      <c r="AA193" s="363"/>
      <c r="AB193" s="363"/>
      <c r="AC193" s="723"/>
      <c r="AD193" s="9"/>
      <c r="AE193" s="362"/>
      <c r="AF193" s="363"/>
      <c r="AG193" s="363"/>
      <c r="AH193" s="364"/>
      <c r="AI193" s="714"/>
      <c r="AJ193" s="9"/>
      <c r="AK193" s="758"/>
      <c r="AL193" s="624"/>
      <c r="AM193" s="624"/>
      <c r="AN193" s="624"/>
      <c r="AO193" s="401"/>
      <c r="AP193" s="9"/>
      <c r="AQ193" s="758"/>
      <c r="AR193" s="624"/>
      <c r="AS193" s="624"/>
      <c r="AT193" s="624"/>
      <c r="AU193" s="401">
        <f>AU185/AO185-1</f>
        <v>0.22486943634139456</v>
      </c>
      <c r="AV193" s="9"/>
      <c r="AW193" s="1193" t="s">
        <v>26</v>
      </c>
      <c r="AX193" s="1271" t="s">
        <v>26</v>
      </c>
      <c r="AY193" s="1278" t="s">
        <v>26</v>
      </c>
      <c r="AZ193" s="1278" t="s">
        <v>26</v>
      </c>
      <c r="BA193" s="436">
        <f>BA185/AU185-1</f>
        <v>0.11930838779067243</v>
      </c>
      <c r="BC193" s="1273" t="s">
        <v>26</v>
      </c>
      <c r="BD193" s="1271" t="s">
        <v>26</v>
      </c>
      <c r="BE193" s="1280" t="s">
        <v>26</v>
      </c>
      <c r="BF193" s="1274">
        <v>7.0000000000000007E-2</v>
      </c>
      <c r="BG193" s="1275">
        <f>BG185/BA185-1</f>
        <v>7.2067434528022556E-2</v>
      </c>
      <c r="BH193" s="69"/>
      <c r="BI193" s="1276">
        <v>-0.03</v>
      </c>
      <c r="BJ193" s="1274">
        <v>6.5000000000000002E-2</v>
      </c>
      <c r="BK193" s="1344">
        <v>0.11</v>
      </c>
      <c r="BL193" s="1347">
        <v>0.05</v>
      </c>
      <c r="BM193" s="1657">
        <v>0.05</v>
      </c>
      <c r="BN193" s="9"/>
      <c r="BO193" s="1643">
        <v>0.115</v>
      </c>
      <c r="BP193" s="1646">
        <v>-0.05</v>
      </c>
      <c r="BQ193" s="1646">
        <v>-0.05</v>
      </c>
      <c r="BR193" s="1651">
        <v>-0.1</v>
      </c>
      <c r="BS193" s="1887">
        <v>-4.8000000000000001E-2</v>
      </c>
      <c r="BT193" s="1653"/>
      <c r="BU193" s="1643">
        <v>2.5000000000000001E-2</v>
      </c>
      <c r="BV193" s="1690">
        <f>BV38</f>
        <v>6.0000000000000001E-3</v>
      </c>
      <c r="BW193" s="1690">
        <f>BW38</f>
        <v>0.22652922257661515</v>
      </c>
      <c r="BX193" s="1889">
        <f>BX38</f>
        <v>4.4910284823135492E-2</v>
      </c>
      <c r="BY193" s="1890">
        <f>BY38</f>
        <v>7.3999999999999996E-2</v>
      </c>
      <c r="BZ193" s="9"/>
      <c r="CA193" s="1910">
        <f>CA38</f>
        <v>7.0000000000000007E-2</v>
      </c>
      <c r="CB193" s="1690">
        <f>CB38</f>
        <v>-0.1</v>
      </c>
      <c r="CC193" s="1690">
        <f>CC38</f>
        <v>-7.6499999999999999E-2</v>
      </c>
      <c r="CD193" s="1889">
        <f t="shared" ref="CD193:CE193" si="126">CD38</f>
        <v>-8.0000000000000002E-3</v>
      </c>
      <c r="CE193" s="1890">
        <f t="shared" si="126"/>
        <v>-3.0735780513485866E-2</v>
      </c>
      <c r="CF193" s="9"/>
      <c r="CG193" s="1910">
        <f t="shared" ref="CG193:CH193" si="127">CG38</f>
        <v>-8.5000000000000006E-2</v>
      </c>
      <c r="CH193" s="1690">
        <f t="shared" si="127"/>
        <v>0.13</v>
      </c>
      <c r="CI193" s="1690">
        <f t="shared" ref="CI193" si="128">CI38</f>
        <v>0.06</v>
      </c>
      <c r="CJ193" s="364"/>
      <c r="CK193" s="357"/>
      <c r="CL193" s="9"/>
      <c r="CM193" s="362"/>
      <c r="CN193" s="363"/>
      <c r="CO193" s="363"/>
      <c r="CP193" s="364"/>
      <c r="CQ193" s="357"/>
      <c r="CR193" s="9"/>
      <c r="CS193" s="362"/>
      <c r="CT193" s="363"/>
      <c r="CU193" s="363"/>
      <c r="CV193" s="364"/>
      <c r="CW193" s="357"/>
      <c r="CX193" s="9"/>
      <c r="CY193" s="362"/>
      <c r="CZ193" s="363"/>
      <c r="DA193" s="363"/>
      <c r="DB193" s="364"/>
      <c r="DC193" s="357"/>
      <c r="DD193" s="9"/>
      <c r="DE193" s="362"/>
      <c r="DF193" s="363"/>
      <c r="DG193" s="363"/>
      <c r="DH193" s="364"/>
      <c r="DI193" s="357"/>
    </row>
    <row r="194" spans="1:141" s="355" customFormat="1" ht="11.25" customHeight="1">
      <c r="A194" s="1618" t="s">
        <v>360</v>
      </c>
      <c r="B194" s="9"/>
      <c r="C194" s="723"/>
      <c r="D194" s="9"/>
      <c r="E194" s="723"/>
      <c r="F194" s="9"/>
      <c r="G194" s="723"/>
      <c r="H194" s="9"/>
      <c r="I194" s="723"/>
      <c r="J194" s="9"/>
      <c r="K194" s="723"/>
      <c r="L194" s="9"/>
      <c r="M194" s="723"/>
      <c r="N194" s="9"/>
      <c r="O194" s="723"/>
      <c r="P194" s="9"/>
      <c r="Q194" s="723"/>
      <c r="R194" s="9"/>
      <c r="S194" s="362"/>
      <c r="T194" s="363"/>
      <c r="U194" s="363"/>
      <c r="V194" s="363"/>
      <c r="W194" s="723"/>
      <c r="X194" s="9"/>
      <c r="Y194" s="362"/>
      <c r="Z194" s="363"/>
      <c r="AA194" s="363"/>
      <c r="AB194" s="363"/>
      <c r="AC194" s="723"/>
      <c r="AD194" s="9"/>
      <c r="AE194" s="362"/>
      <c r="AF194" s="363"/>
      <c r="AG194" s="363"/>
      <c r="AH194" s="364"/>
      <c r="AI194" s="714"/>
      <c r="AJ194" s="9"/>
      <c r="AK194" s="758"/>
      <c r="AL194" s="624"/>
      <c r="AM194" s="624"/>
      <c r="AN194" s="624"/>
      <c r="AO194" s="401"/>
      <c r="AP194" s="9"/>
      <c r="AQ194" s="758"/>
      <c r="AR194" s="624"/>
      <c r="AS194" s="624"/>
      <c r="AT194" s="624"/>
      <c r="AU194" s="401"/>
      <c r="AV194" s="9"/>
      <c r="AW194" s="1277">
        <v>-0.02</v>
      </c>
      <c r="AX194" s="1271" t="s">
        <v>26</v>
      </c>
      <c r="AY194" s="1281">
        <v>-0.03</v>
      </c>
      <c r="AZ194" s="1281">
        <v>-0.03</v>
      </c>
      <c r="BA194" s="436"/>
      <c r="BC194" s="1282" t="s">
        <v>26</v>
      </c>
      <c r="BD194" s="1283">
        <v>0.05</v>
      </c>
      <c r="BE194" s="1283">
        <v>0.01</v>
      </c>
      <c r="BF194" s="1274">
        <v>-0.04</v>
      </c>
      <c r="BG194" s="1275"/>
      <c r="BH194" s="69"/>
      <c r="BI194" s="1276">
        <v>0.02</v>
      </c>
      <c r="BJ194" s="1274">
        <v>0.06</v>
      </c>
      <c r="BK194" s="1344">
        <v>0.11</v>
      </c>
      <c r="BL194" s="1348">
        <f>AVERAGE(BI194:BK194)</f>
        <v>6.3333333333333339E-2</v>
      </c>
      <c r="BM194" s="1657"/>
      <c r="BN194" s="9"/>
      <c r="BO194" s="1643">
        <f>BI194</f>
        <v>0.02</v>
      </c>
      <c r="BP194" s="1646">
        <v>-7.0000000000000007E-2</v>
      </c>
      <c r="BQ194" s="1646">
        <v>-0.05</v>
      </c>
      <c r="BR194" s="1651">
        <v>-0.2</v>
      </c>
      <c r="BS194" s="1887">
        <v>-0.12</v>
      </c>
      <c r="BT194" s="1653"/>
      <c r="BU194" s="1645" t="s">
        <v>325</v>
      </c>
      <c r="BV194" s="1647" t="s">
        <v>325</v>
      </c>
      <c r="BW194" s="1647" t="s">
        <v>325</v>
      </c>
      <c r="BX194" s="1651" t="s">
        <v>325</v>
      </c>
      <c r="BY194" s="1891" t="s">
        <v>325</v>
      </c>
      <c r="BZ194" s="9"/>
      <c r="CA194" s="1645" t="s">
        <v>325</v>
      </c>
      <c r="CB194" s="1647" t="s">
        <v>325</v>
      </c>
      <c r="CC194" s="1647" t="s">
        <v>325</v>
      </c>
      <c r="CD194" s="1647" t="s">
        <v>325</v>
      </c>
      <c r="CE194" s="1891" t="s">
        <v>325</v>
      </c>
      <c r="CF194" s="9"/>
      <c r="CG194" s="1645" t="s">
        <v>325</v>
      </c>
      <c r="CH194" s="1929" t="s">
        <v>325</v>
      </c>
      <c r="CI194" s="1929" t="s">
        <v>325</v>
      </c>
      <c r="CJ194" s="364"/>
      <c r="CK194" s="357"/>
      <c r="CL194" s="9"/>
      <c r="CM194" s="362"/>
      <c r="CN194" s="363"/>
      <c r="CO194" s="363"/>
      <c r="CP194" s="364"/>
      <c r="CQ194" s="357"/>
      <c r="CR194" s="9"/>
      <c r="CS194" s="362"/>
      <c r="CT194" s="363"/>
      <c r="CU194" s="363"/>
      <c r="CV194" s="364"/>
      <c r="CW194" s="357"/>
      <c r="CX194" s="9"/>
      <c r="CY194" s="362"/>
      <c r="CZ194" s="363"/>
      <c r="DA194" s="363"/>
      <c r="DB194" s="364"/>
      <c r="DC194" s="357"/>
      <c r="DD194" s="9"/>
      <c r="DE194" s="362"/>
      <c r="DF194" s="363"/>
      <c r="DG194" s="363"/>
      <c r="DH194" s="364"/>
      <c r="DI194" s="357"/>
    </row>
    <row r="195" spans="1:141" s="355" customFormat="1" ht="11.25" customHeight="1">
      <c r="A195" s="1618" t="s">
        <v>355</v>
      </c>
      <c r="B195" s="9"/>
      <c r="C195" s="723"/>
      <c r="D195" s="9"/>
      <c r="E195" s="723"/>
      <c r="F195" s="9"/>
      <c r="G195" s="723"/>
      <c r="H195" s="9"/>
      <c r="I195" s="723"/>
      <c r="J195" s="9"/>
      <c r="K195" s="723"/>
      <c r="L195" s="9"/>
      <c r="M195" s="723"/>
      <c r="N195" s="9"/>
      <c r="O195" s="723"/>
      <c r="P195" s="9"/>
      <c r="Q195" s="723"/>
      <c r="R195" s="9"/>
      <c r="S195" s="362"/>
      <c r="T195" s="363"/>
      <c r="U195" s="363"/>
      <c r="V195" s="363"/>
      <c r="W195" s="723"/>
      <c r="X195" s="9"/>
      <c r="Y195" s="362"/>
      <c r="Z195" s="363"/>
      <c r="AA195" s="363"/>
      <c r="AB195" s="363"/>
      <c r="AC195" s="723"/>
      <c r="AD195" s="9"/>
      <c r="AE195" s="362"/>
      <c r="AF195" s="363"/>
      <c r="AG195" s="363"/>
      <c r="AH195" s="364"/>
      <c r="AI195" s="785">
        <v>0.15</v>
      </c>
      <c r="AJ195" s="9"/>
      <c r="AK195" s="758"/>
      <c r="AL195" s="624"/>
      <c r="AM195" s="624"/>
      <c r="AN195" s="624"/>
      <c r="AO195" s="401"/>
      <c r="AP195" s="9"/>
      <c r="AQ195" s="758"/>
      <c r="AR195" s="624"/>
      <c r="AS195" s="624"/>
      <c r="AT195" s="624"/>
      <c r="AU195" s="714">
        <f>AU187/AO187-1</f>
        <v>0.20771440221896631</v>
      </c>
      <c r="AV195" s="736"/>
      <c r="AW195" s="1193" t="s">
        <v>26</v>
      </c>
      <c r="AX195" s="1280" t="s">
        <v>26</v>
      </c>
      <c r="AY195" s="1278" t="s">
        <v>26</v>
      </c>
      <c r="AZ195" s="1278" t="s">
        <v>26</v>
      </c>
      <c r="BA195" s="1284">
        <f>BA187/AU187-1</f>
        <v>0.21088816497354546</v>
      </c>
      <c r="BC195" s="1282" t="s">
        <v>26</v>
      </c>
      <c r="BD195" s="1280" t="s">
        <v>26</v>
      </c>
      <c r="BE195" s="1280" t="s">
        <v>26</v>
      </c>
      <c r="BF195" s="1274">
        <v>0.05</v>
      </c>
      <c r="BG195" s="1275">
        <f>BG187/BA187-1</f>
        <v>0.12311826474364262</v>
      </c>
      <c r="BH195" s="69"/>
      <c r="BI195" s="1276">
        <v>-0.03</v>
      </c>
      <c r="BJ195" s="1274">
        <v>7.0000000000000007E-2</v>
      </c>
      <c r="BK195" s="1344">
        <v>0.03</v>
      </c>
      <c r="BL195" s="1347">
        <v>0.05</v>
      </c>
      <c r="BM195" s="1657">
        <v>0.05</v>
      </c>
      <c r="BN195" s="9"/>
      <c r="BO195" s="1643">
        <f>BJ195</f>
        <v>7.0000000000000007E-2</v>
      </c>
      <c r="BP195" s="1646">
        <f>BI195</f>
        <v>-0.03</v>
      </c>
      <c r="BQ195" s="1646">
        <v>0.01</v>
      </c>
      <c r="BR195" s="1651">
        <v>0.01</v>
      </c>
      <c r="BS195" s="1887">
        <v>0.02</v>
      </c>
      <c r="BT195" s="1653"/>
      <c r="BU195" s="1643">
        <v>0.02</v>
      </c>
      <c r="BV195" s="1646">
        <v>0.03</v>
      </c>
      <c r="BW195" s="1646">
        <v>0.23</v>
      </c>
      <c r="BX195" s="1892">
        <v>0.1</v>
      </c>
      <c r="BY195" s="1893">
        <v>0.1</v>
      </c>
      <c r="BZ195" s="9"/>
      <c r="CA195" s="1643">
        <v>0.08</v>
      </c>
      <c r="CB195" s="2010">
        <v>-0.12</v>
      </c>
      <c r="CC195" s="2010">
        <v>-0.1</v>
      </c>
      <c r="CD195" s="2017">
        <v>-0.08</v>
      </c>
      <c r="CE195" s="2018">
        <v>-0.06</v>
      </c>
      <c r="CF195" s="9"/>
      <c r="CG195" s="1643">
        <v>-0.05</v>
      </c>
      <c r="CH195" s="2218">
        <v>0.05</v>
      </c>
      <c r="CI195" s="2218">
        <v>6.5000000000000002E-2</v>
      </c>
      <c r="CJ195" s="364"/>
      <c r="CK195" s="357"/>
      <c r="CL195" s="9"/>
      <c r="CM195" s="362"/>
      <c r="CN195" s="363"/>
      <c r="CO195" s="363"/>
      <c r="CP195" s="364"/>
      <c r="CQ195" s="357"/>
      <c r="CR195" s="9"/>
      <c r="CS195" s="362"/>
      <c r="CT195" s="363"/>
      <c r="CU195" s="363"/>
      <c r="CV195" s="364"/>
      <c r="CW195" s="357"/>
      <c r="CX195" s="9"/>
      <c r="CY195" s="362"/>
      <c r="CZ195" s="363"/>
      <c r="DA195" s="363"/>
      <c r="DB195" s="364"/>
      <c r="DC195" s="357"/>
      <c r="DD195" s="9"/>
      <c r="DE195" s="362"/>
      <c r="DF195" s="363"/>
      <c r="DG195" s="363"/>
      <c r="DH195" s="364"/>
      <c r="DI195" s="357"/>
    </row>
    <row r="196" spans="1:141" s="355" customFormat="1" ht="11.25" customHeight="1">
      <c r="A196" s="1622" t="s">
        <v>356</v>
      </c>
      <c r="B196" s="366"/>
      <c r="C196" s="878"/>
      <c r="D196" s="366"/>
      <c r="E196" s="878"/>
      <c r="F196" s="366"/>
      <c r="G196" s="878"/>
      <c r="H196" s="366"/>
      <c r="I196" s="878"/>
      <c r="J196" s="366"/>
      <c r="K196" s="878"/>
      <c r="L196" s="366"/>
      <c r="M196" s="878"/>
      <c r="N196" s="366"/>
      <c r="O196" s="878"/>
      <c r="P196" s="366"/>
      <c r="Q196" s="878"/>
      <c r="R196" s="366"/>
      <c r="S196" s="365"/>
      <c r="T196" s="366"/>
      <c r="U196" s="366"/>
      <c r="V196" s="366"/>
      <c r="W196" s="878"/>
      <c r="X196" s="366"/>
      <c r="Y196" s="365"/>
      <c r="Z196" s="366"/>
      <c r="AA196" s="366"/>
      <c r="AB196" s="366"/>
      <c r="AC196" s="878"/>
      <c r="AD196" s="366"/>
      <c r="AE196" s="365"/>
      <c r="AF196" s="366"/>
      <c r="AG196" s="366"/>
      <c r="AH196" s="544"/>
      <c r="AI196" s="1144">
        <v>0.15</v>
      </c>
      <c r="AJ196" s="366"/>
      <c r="AK196" s="876"/>
      <c r="AL196" s="713"/>
      <c r="AM196" s="713"/>
      <c r="AN196" s="713"/>
      <c r="AO196" s="403"/>
      <c r="AP196" s="366"/>
      <c r="AQ196" s="876"/>
      <c r="AR196" s="713"/>
      <c r="AS196" s="713"/>
      <c r="AT196" s="713"/>
      <c r="AU196" s="715">
        <f>AU188/AO188-1</f>
        <v>0.25761995602966703</v>
      </c>
      <c r="AV196" s="778"/>
      <c r="AW196" s="1285" t="s">
        <v>26</v>
      </c>
      <c r="AX196" s="1286" t="s">
        <v>26</v>
      </c>
      <c r="AY196" s="1287" t="s">
        <v>26</v>
      </c>
      <c r="AZ196" s="1287" t="s">
        <v>26</v>
      </c>
      <c r="BA196" s="1288">
        <f>BA188/AU188-1</f>
        <v>-4.8587870377928333E-2</v>
      </c>
      <c r="BB196" s="426"/>
      <c r="BC196" s="1289" t="s">
        <v>26</v>
      </c>
      <c r="BD196" s="1290">
        <v>-0.02</v>
      </c>
      <c r="BE196" s="1286" t="s">
        <v>26</v>
      </c>
      <c r="BF196" s="1291">
        <v>0.04</v>
      </c>
      <c r="BG196" s="1292">
        <f>BG188/BA188-1</f>
        <v>-4.7051169308424456E-2</v>
      </c>
      <c r="BH196" s="1293"/>
      <c r="BI196" s="1294">
        <v>-0.02</v>
      </c>
      <c r="BJ196" s="1291">
        <v>0.05</v>
      </c>
      <c r="BK196" s="1291">
        <v>0.1</v>
      </c>
      <c r="BL196" s="1349">
        <v>7.0000000000000007E-2</v>
      </c>
      <c r="BM196" s="1658">
        <v>0.06</v>
      </c>
      <c r="BN196" s="366"/>
      <c r="BO196" s="1648">
        <v>0.12</v>
      </c>
      <c r="BP196" s="1649">
        <v>0.03</v>
      </c>
      <c r="BQ196" s="1649">
        <v>0.03</v>
      </c>
      <c r="BR196" s="1652">
        <v>0.05</v>
      </c>
      <c r="BS196" s="1655">
        <v>7.0000000000000007E-2</v>
      </c>
      <c r="BT196" s="1656"/>
      <c r="BU196" s="1648">
        <v>0.03</v>
      </c>
      <c r="BV196" s="1649">
        <v>0.02</v>
      </c>
      <c r="BW196" s="1649">
        <v>0.1</v>
      </c>
      <c r="BX196" s="1894">
        <v>0.02</v>
      </c>
      <c r="BY196" s="1895">
        <v>0.04</v>
      </c>
      <c r="BZ196" s="366"/>
      <c r="CA196" s="1648">
        <v>0.06</v>
      </c>
      <c r="CB196" s="2011">
        <v>0.05</v>
      </c>
      <c r="CC196" s="2011">
        <v>0.05</v>
      </c>
      <c r="CD196" s="2019">
        <v>0.05</v>
      </c>
      <c r="CE196" s="2020">
        <v>-0.05</v>
      </c>
      <c r="CF196" s="366"/>
      <c r="CG196" s="1648">
        <v>0.02</v>
      </c>
      <c r="CH196" s="2219">
        <v>0.05</v>
      </c>
      <c r="CI196" s="2219">
        <v>0.05</v>
      </c>
      <c r="CJ196" s="544"/>
      <c r="CK196" s="358"/>
      <c r="CL196" s="366"/>
      <c r="CM196" s="365"/>
      <c r="CN196" s="366"/>
      <c r="CO196" s="366"/>
      <c r="CP196" s="544"/>
      <c r="CQ196" s="358"/>
      <c r="CR196" s="366"/>
      <c r="CS196" s="365"/>
      <c r="CT196" s="366"/>
      <c r="CU196" s="366"/>
      <c r="CV196" s="544"/>
      <c r="CW196" s="358"/>
      <c r="CX196" s="366"/>
      <c r="CY196" s="365"/>
      <c r="CZ196" s="366"/>
      <c r="DA196" s="366"/>
      <c r="DB196" s="544"/>
      <c r="DC196" s="358"/>
      <c r="DD196" s="366"/>
      <c r="DE196" s="365"/>
      <c r="DF196" s="366"/>
      <c r="DG196" s="366"/>
      <c r="DH196" s="544"/>
      <c r="DI196" s="358"/>
    </row>
    <row r="197" spans="1:141" s="355" customFormat="1" ht="11.25" customHeight="1">
      <c r="A197" s="754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624"/>
      <c r="AD197" s="9"/>
      <c r="AE197" s="9"/>
      <c r="AF197" s="9"/>
      <c r="AG197" s="9"/>
      <c r="AH197" s="9"/>
      <c r="AI197" s="624"/>
      <c r="AJ197" s="9"/>
      <c r="AK197" s="624"/>
      <c r="AL197" s="624"/>
      <c r="AM197" s="624"/>
      <c r="AN197" s="624"/>
      <c r="AO197" s="624"/>
      <c r="AP197" s="9"/>
      <c r="AQ197" s="624"/>
      <c r="AR197" s="624"/>
      <c r="AS197" s="624"/>
      <c r="AT197" s="624"/>
      <c r="AU197" s="624"/>
      <c r="AV197" s="9"/>
      <c r="AW197" s="624"/>
      <c r="AX197" s="624"/>
      <c r="AY197" s="624"/>
      <c r="AZ197" s="624"/>
      <c r="BA197" s="624"/>
      <c r="BB197" s="9"/>
      <c r="BC197" s="624"/>
      <c r="BD197" s="624"/>
      <c r="BE197" s="9"/>
      <c r="BF197" s="9"/>
      <c r="BG197" s="9"/>
      <c r="BH197" s="9"/>
      <c r="BI197" s="9"/>
      <c r="BJ197" s="9"/>
      <c r="BK197" s="9"/>
      <c r="BL197" s="9"/>
      <c r="BM197" s="9"/>
      <c r="BN197" s="9"/>
      <c r="BO197" s="9"/>
      <c r="BP197" s="9"/>
      <c r="BQ197" s="9"/>
      <c r="BR197" s="9"/>
      <c r="BS197" s="9"/>
      <c r="BT197" s="9"/>
      <c r="BU197" s="9"/>
      <c r="BV197" s="9"/>
      <c r="BW197" s="9"/>
      <c r="BX197" s="9"/>
      <c r="BY197" s="9"/>
      <c r="BZ197" s="9"/>
      <c r="CA197" s="9"/>
      <c r="CB197" s="9"/>
      <c r="CC197" s="9"/>
      <c r="CD197" s="9"/>
      <c r="CE197" s="9"/>
      <c r="CF197" s="9"/>
      <c r="CG197" s="9"/>
      <c r="CH197" s="9"/>
      <c r="CI197" s="9"/>
      <c r="CJ197" s="9"/>
      <c r="CK197" s="9"/>
      <c r="CL197" s="9"/>
      <c r="CM197" s="9"/>
      <c r="CN197" s="9"/>
      <c r="CO197" s="9"/>
      <c r="CP197" s="9"/>
      <c r="CQ197" s="9"/>
      <c r="CR197" s="9"/>
      <c r="CS197" s="9"/>
      <c r="CT197" s="9"/>
      <c r="CU197" s="9"/>
      <c r="CV197" s="9"/>
      <c r="CW197" s="9"/>
      <c r="CX197" s="9"/>
      <c r="CY197" s="9"/>
      <c r="CZ197" s="9"/>
      <c r="DA197" s="9"/>
      <c r="DB197" s="9"/>
      <c r="DC197" s="9"/>
      <c r="DD197" s="9"/>
      <c r="DE197" s="9"/>
      <c r="DF197" s="9"/>
      <c r="DG197" s="9"/>
      <c r="DH197" s="9"/>
      <c r="DI197" s="9"/>
    </row>
    <row r="198" spans="1:141" s="355" customFormat="1" ht="11.25" customHeight="1">
      <c r="A198" s="527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624"/>
      <c r="AD198" s="9"/>
      <c r="AE198" s="9"/>
      <c r="AF198" s="9"/>
      <c r="AG198" s="9"/>
      <c r="AH198" s="9"/>
      <c r="AI198" s="624"/>
      <c r="AJ198" s="9"/>
      <c r="AK198" s="624"/>
      <c r="AL198" s="624"/>
      <c r="AM198" s="624"/>
      <c r="AN198" s="624"/>
      <c r="AO198" s="624"/>
      <c r="AP198" s="9"/>
      <c r="AQ198" s="624"/>
      <c r="AR198" s="624"/>
      <c r="AS198" s="624"/>
      <c r="AT198" s="624"/>
      <c r="AU198" s="624"/>
      <c r="AV198" s="9"/>
      <c r="AW198" s="624"/>
      <c r="AX198" s="624"/>
      <c r="AY198" s="624"/>
      <c r="AZ198" s="624"/>
      <c r="BA198" s="624"/>
      <c r="BB198" s="9"/>
      <c r="BC198" s="624"/>
      <c r="BD198" s="624"/>
      <c r="BE198" s="9"/>
      <c r="BF198" s="9"/>
      <c r="BG198" s="9"/>
      <c r="BH198" s="9"/>
      <c r="BI198" s="9"/>
      <c r="BJ198" s="9"/>
      <c r="BK198" s="9"/>
      <c r="BL198" s="9"/>
      <c r="BM198" s="9"/>
      <c r="BN198" s="9"/>
      <c r="BO198" s="9"/>
      <c r="BP198" s="9"/>
      <c r="BQ198" s="9"/>
      <c r="BR198" s="9"/>
      <c r="BS198" s="9"/>
      <c r="BT198" s="9"/>
      <c r="BU198" s="9"/>
      <c r="BV198" s="9"/>
      <c r="BW198" s="9"/>
      <c r="BX198" s="9"/>
      <c r="BY198" s="9"/>
      <c r="BZ198" s="9"/>
      <c r="CA198" s="9"/>
      <c r="CB198" s="9"/>
      <c r="CC198" s="9"/>
      <c r="CD198" s="9"/>
      <c r="CE198" s="9"/>
      <c r="CF198" s="9"/>
      <c r="CG198" s="9"/>
      <c r="CH198" s="9"/>
      <c r="CI198" s="9"/>
      <c r="CJ198" s="9"/>
      <c r="CK198" s="9"/>
      <c r="CL198" s="9"/>
      <c r="CM198" s="9"/>
      <c r="CN198" s="9"/>
      <c r="CO198" s="9"/>
      <c r="CP198" s="9"/>
      <c r="CQ198" s="9"/>
      <c r="CR198" s="9"/>
      <c r="CS198" s="9"/>
      <c r="CT198" s="9"/>
      <c r="CU198" s="9"/>
      <c r="CV198" s="9"/>
      <c r="CW198" s="9"/>
      <c r="CX198" s="9"/>
      <c r="CY198" s="9"/>
      <c r="CZ198" s="9"/>
      <c r="DA198" s="9"/>
      <c r="DB198" s="9"/>
      <c r="DC198" s="9"/>
      <c r="DD198" s="9"/>
      <c r="DE198" s="9"/>
      <c r="DF198" s="9"/>
      <c r="DG198" s="9"/>
      <c r="DH198" s="9"/>
      <c r="DI198" s="9"/>
    </row>
    <row r="199" spans="1:141" s="355" customFormat="1" ht="11.25" customHeight="1">
      <c r="A199" s="73" t="s">
        <v>377</v>
      </c>
      <c r="B199" s="74"/>
      <c r="C199" s="75"/>
      <c r="D199" s="74"/>
      <c r="E199" s="75"/>
      <c r="F199" s="74"/>
      <c r="G199" s="75"/>
      <c r="H199" s="74"/>
      <c r="I199" s="75"/>
      <c r="J199" s="74"/>
      <c r="K199" s="75"/>
      <c r="L199" s="74"/>
      <c r="M199" s="75"/>
      <c r="N199" s="74"/>
      <c r="O199" s="75"/>
      <c r="P199" s="74"/>
      <c r="Q199" s="75"/>
      <c r="R199" s="74"/>
      <c r="S199" s="74"/>
      <c r="T199" s="74"/>
      <c r="U199" s="74"/>
      <c r="V199" s="74"/>
      <c r="W199" s="74"/>
      <c r="X199" s="74"/>
      <c r="Y199" s="74"/>
      <c r="Z199" s="74"/>
      <c r="AA199" s="74"/>
      <c r="AB199" s="74"/>
      <c r="AC199" s="74"/>
      <c r="AD199" s="74"/>
      <c r="AE199" s="74"/>
      <c r="AF199" s="74"/>
      <c r="AG199" s="74"/>
      <c r="AH199" s="74"/>
      <c r="AI199" s="74"/>
      <c r="AJ199" s="74"/>
      <c r="AK199" s="74"/>
      <c r="AL199" s="74"/>
      <c r="AM199" s="74"/>
      <c r="AN199" s="74"/>
      <c r="AO199" s="74"/>
      <c r="AP199" s="74"/>
      <c r="AQ199" s="74"/>
      <c r="AR199" s="74"/>
      <c r="AS199" s="74"/>
      <c r="AT199" s="74"/>
      <c r="AU199" s="74"/>
      <c r="AV199" s="74"/>
      <c r="AW199" s="74"/>
      <c r="AX199" s="74"/>
      <c r="AY199" s="74"/>
      <c r="AZ199" s="74"/>
      <c r="BA199" s="74"/>
      <c r="BB199" s="74"/>
      <c r="BC199" s="74"/>
      <c r="BD199" s="74"/>
      <c r="BE199" s="74"/>
      <c r="BF199" s="74"/>
      <c r="BG199" s="74"/>
      <c r="BH199" s="74"/>
      <c r="BI199" s="74"/>
      <c r="BJ199" s="74"/>
      <c r="BK199" s="74"/>
      <c r="BL199" s="74"/>
      <c r="BM199" s="74"/>
      <c r="BN199" s="74"/>
      <c r="BO199" s="74"/>
      <c r="BP199" s="689"/>
      <c r="BQ199" s="74"/>
      <c r="BR199" s="74"/>
      <c r="BS199" s="76"/>
      <c r="BT199" s="74"/>
      <c r="BU199" s="74"/>
      <c r="BV199" s="74"/>
      <c r="BW199" s="74"/>
      <c r="BX199" s="74"/>
      <c r="BY199" s="76"/>
      <c r="BZ199" s="74"/>
      <c r="CA199" s="74"/>
      <c r="CB199" s="74"/>
      <c r="CC199" s="74"/>
      <c r="CD199" s="76"/>
      <c r="CE199" s="76"/>
      <c r="CF199" s="74"/>
      <c r="CG199" s="74"/>
      <c r="CH199" s="74"/>
      <c r="CI199" s="74"/>
      <c r="CJ199" s="76"/>
      <c r="CK199" s="76"/>
      <c r="CL199" s="74"/>
      <c r="CM199" s="74"/>
      <c r="CN199" s="74"/>
      <c r="CO199" s="74"/>
      <c r="CP199" s="76"/>
      <c r="CQ199" s="76"/>
      <c r="CR199" s="74"/>
      <c r="CS199" s="74"/>
      <c r="CT199" s="74"/>
      <c r="CU199" s="74"/>
      <c r="CV199" s="76"/>
      <c r="CW199" s="76"/>
      <c r="CX199" s="74"/>
      <c r="CY199" s="74"/>
      <c r="CZ199" s="74"/>
      <c r="DA199" s="74"/>
      <c r="DB199" s="76"/>
      <c r="DC199" s="76"/>
      <c r="DD199" s="74"/>
      <c r="DE199" s="74"/>
      <c r="DF199" s="74"/>
      <c r="DG199" s="74"/>
      <c r="DH199" s="76"/>
      <c r="DI199" s="76"/>
    </row>
    <row r="200" spans="1:141" s="355" customFormat="1" ht="11.25" customHeight="1">
      <c r="A200" s="359" t="s">
        <v>378</v>
      </c>
      <c r="B200" s="360"/>
      <c r="C200" s="356"/>
      <c r="D200" s="360"/>
      <c r="E200" s="356"/>
      <c r="F200" s="360"/>
      <c r="G200" s="356"/>
      <c r="H200" s="360"/>
      <c r="I200" s="356"/>
      <c r="J200" s="360"/>
      <c r="K200" s="356"/>
      <c r="L200" s="360"/>
      <c r="M200" s="356"/>
      <c r="N200" s="360"/>
      <c r="O200" s="356"/>
      <c r="P200" s="360"/>
      <c r="Q200" s="356"/>
      <c r="R200" s="360"/>
      <c r="S200" s="359"/>
      <c r="T200" s="360"/>
      <c r="U200" s="360"/>
      <c r="V200" s="360"/>
      <c r="W200" s="356"/>
      <c r="X200" s="360"/>
      <c r="Y200" s="359"/>
      <c r="Z200" s="360"/>
      <c r="AA200" s="360"/>
      <c r="AB200" s="360"/>
      <c r="AC200" s="356"/>
      <c r="AD200" s="360"/>
      <c r="AE200" s="359"/>
      <c r="AF200" s="360"/>
      <c r="AG200" s="360"/>
      <c r="AH200" s="360"/>
      <c r="AI200" s="669" t="s">
        <v>26</v>
      </c>
      <c r="AJ200" s="360"/>
      <c r="AK200" s="670" t="s">
        <v>26</v>
      </c>
      <c r="AL200" s="671" t="s">
        <v>26</v>
      </c>
      <c r="AM200" s="671" t="s">
        <v>26</v>
      </c>
      <c r="AN200" s="672" t="s">
        <v>26</v>
      </c>
      <c r="AO200" s="669" t="s">
        <v>26</v>
      </c>
      <c r="AP200" s="360"/>
      <c r="AQ200" s="670" t="s">
        <v>26</v>
      </c>
      <c r="AR200" s="671" t="s">
        <v>26</v>
      </c>
      <c r="AS200" s="671" t="s">
        <v>26</v>
      </c>
      <c r="AT200" s="672" t="s">
        <v>26</v>
      </c>
      <c r="AU200" s="700">
        <v>910.4</v>
      </c>
      <c r="AV200" s="360"/>
      <c r="AW200" s="1323" t="s">
        <v>26</v>
      </c>
      <c r="AX200" s="1326">
        <v>1000</v>
      </c>
      <c r="AY200" s="1326" t="s">
        <v>379</v>
      </c>
      <c r="AZ200" s="1327" t="s">
        <v>379</v>
      </c>
      <c r="BA200" s="1328">
        <v>1086.5</v>
      </c>
      <c r="BB200" s="425"/>
      <c r="BC200" s="1329" t="s">
        <v>379</v>
      </c>
      <c r="BD200" s="1326" t="s">
        <v>26</v>
      </c>
      <c r="BE200" s="1330">
        <f>BA200*(1+0.05)</f>
        <v>1140.825</v>
      </c>
      <c r="BF200" s="1331">
        <f>BE200</f>
        <v>1140.825</v>
      </c>
      <c r="BG200" s="1466">
        <v>1035</v>
      </c>
      <c r="BH200" s="425"/>
      <c r="BI200" s="1329" t="s">
        <v>26</v>
      </c>
      <c r="BJ200" s="1326" t="s">
        <v>26</v>
      </c>
      <c r="BK200" s="1332" t="s">
        <v>26</v>
      </c>
      <c r="BL200" s="672" t="s">
        <v>26</v>
      </c>
      <c r="BM200" s="669">
        <v>921</v>
      </c>
      <c r="BN200" s="360"/>
      <c r="BO200" s="670" t="s">
        <v>26</v>
      </c>
      <c r="BP200" s="1332" t="s">
        <v>26</v>
      </c>
      <c r="BQ200" s="1332" t="s">
        <v>26</v>
      </c>
      <c r="BR200" s="672" t="s">
        <v>26</v>
      </c>
      <c r="BS200" s="669">
        <v>877</v>
      </c>
      <c r="BT200" s="9"/>
      <c r="BU200" s="670" t="s">
        <v>26</v>
      </c>
      <c r="BV200" s="1332" t="s">
        <v>26</v>
      </c>
      <c r="BW200" s="1332" t="s">
        <v>26</v>
      </c>
      <c r="BX200" s="2027" t="s">
        <v>501</v>
      </c>
      <c r="BY200" s="1335" t="s">
        <v>26</v>
      </c>
      <c r="BZ200" s="360"/>
      <c r="CA200" s="670" t="s">
        <v>26</v>
      </c>
      <c r="CB200" s="1919" t="s">
        <v>505</v>
      </c>
      <c r="CC200" s="1928" t="s">
        <v>26</v>
      </c>
      <c r="CD200" s="2021" t="s">
        <v>26</v>
      </c>
      <c r="CE200" s="356"/>
      <c r="CF200" s="360"/>
      <c r="CG200" s="670" t="s">
        <v>26</v>
      </c>
      <c r="CH200" s="2221" t="s">
        <v>26</v>
      </c>
      <c r="CI200" s="2221" t="s">
        <v>26</v>
      </c>
      <c r="CJ200" s="361"/>
      <c r="CK200" s="356"/>
      <c r="CL200" s="360"/>
      <c r="CM200" s="359"/>
      <c r="CN200" s="360"/>
      <c r="CO200" s="360"/>
      <c r="CP200" s="361"/>
      <c r="CQ200" s="356"/>
      <c r="CR200" s="360"/>
      <c r="CS200" s="359"/>
      <c r="CT200" s="360"/>
      <c r="CU200" s="360"/>
      <c r="CV200" s="361"/>
      <c r="CW200" s="356"/>
      <c r="CX200" s="360"/>
      <c r="CY200" s="359"/>
      <c r="CZ200" s="360"/>
      <c r="DA200" s="360"/>
      <c r="DB200" s="361"/>
      <c r="DC200" s="356"/>
      <c r="DD200" s="360"/>
      <c r="DE200" s="359"/>
      <c r="DF200" s="360"/>
      <c r="DG200" s="360"/>
      <c r="DH200" s="361"/>
      <c r="DI200" s="356"/>
    </row>
    <row r="201" spans="1:141" s="355" customFormat="1" ht="11.25" customHeight="1">
      <c r="A201" s="362" t="s">
        <v>380</v>
      </c>
      <c r="B201" s="363"/>
      <c r="C201" s="357"/>
      <c r="D201" s="363"/>
      <c r="E201" s="357"/>
      <c r="F201" s="363"/>
      <c r="G201" s="357"/>
      <c r="H201" s="363"/>
      <c r="I201" s="357"/>
      <c r="J201" s="363"/>
      <c r="K201" s="357"/>
      <c r="L201" s="363"/>
      <c r="M201" s="357"/>
      <c r="N201" s="363"/>
      <c r="O201" s="357"/>
      <c r="P201" s="363"/>
      <c r="Q201" s="357"/>
      <c r="R201" s="363"/>
      <c r="S201" s="362"/>
      <c r="T201" s="363"/>
      <c r="U201" s="363"/>
      <c r="V201" s="363"/>
      <c r="W201" s="357"/>
      <c r="X201" s="363"/>
      <c r="Y201" s="362"/>
      <c r="Z201" s="363"/>
      <c r="AA201" s="363"/>
      <c r="AB201" s="363"/>
      <c r="AC201" s="357"/>
      <c r="AD201" s="363"/>
      <c r="AE201" s="362"/>
      <c r="AF201" s="363"/>
      <c r="AG201" s="363"/>
      <c r="AH201" s="363"/>
      <c r="AI201" s="692"/>
      <c r="AJ201" s="363"/>
      <c r="AK201" s="674" t="s">
        <v>340</v>
      </c>
      <c r="AL201" s="675" t="s">
        <v>26</v>
      </c>
      <c r="AM201" s="675">
        <v>52.5</v>
      </c>
      <c r="AN201" s="676">
        <v>83.3</v>
      </c>
      <c r="AO201" s="673">
        <f>AN201</f>
        <v>83.3</v>
      </c>
      <c r="AP201" s="363"/>
      <c r="AQ201" s="674">
        <v>87.8</v>
      </c>
      <c r="AR201" s="677">
        <v>94.9</v>
      </c>
      <c r="AS201" s="675">
        <v>152.1</v>
      </c>
      <c r="AT201" s="676">
        <v>152.19999999999999</v>
      </c>
      <c r="AU201" s="357">
        <f>AT201</f>
        <v>152.19999999999999</v>
      </c>
      <c r="AV201" s="363"/>
      <c r="AW201" s="1324">
        <v>172.1</v>
      </c>
      <c r="AX201" s="1332">
        <v>171.6</v>
      </c>
      <c r="AY201" s="1332">
        <v>172.2</v>
      </c>
      <c r="AZ201" s="1333">
        <v>229.8</v>
      </c>
      <c r="BA201" s="428">
        <f>AZ201</f>
        <v>229.8</v>
      </c>
      <c r="BB201" s="353"/>
      <c r="BC201" s="1334">
        <v>219.4</v>
      </c>
      <c r="BD201" s="1332">
        <v>247.6</v>
      </c>
      <c r="BE201" s="1332" t="s">
        <v>26</v>
      </c>
      <c r="BF201" s="1333" t="s">
        <v>26</v>
      </c>
      <c r="BG201" s="1335" t="s">
        <v>26</v>
      </c>
      <c r="BH201" s="353"/>
      <c r="BI201" s="418">
        <f>BD201</f>
        <v>247.6</v>
      </c>
      <c r="BJ201" s="1332" t="s">
        <v>26</v>
      </c>
      <c r="BK201" s="1332" t="s">
        <v>26</v>
      </c>
      <c r="BL201" s="1332" t="s">
        <v>26</v>
      </c>
      <c r="BM201" s="1335" t="s">
        <v>26</v>
      </c>
      <c r="BN201" s="363"/>
      <c r="BO201" s="1273" t="s">
        <v>510</v>
      </c>
      <c r="BP201" s="1271" t="s">
        <v>509</v>
      </c>
      <c r="BQ201" s="1332" t="s">
        <v>26</v>
      </c>
      <c r="BR201" s="1271" t="s">
        <v>501</v>
      </c>
      <c r="BS201" s="1335" t="s">
        <v>26</v>
      </c>
      <c r="BT201" s="9"/>
      <c r="BU201" s="2029" t="s">
        <v>26</v>
      </c>
      <c r="BV201" s="2028" t="s">
        <v>501</v>
      </c>
      <c r="BW201" s="2028" t="s">
        <v>26</v>
      </c>
      <c r="BX201" s="1271" t="s">
        <v>501</v>
      </c>
      <c r="BY201" s="2026" t="s">
        <v>26</v>
      </c>
      <c r="BZ201" s="363"/>
      <c r="CA201" s="1273" t="s">
        <v>26</v>
      </c>
      <c r="CB201" s="1919" t="s">
        <v>501</v>
      </c>
      <c r="CC201" s="1929" t="s">
        <v>26</v>
      </c>
      <c r="CD201" s="2022" t="s">
        <v>501</v>
      </c>
      <c r="CE201" s="357"/>
      <c r="CF201" s="363"/>
      <c r="CG201" s="1273" t="s">
        <v>26</v>
      </c>
      <c r="CH201" s="1922" t="s">
        <v>26</v>
      </c>
      <c r="CI201" s="1922" t="s">
        <v>26</v>
      </c>
      <c r="CJ201" s="364"/>
      <c r="CK201" s="357"/>
      <c r="CL201" s="363"/>
      <c r="CM201" s="362"/>
      <c r="CN201" s="363"/>
      <c r="CO201" s="363"/>
      <c r="CP201" s="364"/>
      <c r="CQ201" s="357"/>
      <c r="CR201" s="363"/>
      <c r="CS201" s="362"/>
      <c r="CT201" s="363"/>
      <c r="CU201" s="363"/>
      <c r="CV201" s="364"/>
      <c r="CW201" s="357"/>
      <c r="CX201" s="363"/>
      <c r="CY201" s="362"/>
      <c r="CZ201" s="363"/>
      <c r="DA201" s="363"/>
      <c r="DB201" s="364"/>
      <c r="DC201" s="357"/>
      <c r="DD201" s="363"/>
      <c r="DE201" s="362"/>
      <c r="DF201" s="363"/>
      <c r="DG201" s="363"/>
      <c r="DH201" s="364"/>
      <c r="DI201" s="357"/>
    </row>
    <row r="202" spans="1:141" s="355" customFormat="1" ht="11.25" customHeight="1">
      <c r="A202" s="365" t="s">
        <v>381</v>
      </c>
      <c r="B202" s="366"/>
      <c r="C202" s="358"/>
      <c r="D202" s="366"/>
      <c r="E202" s="358"/>
      <c r="F202" s="366"/>
      <c r="G202" s="358"/>
      <c r="H202" s="366"/>
      <c r="I202" s="358"/>
      <c r="J202" s="366"/>
      <c r="K202" s="358"/>
      <c r="L202" s="366"/>
      <c r="M202" s="358"/>
      <c r="N202" s="366"/>
      <c r="O202" s="358"/>
      <c r="P202" s="366"/>
      <c r="Q202" s="358"/>
      <c r="R202" s="366"/>
      <c r="S202" s="365"/>
      <c r="T202" s="366"/>
      <c r="U202" s="366"/>
      <c r="V202" s="366"/>
      <c r="W202" s="358"/>
      <c r="X202" s="366"/>
      <c r="Y202" s="365"/>
      <c r="Z202" s="366"/>
      <c r="AA202" s="366"/>
      <c r="AB202" s="366"/>
      <c r="AC202" s="358"/>
      <c r="AD202" s="366"/>
      <c r="AE202" s="365"/>
      <c r="AF202" s="366"/>
      <c r="AG202" s="366"/>
      <c r="AH202" s="366"/>
      <c r="AI202" s="680"/>
      <c r="AJ202" s="366"/>
      <c r="AK202" s="678" t="s">
        <v>26</v>
      </c>
      <c r="AL202" s="679" t="s">
        <v>26</v>
      </c>
      <c r="AM202" s="679" t="s">
        <v>26</v>
      </c>
      <c r="AN202" s="679" t="s">
        <v>26</v>
      </c>
      <c r="AO202" s="680" t="s">
        <v>26</v>
      </c>
      <c r="AP202" s="366"/>
      <c r="AQ202" s="678" t="s">
        <v>26</v>
      </c>
      <c r="AR202" s="679" t="s">
        <v>26</v>
      </c>
      <c r="AS202" s="679" t="s">
        <v>26</v>
      </c>
      <c r="AT202" s="679" t="s">
        <v>26</v>
      </c>
      <c r="AU202" s="680" t="s">
        <v>26</v>
      </c>
      <c r="AV202" s="366"/>
      <c r="AW202" s="1325" t="s">
        <v>26</v>
      </c>
      <c r="AX202" s="1336" t="s">
        <v>26</v>
      </c>
      <c r="AY202" s="1336" t="s">
        <v>26</v>
      </c>
      <c r="AZ202" s="1336" t="s">
        <v>26</v>
      </c>
      <c r="BA202" s="1337" t="s">
        <v>26</v>
      </c>
      <c r="BB202" s="426"/>
      <c r="BC202" s="1338" t="s">
        <v>26</v>
      </c>
      <c r="BD202" s="1336" t="s">
        <v>26</v>
      </c>
      <c r="BE202" s="1336" t="s">
        <v>26</v>
      </c>
      <c r="BF202" s="1339" t="s">
        <v>26</v>
      </c>
      <c r="BG202" s="1337" t="s">
        <v>26</v>
      </c>
      <c r="BH202" s="426"/>
      <c r="BI202" s="1338" t="s">
        <v>26</v>
      </c>
      <c r="BJ202" s="1336" t="s">
        <v>26</v>
      </c>
      <c r="BK202" s="1336" t="s">
        <v>26</v>
      </c>
      <c r="BL202" s="1336" t="s">
        <v>26</v>
      </c>
      <c r="BM202" s="1337" t="s">
        <v>26</v>
      </c>
      <c r="BN202" s="366"/>
      <c r="BO202" s="2031" t="s">
        <v>507</v>
      </c>
      <c r="BP202" s="2030" t="s">
        <v>511</v>
      </c>
      <c r="BQ202" s="2030" t="s">
        <v>508</v>
      </c>
      <c r="BR202" s="2030" t="s">
        <v>507</v>
      </c>
      <c r="BS202" s="1337" t="s">
        <v>26</v>
      </c>
      <c r="BT202" s="358"/>
      <c r="BU202" s="1338" t="s">
        <v>506</v>
      </c>
      <c r="BV202" s="1336" t="s">
        <v>507</v>
      </c>
      <c r="BW202" s="1336" t="s">
        <v>507</v>
      </c>
      <c r="BX202" s="2030" t="s">
        <v>507</v>
      </c>
      <c r="BY202" s="1337" t="s">
        <v>506</v>
      </c>
      <c r="BZ202" s="366"/>
      <c r="CA202" s="1902" t="s">
        <v>501</v>
      </c>
      <c r="CB202" s="1921" t="s">
        <v>26</v>
      </c>
      <c r="CC202" s="1921" t="s">
        <v>504</v>
      </c>
      <c r="CD202" s="2023" t="s">
        <v>503</v>
      </c>
      <c r="CE202" s="358"/>
      <c r="CF202" s="366"/>
      <c r="CG202" s="1902" t="s">
        <v>503</v>
      </c>
      <c r="CH202" s="2222" t="s">
        <v>26</v>
      </c>
      <c r="CI202" s="2222" t="s">
        <v>26</v>
      </c>
      <c r="CJ202" s="544"/>
      <c r="CK202" s="358"/>
      <c r="CL202" s="366"/>
      <c r="CM202" s="365"/>
      <c r="CN202" s="366"/>
      <c r="CO202" s="366"/>
      <c r="CP202" s="544"/>
      <c r="CQ202" s="358"/>
      <c r="CR202" s="366"/>
      <c r="CS202" s="365"/>
      <c r="CT202" s="366"/>
      <c r="CU202" s="366"/>
      <c r="CV202" s="544"/>
      <c r="CW202" s="358"/>
      <c r="CX202" s="366"/>
      <c r="CY202" s="365"/>
      <c r="CZ202" s="366"/>
      <c r="DA202" s="366"/>
      <c r="DB202" s="544"/>
      <c r="DC202" s="358"/>
      <c r="DD202" s="366"/>
      <c r="DE202" s="365"/>
      <c r="DF202" s="366"/>
      <c r="DG202" s="366"/>
      <c r="DH202" s="544"/>
      <c r="DI202" s="358"/>
    </row>
    <row r="203" spans="1:141" s="355" customFormat="1" ht="11.25" customHeight="1">
      <c r="A203" s="363"/>
      <c r="B203" s="363"/>
      <c r="C203" s="363"/>
      <c r="D203" s="363"/>
      <c r="E203" s="363"/>
      <c r="F203" s="363"/>
      <c r="G203" s="363"/>
      <c r="H203" s="363"/>
      <c r="I203" s="363"/>
      <c r="J203" s="363"/>
      <c r="K203" s="363"/>
      <c r="L203" s="363"/>
      <c r="M203" s="363"/>
      <c r="N203" s="363"/>
      <c r="O203" s="363"/>
      <c r="P203" s="363"/>
      <c r="Q203" s="363"/>
      <c r="R203" s="363"/>
      <c r="S203" s="363"/>
      <c r="T203" s="363"/>
      <c r="U203" s="363"/>
      <c r="V203" s="363"/>
      <c r="W203" s="363"/>
      <c r="X203" s="363"/>
      <c r="Y203" s="363"/>
      <c r="Z203" s="363"/>
      <c r="AA203" s="363"/>
      <c r="AB203" s="363"/>
      <c r="AC203" s="363"/>
      <c r="AD203" s="363"/>
      <c r="AE203" s="363"/>
      <c r="AF203" s="363"/>
      <c r="AG203" s="363"/>
      <c r="AH203" s="363"/>
      <c r="AI203" s="675"/>
      <c r="AJ203" s="363"/>
      <c r="AK203" s="675"/>
      <c r="AL203" s="675"/>
      <c r="AM203" s="675"/>
      <c r="AN203" s="675"/>
      <c r="AO203" s="675"/>
      <c r="AP203" s="363"/>
      <c r="AQ203" s="675"/>
      <c r="AR203" s="675"/>
      <c r="AS203" s="675"/>
      <c r="AT203" s="675"/>
      <c r="AU203" s="675"/>
      <c r="AV203" s="363"/>
      <c r="AW203" s="2090"/>
      <c r="AX203" s="1332"/>
      <c r="AY203" s="1332"/>
      <c r="AZ203" s="1332"/>
      <c r="BA203" s="1332"/>
      <c r="BB203" s="353"/>
      <c r="BC203" s="1332"/>
      <c r="BD203" s="1332"/>
      <c r="BE203" s="1332"/>
      <c r="BF203" s="1332"/>
      <c r="BG203" s="1332"/>
      <c r="BH203" s="353"/>
      <c r="BI203" s="1332"/>
      <c r="BJ203" s="1332"/>
      <c r="BK203" s="1332"/>
      <c r="BL203" s="1332"/>
      <c r="BM203" s="1332"/>
      <c r="BN203" s="363"/>
      <c r="BO203" s="2028"/>
      <c r="BP203" s="2028"/>
      <c r="BQ203" s="2028"/>
      <c r="BR203" s="2028"/>
      <c r="BS203" s="1332"/>
      <c r="BT203" s="363"/>
      <c r="BU203" s="1332"/>
      <c r="BV203" s="1332"/>
      <c r="BW203" s="1332"/>
      <c r="BX203" s="2028"/>
      <c r="BY203" s="1332"/>
      <c r="BZ203" s="363"/>
      <c r="CA203" s="1271"/>
      <c r="CB203" s="1929"/>
      <c r="CC203" s="1929"/>
      <c r="CD203" s="2091"/>
      <c r="CE203" s="363"/>
      <c r="CF203" s="363"/>
      <c r="CG203" s="1271"/>
      <c r="CH203" s="363"/>
      <c r="CI203" s="363"/>
      <c r="CJ203" s="363"/>
      <c r="CK203" s="363"/>
      <c r="CL203" s="363"/>
      <c r="CM203" s="363"/>
      <c r="CN203" s="363"/>
      <c r="CO203" s="363"/>
      <c r="CP203" s="363"/>
      <c r="CQ203" s="363"/>
      <c r="CR203" s="363"/>
      <c r="CS203" s="363"/>
      <c r="CT203" s="363"/>
      <c r="CU203" s="363"/>
      <c r="CV203" s="363"/>
      <c r="CW203" s="363"/>
      <c r="CX203" s="363"/>
      <c r="CY203" s="363"/>
      <c r="CZ203" s="363"/>
      <c r="DA203" s="363"/>
      <c r="DB203" s="363"/>
      <c r="DC203" s="363"/>
      <c r="DD203" s="363"/>
      <c r="DE203" s="363"/>
      <c r="DF203" s="363"/>
      <c r="DG203" s="363"/>
      <c r="DH203" s="363"/>
      <c r="DI203" s="363"/>
    </row>
    <row r="204" spans="1:141" s="355" customFormat="1" ht="11.25" customHeight="1">
      <c r="A204" s="73" t="s">
        <v>529</v>
      </c>
      <c r="B204" s="74"/>
      <c r="C204" s="75"/>
      <c r="D204" s="74"/>
      <c r="E204" s="75"/>
      <c r="F204" s="74"/>
      <c r="G204" s="75"/>
      <c r="H204" s="74"/>
      <c r="I204" s="75"/>
      <c r="J204" s="74"/>
      <c r="K204" s="75"/>
      <c r="L204" s="74"/>
      <c r="M204" s="75"/>
      <c r="N204" s="74"/>
      <c r="O204" s="75"/>
      <c r="P204" s="74"/>
      <c r="Q204" s="75"/>
      <c r="R204" s="74"/>
      <c r="S204" s="74"/>
      <c r="T204" s="74"/>
      <c r="U204" s="74"/>
      <c r="V204" s="74"/>
      <c r="W204" s="74"/>
      <c r="X204" s="74"/>
      <c r="Y204" s="74"/>
      <c r="Z204" s="74"/>
      <c r="AA204" s="74"/>
      <c r="AB204" s="74"/>
      <c r="AC204" s="74"/>
      <c r="AD204" s="74"/>
      <c r="AE204" s="74"/>
      <c r="AF204" s="74"/>
      <c r="AG204" s="74"/>
      <c r="AH204" s="74"/>
      <c r="AI204" s="74"/>
      <c r="AJ204" s="74"/>
      <c r="AK204" s="74"/>
      <c r="AL204" s="74"/>
      <c r="AM204" s="74"/>
      <c r="AN204" s="74"/>
      <c r="AO204" s="74"/>
      <c r="AP204" s="74"/>
      <c r="AQ204" s="74"/>
      <c r="AR204" s="74"/>
      <c r="AS204" s="74"/>
      <c r="AT204" s="74"/>
      <c r="AU204" s="74"/>
      <c r="AV204" s="74"/>
      <c r="AW204" s="74"/>
      <c r="AX204" s="74"/>
      <c r="AY204" s="74"/>
      <c r="AZ204" s="74"/>
      <c r="BA204" s="74"/>
      <c r="BB204" s="74"/>
      <c r="BC204" s="74"/>
      <c r="BD204" s="74"/>
      <c r="BE204" s="74"/>
      <c r="BF204" s="74"/>
      <c r="BG204" s="74"/>
      <c r="BH204" s="74"/>
      <c r="BI204" s="74"/>
      <c r="BJ204" s="74"/>
      <c r="BK204" s="74"/>
      <c r="BL204" s="74"/>
      <c r="BM204" s="74"/>
      <c r="BN204" s="74"/>
      <c r="BO204" s="74"/>
      <c r="BP204" s="689"/>
      <c r="BQ204" s="74"/>
      <c r="BR204" s="74"/>
      <c r="BS204" s="76"/>
      <c r="BT204" s="74"/>
      <c r="BU204" s="74"/>
      <c r="BV204" s="74"/>
      <c r="BW204" s="74"/>
      <c r="BX204" s="74"/>
      <c r="BY204" s="76"/>
      <c r="BZ204" s="74"/>
      <c r="CA204" s="74"/>
      <c r="CB204" s="74"/>
      <c r="CC204" s="74"/>
      <c r="CD204" s="76"/>
      <c r="CE204" s="76"/>
      <c r="CF204" s="74"/>
      <c r="CG204" s="74"/>
      <c r="CH204" s="74"/>
      <c r="CI204" s="74"/>
      <c r="CJ204" s="76"/>
      <c r="CK204" s="76"/>
      <c r="CL204" s="74"/>
      <c r="CM204" s="74"/>
      <c r="CN204" s="74"/>
      <c r="CO204" s="74"/>
      <c r="CP204" s="76"/>
      <c r="CQ204" s="76"/>
      <c r="CR204" s="74"/>
      <c r="CS204" s="74"/>
      <c r="CT204" s="74"/>
      <c r="CU204" s="74"/>
      <c r="CV204" s="76"/>
      <c r="CW204" s="76"/>
      <c r="CX204" s="74"/>
      <c r="CY204" s="74"/>
      <c r="CZ204" s="74"/>
      <c r="DA204" s="74"/>
      <c r="DB204" s="76"/>
      <c r="DC204" s="76"/>
      <c r="DD204" s="74"/>
      <c r="DE204" s="74"/>
      <c r="DF204" s="74"/>
      <c r="DG204" s="74"/>
      <c r="DH204" s="76"/>
      <c r="DI204" s="76"/>
    </row>
    <row r="205" spans="1:141" s="355" customFormat="1" ht="11.25" customHeight="1">
      <c r="A205" s="2338" t="s">
        <v>530</v>
      </c>
      <c r="B205" s="2095"/>
      <c r="C205" s="2339"/>
      <c r="D205" s="2095"/>
      <c r="E205" s="2339"/>
      <c r="F205" s="2095"/>
      <c r="G205" s="2339"/>
      <c r="H205" s="2095"/>
      <c r="I205" s="2339"/>
      <c r="J205" s="2095"/>
      <c r="K205" s="2339"/>
      <c r="L205" s="2095"/>
      <c r="M205" s="2339"/>
      <c r="N205" s="2095"/>
      <c r="O205" s="2339"/>
      <c r="P205" s="2095"/>
      <c r="Q205" s="2339"/>
      <c r="R205" s="2095"/>
      <c r="S205" s="2340"/>
      <c r="T205" s="2095"/>
      <c r="U205" s="2095"/>
      <c r="V205" s="2095"/>
      <c r="W205" s="2339"/>
      <c r="X205" s="2095"/>
      <c r="Y205" s="2340"/>
      <c r="Z205" s="2095"/>
      <c r="AA205" s="2095"/>
      <c r="AB205" s="2095"/>
      <c r="AC205" s="2339"/>
      <c r="AD205" s="2095"/>
      <c r="AE205" s="2340"/>
      <c r="AF205" s="2095"/>
      <c r="AG205" s="2095"/>
      <c r="AH205" s="2095"/>
      <c r="AI205" s="2341"/>
      <c r="AJ205" s="2095"/>
      <c r="AK205" s="2096"/>
      <c r="AL205" s="2092"/>
      <c r="AM205" s="2092"/>
      <c r="AN205" s="2093"/>
      <c r="AO205" s="2341"/>
      <c r="AP205" s="2095"/>
      <c r="AQ205" s="2096"/>
      <c r="AR205" s="2092"/>
      <c r="AS205" s="2092"/>
      <c r="AT205" s="2093"/>
      <c r="AU205" s="2094"/>
      <c r="AV205" s="2095"/>
      <c r="AW205" s="2306"/>
      <c r="AX205" s="2307"/>
      <c r="AY205" s="2307"/>
      <c r="AZ205" s="2308"/>
      <c r="BA205" s="2309"/>
      <c r="BB205" s="2310"/>
      <c r="BC205" s="2306"/>
      <c r="BD205" s="2307"/>
      <c r="BE205" s="2307"/>
      <c r="BF205" s="2311"/>
      <c r="BG205" s="2342"/>
      <c r="BH205" s="2310"/>
      <c r="BI205" s="2306"/>
      <c r="BJ205" s="2307"/>
      <c r="BK205" s="2312"/>
      <c r="BL205" s="2308"/>
      <c r="BM205" s="2343"/>
      <c r="BN205" s="2310"/>
      <c r="BO205" s="2306"/>
      <c r="BP205" s="2312"/>
      <c r="BQ205" s="2312"/>
      <c r="BR205" s="2308"/>
      <c r="BS205" s="2343"/>
      <c r="BT205" s="2323"/>
      <c r="BU205" s="2306"/>
      <c r="BV205" s="2312"/>
      <c r="BW205" s="2312"/>
      <c r="BX205" s="2308"/>
      <c r="BY205" s="2313"/>
      <c r="BZ205" s="2310"/>
      <c r="CA205" s="2306"/>
      <c r="CB205" s="2320"/>
      <c r="CC205" s="2307"/>
      <c r="CD205" s="2311"/>
      <c r="CE205" s="2309"/>
      <c r="CF205" s="2310"/>
      <c r="CG205" s="2306"/>
      <c r="CH205" s="2337">
        <v>0.05</v>
      </c>
      <c r="CI205" s="2310"/>
      <c r="CJ205" s="2311"/>
      <c r="CK205" s="2309"/>
      <c r="CL205" s="2310"/>
      <c r="CM205" s="2344"/>
      <c r="CN205" s="2310"/>
      <c r="CO205" s="2310"/>
      <c r="CP205" s="2311"/>
      <c r="CQ205" s="2309"/>
      <c r="CR205" s="2310"/>
      <c r="CS205" s="2344"/>
      <c r="CT205" s="2310"/>
      <c r="CU205" s="2310"/>
      <c r="CV205" s="2311"/>
      <c r="CW205" s="2309"/>
      <c r="CX205" s="2310"/>
      <c r="CY205" s="2344"/>
      <c r="CZ205" s="2310"/>
      <c r="DA205" s="2310"/>
      <c r="DB205" s="2311"/>
      <c r="DC205" s="2309"/>
      <c r="DD205" s="2310"/>
      <c r="DE205" s="2344"/>
      <c r="DF205" s="2310"/>
      <c r="DG205" s="2310"/>
      <c r="DH205" s="2311"/>
      <c r="DI205" s="2309"/>
      <c r="DJ205" s="2206"/>
      <c r="DK205" s="2206"/>
      <c r="DL205" s="2206"/>
      <c r="DM205" s="2206"/>
      <c r="DN205" s="2206"/>
      <c r="DO205" s="2206"/>
    </row>
    <row r="206" spans="1:141" s="355" customFormat="1" ht="11.25" customHeight="1">
      <c r="A206" s="1434" t="s">
        <v>531</v>
      </c>
      <c r="B206" s="746"/>
      <c r="C206" s="2098"/>
      <c r="D206" s="746"/>
      <c r="E206" s="2098"/>
      <c r="F206" s="746"/>
      <c r="G206" s="2098"/>
      <c r="H206" s="746"/>
      <c r="I206" s="2098"/>
      <c r="J206" s="746"/>
      <c r="K206" s="2098"/>
      <c r="L206" s="746"/>
      <c r="M206" s="2098"/>
      <c r="N206" s="746"/>
      <c r="O206" s="2098"/>
      <c r="P206" s="746"/>
      <c r="Q206" s="2098"/>
      <c r="R206" s="746"/>
      <c r="S206" s="2099"/>
      <c r="T206" s="746"/>
      <c r="U206" s="746"/>
      <c r="V206" s="746"/>
      <c r="W206" s="2098"/>
      <c r="X206" s="746"/>
      <c r="Y206" s="2099"/>
      <c r="Z206" s="746"/>
      <c r="AA206" s="746"/>
      <c r="AB206" s="746"/>
      <c r="AC206" s="2098"/>
      <c r="AD206" s="746"/>
      <c r="AE206" s="2099"/>
      <c r="AF206" s="746"/>
      <c r="AG206" s="746"/>
      <c r="AH206" s="746"/>
      <c r="AI206" s="745"/>
      <c r="AJ206" s="746"/>
      <c r="AK206" s="743"/>
      <c r="AL206" s="744"/>
      <c r="AM206" s="744"/>
      <c r="AN206" s="2097"/>
      <c r="AO206" s="2345"/>
      <c r="AP206" s="746"/>
      <c r="AQ206" s="743"/>
      <c r="AR206" s="744"/>
      <c r="AS206" s="744"/>
      <c r="AT206" s="2097"/>
      <c r="AU206" s="2098"/>
      <c r="AV206" s="746"/>
      <c r="AW206" s="2314"/>
      <c r="AX206" s="2312"/>
      <c r="AY206" s="2312"/>
      <c r="AZ206" s="2315"/>
      <c r="BA206" s="2316"/>
      <c r="BB206" s="2317"/>
      <c r="BC206" s="2314"/>
      <c r="BD206" s="2312"/>
      <c r="BE206" s="2312"/>
      <c r="BF206" s="2315"/>
      <c r="BG206" s="2313"/>
      <c r="BH206" s="2317"/>
      <c r="BI206" s="2318"/>
      <c r="BJ206" s="2312"/>
      <c r="BK206" s="2312"/>
      <c r="BL206" s="2312"/>
      <c r="BM206" s="2313"/>
      <c r="BN206" s="2317"/>
      <c r="BO206" s="2314"/>
      <c r="BP206" s="2312"/>
      <c r="BQ206" s="2312"/>
      <c r="BR206" s="2312"/>
      <c r="BS206" s="2313"/>
      <c r="BT206" s="2323"/>
      <c r="BU206" s="2319"/>
      <c r="BV206" s="2320"/>
      <c r="BW206" s="2320"/>
      <c r="BX206" s="2312"/>
      <c r="BY206" s="2321"/>
      <c r="BZ206" s="2317"/>
      <c r="CA206" s="2314"/>
      <c r="CB206" s="2320"/>
      <c r="CC206" s="2312"/>
      <c r="CD206" s="2322"/>
      <c r="CE206" s="2316"/>
      <c r="CF206" s="2317"/>
      <c r="CG206" s="2314"/>
      <c r="CH206" s="1644">
        <v>0.05</v>
      </c>
      <c r="CI206" s="2317"/>
      <c r="CJ206" s="2322"/>
      <c r="CK206" s="2316"/>
      <c r="CL206" s="2317"/>
      <c r="CM206" s="2318"/>
      <c r="CN206" s="2317"/>
      <c r="CO206" s="2317"/>
      <c r="CP206" s="2322"/>
      <c r="CQ206" s="2316"/>
      <c r="CR206" s="2317"/>
      <c r="CS206" s="2318"/>
      <c r="CT206" s="2317"/>
      <c r="CU206" s="2317"/>
      <c r="CV206" s="2322"/>
      <c r="CW206" s="2316"/>
      <c r="CX206" s="2317"/>
      <c r="CY206" s="2318"/>
      <c r="CZ206" s="2317"/>
      <c r="DA206" s="2317"/>
      <c r="DB206" s="2322"/>
      <c r="DC206" s="2316"/>
      <c r="DD206" s="2317"/>
      <c r="DE206" s="2318"/>
      <c r="DF206" s="2317"/>
      <c r="DG206" s="2317"/>
      <c r="DH206" s="2322"/>
      <c r="DI206" s="2316"/>
      <c r="DJ206" s="2206"/>
      <c r="DK206" s="2206"/>
      <c r="DL206" s="2206"/>
      <c r="DM206" s="2206"/>
      <c r="DN206" s="2206"/>
      <c r="DO206" s="2206"/>
      <c r="DP206" s="741"/>
      <c r="DQ206" s="741"/>
      <c r="DR206" s="741"/>
    </row>
    <row r="207" spans="1:141" s="355" customFormat="1" ht="11.25" customHeight="1">
      <c r="A207" s="1433" t="s">
        <v>533</v>
      </c>
      <c r="B207" s="746"/>
      <c r="C207" s="2098"/>
      <c r="D207" s="746"/>
      <c r="E207" s="2098"/>
      <c r="F207" s="746"/>
      <c r="G207" s="2098"/>
      <c r="H207" s="746"/>
      <c r="I207" s="2098"/>
      <c r="J207" s="746"/>
      <c r="K207" s="2098"/>
      <c r="L207" s="746"/>
      <c r="M207" s="2098"/>
      <c r="N207" s="746"/>
      <c r="O207" s="2098"/>
      <c r="P207" s="746"/>
      <c r="Q207" s="2098"/>
      <c r="R207" s="746"/>
      <c r="S207" s="2099"/>
      <c r="T207" s="746"/>
      <c r="U207" s="746"/>
      <c r="V207" s="746"/>
      <c r="W207" s="2098"/>
      <c r="X207" s="746"/>
      <c r="Y207" s="2099"/>
      <c r="Z207" s="746"/>
      <c r="AA207" s="746"/>
      <c r="AB207" s="746"/>
      <c r="AC207" s="2098"/>
      <c r="AD207" s="746"/>
      <c r="AE207" s="2099"/>
      <c r="AF207" s="746"/>
      <c r="AG207" s="746"/>
      <c r="AH207" s="746"/>
      <c r="AI207" s="745"/>
      <c r="AJ207" s="746"/>
      <c r="AK207" s="743"/>
      <c r="AL207" s="744"/>
      <c r="AM207" s="744"/>
      <c r="AN207" s="744"/>
      <c r="AO207" s="2345"/>
      <c r="AP207" s="746"/>
      <c r="AQ207" s="743"/>
      <c r="AR207" s="744"/>
      <c r="AS207" s="744"/>
      <c r="AT207" s="744"/>
      <c r="AU207" s="2098"/>
      <c r="AV207" s="746"/>
      <c r="AW207" s="2314"/>
      <c r="AX207" s="2312"/>
      <c r="AY207" s="2312"/>
      <c r="AZ207" s="2312"/>
      <c r="BA207" s="2316"/>
      <c r="BB207" s="2317"/>
      <c r="BC207" s="2314">
        <v>0.05</v>
      </c>
      <c r="BD207" s="2312">
        <v>0.05</v>
      </c>
      <c r="BE207" s="1644">
        <v>-0.04</v>
      </c>
      <c r="BF207" s="2315">
        <v>-0.05</v>
      </c>
      <c r="BG207" s="2321">
        <f>AVERAGE(BC207:BF207)</f>
        <v>2.5000000000000005E-3</v>
      </c>
      <c r="BH207" s="2317"/>
      <c r="BI207" s="2314">
        <v>0.06</v>
      </c>
      <c r="BJ207" s="2312">
        <v>0.09</v>
      </c>
      <c r="BK207" s="2312">
        <v>4.4999999999999998E-2</v>
      </c>
      <c r="BL207" s="2312">
        <v>0.05</v>
      </c>
      <c r="BM207" s="2321">
        <f>AVERAGE(BI207:BL207)</f>
        <v>6.1249999999999999E-2</v>
      </c>
      <c r="BN207" s="2317"/>
      <c r="BO207" s="2314">
        <v>-0.05</v>
      </c>
      <c r="BP207" s="2312">
        <v>-0.25</v>
      </c>
      <c r="BQ207" s="2312">
        <v>-0.25</v>
      </c>
      <c r="BR207" s="2312">
        <v>0.01</v>
      </c>
      <c r="BS207" s="2336">
        <f>AVERAGE(BO207:BR207)</f>
        <v>-0.13500000000000001</v>
      </c>
      <c r="BT207" s="2323"/>
      <c r="BU207" s="2319">
        <v>0.09</v>
      </c>
      <c r="BV207" s="2320">
        <v>0.12</v>
      </c>
      <c r="BW207" s="2320">
        <v>7.0000000000000007E-2</v>
      </c>
      <c r="BX207" s="2312">
        <v>0.22</v>
      </c>
      <c r="BY207" s="2336">
        <f>AVERAGE(BU207:BX207)</f>
        <v>0.125</v>
      </c>
      <c r="BZ207" s="2317"/>
      <c r="CA207" s="2314">
        <v>0.04</v>
      </c>
      <c r="CB207" s="2320">
        <v>0.05</v>
      </c>
      <c r="CC207" s="2312">
        <v>-0.01</v>
      </c>
      <c r="CD207" s="2322">
        <v>-0.05</v>
      </c>
      <c r="CE207" s="2321">
        <f>AVERAGE(CA207:CD207)</f>
        <v>7.4999999999999997E-3</v>
      </c>
      <c r="CF207" s="2317"/>
      <c r="CG207" s="2314">
        <v>0.05</v>
      </c>
      <c r="CH207" s="2312">
        <v>0.06</v>
      </c>
      <c r="CI207" s="2317">
        <v>0.05</v>
      </c>
      <c r="CJ207" s="2322"/>
      <c r="CK207" s="2316"/>
      <c r="CL207" s="2317"/>
      <c r="CM207" s="2318"/>
      <c r="CN207" s="2317"/>
      <c r="CO207" s="2317"/>
      <c r="CP207" s="2322"/>
      <c r="CQ207" s="2316"/>
      <c r="CR207" s="2317"/>
      <c r="CS207" s="2318"/>
      <c r="CT207" s="2317"/>
      <c r="CU207" s="2317"/>
      <c r="CV207" s="2322"/>
      <c r="CW207" s="2316"/>
      <c r="CX207" s="2317"/>
      <c r="CY207" s="2318"/>
      <c r="CZ207" s="2317"/>
      <c r="DA207" s="2317"/>
      <c r="DB207" s="2322"/>
      <c r="DC207" s="2316"/>
      <c r="DD207" s="2317"/>
      <c r="DE207" s="2318"/>
      <c r="DF207" s="2317"/>
      <c r="DG207" s="2317"/>
      <c r="DH207" s="2322"/>
      <c r="DI207" s="2316"/>
      <c r="DJ207" s="741"/>
      <c r="DK207" s="741"/>
      <c r="DL207" s="741"/>
      <c r="DM207" s="741"/>
      <c r="DN207" s="741"/>
      <c r="DO207" s="741"/>
      <c r="DP207" s="741"/>
      <c r="DU207" s="741"/>
      <c r="DV207" s="741"/>
      <c r="DX207" s="741"/>
      <c r="DY207" s="741"/>
      <c r="DZ207" s="741"/>
      <c r="EA207" s="741"/>
      <c r="EB207" s="741"/>
      <c r="EC207" s="741"/>
      <c r="ED207" s="741"/>
      <c r="EE207" s="741"/>
      <c r="EF207" s="741"/>
      <c r="EG207" s="741"/>
      <c r="EH207" s="741"/>
      <c r="EI207" s="741"/>
      <c r="EJ207" s="741"/>
      <c r="EK207" s="741"/>
    </row>
    <row r="208" spans="1:141" s="355" customFormat="1" ht="11.25" customHeight="1">
      <c r="A208" s="1433" t="s">
        <v>418</v>
      </c>
      <c r="B208" s="746"/>
      <c r="C208" s="2098"/>
      <c r="D208" s="746"/>
      <c r="E208" s="2098"/>
      <c r="F208" s="746"/>
      <c r="G208" s="2098"/>
      <c r="H208" s="746"/>
      <c r="I208" s="2098"/>
      <c r="J208" s="746"/>
      <c r="K208" s="2098"/>
      <c r="L208" s="746"/>
      <c r="M208" s="2098"/>
      <c r="N208" s="746"/>
      <c r="O208" s="2098"/>
      <c r="P208" s="746"/>
      <c r="Q208" s="2098"/>
      <c r="R208" s="746"/>
      <c r="S208" s="2099"/>
      <c r="T208" s="746"/>
      <c r="U208" s="746"/>
      <c r="V208" s="746"/>
      <c r="W208" s="2098"/>
      <c r="X208" s="746"/>
      <c r="Y208" s="2099"/>
      <c r="Z208" s="746"/>
      <c r="AA208" s="746"/>
      <c r="AB208" s="746"/>
      <c r="AC208" s="2098"/>
      <c r="AD208" s="746"/>
      <c r="AE208" s="2099"/>
      <c r="AF208" s="746"/>
      <c r="AG208" s="746"/>
      <c r="AH208" s="746"/>
      <c r="AI208" s="745"/>
      <c r="AJ208" s="746"/>
      <c r="AK208" s="743"/>
      <c r="AL208" s="744"/>
      <c r="AM208" s="744"/>
      <c r="AN208" s="744"/>
      <c r="AO208" s="2345"/>
      <c r="AP208" s="746"/>
      <c r="AQ208" s="743"/>
      <c r="AR208" s="744"/>
      <c r="AS208" s="744"/>
      <c r="AT208" s="744"/>
      <c r="AU208" s="2098"/>
      <c r="AV208" s="746"/>
      <c r="AW208" s="2314"/>
      <c r="AX208" s="2312"/>
      <c r="AY208" s="2312"/>
      <c r="AZ208" s="2312"/>
      <c r="BA208" s="2316"/>
      <c r="BB208" s="2317"/>
      <c r="BC208" s="2314">
        <v>0.05</v>
      </c>
      <c r="BD208" s="2312">
        <v>0.05</v>
      </c>
      <c r="BE208" s="1644">
        <v>-0.04</v>
      </c>
      <c r="BF208" s="2315">
        <v>-0.04</v>
      </c>
      <c r="BG208" s="2321">
        <f t="shared" ref="BG208:BG210" si="129">AVERAGE(BC208:BF208)</f>
        <v>5.000000000000001E-3</v>
      </c>
      <c r="BH208" s="2317"/>
      <c r="BI208" s="2335">
        <v>0.05</v>
      </c>
      <c r="BJ208" s="2312">
        <v>0.06</v>
      </c>
      <c r="BK208" s="2312">
        <v>0.06</v>
      </c>
      <c r="BL208" s="2312">
        <v>0.05</v>
      </c>
      <c r="BM208" s="2321">
        <f t="shared" ref="BM208:BM210" si="130">AVERAGE(BI208:BL208)</f>
        <v>5.4999999999999993E-2</v>
      </c>
      <c r="BN208" s="2317"/>
      <c r="BO208" s="2314">
        <v>7.0000000000000007E-2</v>
      </c>
      <c r="BP208" s="2312">
        <v>0.09</v>
      </c>
      <c r="BQ208" s="2312">
        <v>0.05</v>
      </c>
      <c r="BR208" s="2312">
        <v>0.1</v>
      </c>
      <c r="BS208" s="2321">
        <f t="shared" ref="BS208:BS210" si="131">AVERAGE(BO208:BR208)</f>
        <v>7.7500000000000013E-2</v>
      </c>
      <c r="BT208" s="2323"/>
      <c r="BU208" s="2319">
        <v>0.08</v>
      </c>
      <c r="BV208" s="2320">
        <v>0.05</v>
      </c>
      <c r="BW208" s="2320">
        <v>0.06</v>
      </c>
      <c r="BX208" s="2312">
        <v>0.08</v>
      </c>
      <c r="BY208" s="2321">
        <f t="shared" ref="BY208:BY210" si="132">AVERAGE(BU208:BX208)</f>
        <v>6.7500000000000004E-2</v>
      </c>
      <c r="BZ208" s="2317"/>
      <c r="CA208" s="2314">
        <v>0.01</v>
      </c>
      <c r="CB208" s="2320">
        <v>0.02</v>
      </c>
      <c r="CC208" s="2312">
        <v>0.03</v>
      </c>
      <c r="CD208" s="2322">
        <v>0.03</v>
      </c>
      <c r="CE208" s="2321">
        <f t="shared" ref="CE208:CE210" si="133">AVERAGE(CA208:CD208)</f>
        <v>2.2499999999999999E-2</v>
      </c>
      <c r="CF208" s="2317"/>
      <c r="CG208" s="2314">
        <v>0.05</v>
      </c>
      <c r="CH208" s="2312">
        <v>0.06</v>
      </c>
      <c r="CI208" s="2317">
        <v>0.05</v>
      </c>
      <c r="CJ208" s="2322"/>
      <c r="CK208" s="2316"/>
      <c r="CL208" s="2317"/>
      <c r="CM208" s="2318"/>
      <c r="CN208" s="2317"/>
      <c r="CO208" s="2317"/>
      <c r="CP208" s="2322"/>
      <c r="CQ208" s="2316"/>
      <c r="CR208" s="2317"/>
      <c r="CS208" s="2318"/>
      <c r="CT208" s="2317"/>
      <c r="CU208" s="2317"/>
      <c r="CV208" s="2322"/>
      <c r="CW208" s="2316"/>
      <c r="CX208" s="2317"/>
      <c r="CY208" s="2318"/>
      <c r="CZ208" s="2317"/>
      <c r="DA208" s="2317"/>
      <c r="DB208" s="2322"/>
      <c r="DC208" s="2316"/>
      <c r="DD208" s="2317"/>
      <c r="DE208" s="2318"/>
      <c r="DF208" s="2317"/>
      <c r="DG208" s="2317"/>
      <c r="DH208" s="2322"/>
      <c r="DI208" s="2316"/>
      <c r="DJ208" s="741"/>
      <c r="DK208" s="741"/>
      <c r="DL208" s="741"/>
      <c r="DM208" s="741"/>
      <c r="DN208" s="741"/>
      <c r="DO208" s="741"/>
      <c r="DP208" s="741"/>
      <c r="DU208" s="741"/>
      <c r="DV208" s="741"/>
      <c r="DX208" s="741"/>
      <c r="DY208" s="741"/>
      <c r="DZ208" s="741"/>
      <c r="EA208" s="741"/>
      <c r="EB208" s="741"/>
      <c r="EC208" s="741"/>
      <c r="ED208" s="741"/>
      <c r="EE208" s="741"/>
      <c r="EF208" s="741"/>
      <c r="EG208" s="741"/>
      <c r="EH208" s="741"/>
      <c r="EI208" s="741"/>
      <c r="EJ208" s="741"/>
      <c r="EK208" s="741"/>
    </row>
    <row r="209" spans="1:141" s="355" customFormat="1" ht="11.25" customHeight="1">
      <c r="A209" s="1433" t="s">
        <v>419</v>
      </c>
      <c r="B209" s="746"/>
      <c r="C209" s="2098"/>
      <c r="D209" s="746"/>
      <c r="E209" s="2098"/>
      <c r="F209" s="746"/>
      <c r="G209" s="2098"/>
      <c r="H209" s="746"/>
      <c r="I209" s="2098"/>
      <c r="J209" s="746"/>
      <c r="K209" s="2098"/>
      <c r="L209" s="746"/>
      <c r="M209" s="2098"/>
      <c r="N209" s="746"/>
      <c r="O209" s="2098"/>
      <c r="P209" s="746"/>
      <c r="Q209" s="2098"/>
      <c r="R209" s="746"/>
      <c r="S209" s="2099"/>
      <c r="T209" s="746"/>
      <c r="U209" s="746"/>
      <c r="V209" s="746"/>
      <c r="W209" s="2098"/>
      <c r="X209" s="746"/>
      <c r="Y209" s="2099"/>
      <c r="Z209" s="746"/>
      <c r="AA209" s="746"/>
      <c r="AB209" s="746"/>
      <c r="AC209" s="2098"/>
      <c r="AD209" s="746"/>
      <c r="AE209" s="2099"/>
      <c r="AF209" s="746"/>
      <c r="AG209" s="746"/>
      <c r="AH209" s="746"/>
      <c r="AI209" s="745"/>
      <c r="AJ209" s="746"/>
      <c r="AK209" s="743"/>
      <c r="AL209" s="744"/>
      <c r="AM209" s="744"/>
      <c r="AN209" s="744"/>
      <c r="AO209" s="2345"/>
      <c r="AP209" s="746"/>
      <c r="AQ209" s="743"/>
      <c r="AR209" s="744"/>
      <c r="AS209" s="744"/>
      <c r="AT209" s="744"/>
      <c r="AU209" s="2098"/>
      <c r="AV209" s="746"/>
      <c r="AW209" s="2314">
        <v>0.08</v>
      </c>
      <c r="AX209" s="2312"/>
      <c r="AY209" s="2312"/>
      <c r="AZ209" s="2312"/>
      <c r="BA209" s="2316"/>
      <c r="BB209" s="2317"/>
      <c r="BC209" s="2314">
        <v>0.05</v>
      </c>
      <c r="BD209" s="2312">
        <v>0.05</v>
      </c>
      <c r="BE209" s="1644">
        <v>-0.04</v>
      </c>
      <c r="BF209" s="2315">
        <v>-0.04</v>
      </c>
      <c r="BG209" s="2321">
        <f t="shared" si="129"/>
        <v>5.000000000000001E-3</v>
      </c>
      <c r="BH209" s="2317"/>
      <c r="BI209" s="2335">
        <v>0.05</v>
      </c>
      <c r="BJ209" s="2312">
        <v>-0.09</v>
      </c>
      <c r="BK209" s="2312">
        <v>0.05</v>
      </c>
      <c r="BL209" s="2312">
        <v>0.06</v>
      </c>
      <c r="BM209" s="2321">
        <f t="shared" si="130"/>
        <v>1.7500000000000002E-2</v>
      </c>
      <c r="BN209" s="2317"/>
      <c r="BO209" s="2314">
        <v>0.05</v>
      </c>
      <c r="BP209" s="2312">
        <v>0.05</v>
      </c>
      <c r="BQ209" s="2312">
        <v>0.08</v>
      </c>
      <c r="BR209" s="2312">
        <v>0.08</v>
      </c>
      <c r="BS209" s="2321">
        <f t="shared" si="131"/>
        <v>6.5000000000000002E-2</v>
      </c>
      <c r="BT209" s="2323"/>
      <c r="BU209" s="2319">
        <v>0.02</v>
      </c>
      <c r="BV209" s="2320">
        <v>0.06</v>
      </c>
      <c r="BW209" s="2106">
        <v>-0.03</v>
      </c>
      <c r="BX209" s="2312">
        <v>0.05</v>
      </c>
      <c r="BY209" s="2321">
        <f t="shared" si="132"/>
        <v>2.5000000000000001E-2</v>
      </c>
      <c r="BZ209" s="2317"/>
      <c r="CA209" s="2314">
        <v>0</v>
      </c>
      <c r="CB209" s="2320">
        <v>0.02</v>
      </c>
      <c r="CC209" s="2312">
        <v>0.01</v>
      </c>
      <c r="CD209" s="2322">
        <v>0.03</v>
      </c>
      <c r="CE209" s="2321">
        <f t="shared" si="133"/>
        <v>1.4999999999999999E-2</v>
      </c>
      <c r="CF209" s="2317"/>
      <c r="CG209" s="2314">
        <v>0.06</v>
      </c>
      <c r="CH209" s="2312">
        <v>7.0000000000000007E-2</v>
      </c>
      <c r="CI209" s="2317">
        <v>7.0000000000000007E-2</v>
      </c>
      <c r="CJ209" s="2322"/>
      <c r="CK209" s="2316"/>
      <c r="CL209" s="2317"/>
      <c r="CM209" s="2318"/>
      <c r="CN209" s="2317"/>
      <c r="CO209" s="2317"/>
      <c r="CP209" s="2322"/>
      <c r="CQ209" s="2316"/>
      <c r="CR209" s="2317"/>
      <c r="CS209" s="2318"/>
      <c r="CT209" s="2317"/>
      <c r="CU209" s="2317"/>
      <c r="CV209" s="2322"/>
      <c r="CW209" s="2316"/>
      <c r="CX209" s="2317"/>
      <c r="CY209" s="2318"/>
      <c r="CZ209" s="2317"/>
      <c r="DA209" s="2317"/>
      <c r="DB209" s="2322"/>
      <c r="DC209" s="2316"/>
      <c r="DD209" s="2317"/>
      <c r="DE209" s="2318"/>
      <c r="DF209" s="2317"/>
      <c r="DG209" s="2317"/>
      <c r="DH209" s="2322"/>
      <c r="DI209" s="2316"/>
      <c r="DJ209" s="741"/>
      <c r="DK209" s="741"/>
      <c r="DL209" s="741"/>
      <c r="DM209" s="741"/>
      <c r="DN209" s="741"/>
      <c r="DO209" s="741"/>
      <c r="DP209" s="741"/>
      <c r="DU209" s="741"/>
      <c r="DV209" s="741"/>
      <c r="DX209" s="741"/>
      <c r="DY209" s="741"/>
      <c r="DZ209" s="741"/>
      <c r="EA209" s="741"/>
      <c r="EB209" s="741"/>
      <c r="EC209" s="741"/>
      <c r="ED209" s="741"/>
      <c r="EE209" s="741"/>
      <c r="EF209" s="741"/>
      <c r="EG209" s="741"/>
      <c r="EH209" s="741"/>
      <c r="EI209" s="741"/>
      <c r="EJ209" s="741"/>
      <c r="EK209" s="741"/>
    </row>
    <row r="210" spans="1:141" s="355" customFormat="1" ht="11.25" customHeight="1">
      <c r="A210" s="1436" t="s">
        <v>532</v>
      </c>
      <c r="B210" s="2102"/>
      <c r="C210" s="2105"/>
      <c r="D210" s="2102"/>
      <c r="E210" s="2105"/>
      <c r="F210" s="2102"/>
      <c r="G210" s="2105"/>
      <c r="H210" s="2102"/>
      <c r="I210" s="2105"/>
      <c r="J210" s="2102"/>
      <c r="K210" s="2105"/>
      <c r="L210" s="2102"/>
      <c r="M210" s="2105"/>
      <c r="N210" s="2102"/>
      <c r="O210" s="2105"/>
      <c r="P210" s="2102"/>
      <c r="Q210" s="2105"/>
      <c r="R210" s="2102"/>
      <c r="S210" s="2346"/>
      <c r="T210" s="2102"/>
      <c r="U210" s="2102"/>
      <c r="V210" s="2102"/>
      <c r="W210" s="2105"/>
      <c r="X210" s="2102"/>
      <c r="Y210" s="2346"/>
      <c r="Z210" s="2102"/>
      <c r="AA210" s="2102"/>
      <c r="AB210" s="2102"/>
      <c r="AC210" s="2105"/>
      <c r="AD210" s="2102"/>
      <c r="AE210" s="2346"/>
      <c r="AF210" s="2102"/>
      <c r="AG210" s="2102"/>
      <c r="AH210" s="2102"/>
      <c r="AI210" s="2101"/>
      <c r="AJ210" s="2102"/>
      <c r="AK210" s="2103"/>
      <c r="AL210" s="2100"/>
      <c r="AM210" s="2100"/>
      <c r="AN210" s="2100"/>
      <c r="AO210" s="2101"/>
      <c r="AP210" s="2102"/>
      <c r="AQ210" s="2103"/>
      <c r="AR210" s="2100"/>
      <c r="AS210" s="2100"/>
      <c r="AT210" s="2100"/>
      <c r="AU210" s="2101"/>
      <c r="AV210" s="2102"/>
      <c r="AW210" s="2334">
        <v>0.13</v>
      </c>
      <c r="AX210" s="2104">
        <v>0.13</v>
      </c>
      <c r="AY210" s="2104">
        <v>0.13</v>
      </c>
      <c r="AZ210" s="2324"/>
      <c r="BA210" s="2325"/>
      <c r="BB210" s="2326"/>
      <c r="BC210" s="2327">
        <v>0.05</v>
      </c>
      <c r="BD210" s="2104">
        <v>0.44</v>
      </c>
      <c r="BE210" s="2104">
        <v>-0.04</v>
      </c>
      <c r="BF210" s="2328">
        <v>-0.03</v>
      </c>
      <c r="BG210" s="2329">
        <f t="shared" si="129"/>
        <v>0.10500000000000001</v>
      </c>
      <c r="BH210" s="2326"/>
      <c r="BI210" s="2330">
        <v>-0.02</v>
      </c>
      <c r="BJ210" s="2331">
        <v>0.08</v>
      </c>
      <c r="BK210" s="2331">
        <v>0.04</v>
      </c>
      <c r="BL210" s="2331">
        <v>0.05</v>
      </c>
      <c r="BM210" s="2325">
        <f t="shared" si="130"/>
        <v>3.7500000000000006E-2</v>
      </c>
      <c r="BN210" s="2326"/>
      <c r="BO210" s="2330">
        <v>0.06</v>
      </c>
      <c r="BP210" s="2331">
        <v>0.05</v>
      </c>
      <c r="BQ210" s="2331">
        <v>0.05</v>
      </c>
      <c r="BR210" s="2331">
        <v>0.08</v>
      </c>
      <c r="BS210" s="2325">
        <f t="shared" si="131"/>
        <v>0.06</v>
      </c>
      <c r="BT210" s="2332"/>
      <c r="BU210" s="2327">
        <v>0.17</v>
      </c>
      <c r="BV210" s="2324">
        <v>0.22</v>
      </c>
      <c r="BW210" s="2324">
        <v>0.21</v>
      </c>
      <c r="BX210" s="2331">
        <v>0.08</v>
      </c>
      <c r="BY210" s="2325">
        <f t="shared" si="132"/>
        <v>0.16999999999999998</v>
      </c>
      <c r="BZ210" s="2326"/>
      <c r="CA210" s="2327">
        <v>0.06</v>
      </c>
      <c r="CB210" s="2324">
        <v>0.08</v>
      </c>
      <c r="CC210" s="2324">
        <v>0.08</v>
      </c>
      <c r="CD210" s="2333">
        <v>0.09</v>
      </c>
      <c r="CE210" s="2325">
        <f t="shared" si="133"/>
        <v>7.7500000000000013E-2</v>
      </c>
      <c r="CF210" s="2326"/>
      <c r="CG210" s="2327">
        <v>7.0000000000000007E-2</v>
      </c>
      <c r="CH210" s="2324">
        <v>0.08</v>
      </c>
      <c r="CI210" s="2326">
        <v>0.08</v>
      </c>
      <c r="CJ210" s="2333"/>
      <c r="CK210" s="2332"/>
      <c r="CL210" s="2326"/>
      <c r="CM210" s="2347"/>
      <c r="CN210" s="2326"/>
      <c r="CO210" s="2326"/>
      <c r="CP210" s="2333"/>
      <c r="CQ210" s="2332"/>
      <c r="CR210" s="2326"/>
      <c r="CS210" s="2347"/>
      <c r="CT210" s="2326"/>
      <c r="CU210" s="2326"/>
      <c r="CV210" s="2333"/>
      <c r="CW210" s="2332"/>
      <c r="CX210" s="2326"/>
      <c r="CY210" s="2347"/>
      <c r="CZ210" s="2326"/>
      <c r="DA210" s="2326"/>
      <c r="DB210" s="2333"/>
      <c r="DC210" s="2332"/>
      <c r="DD210" s="2326"/>
      <c r="DE210" s="2347"/>
      <c r="DF210" s="2326"/>
      <c r="DG210" s="2326"/>
      <c r="DH210" s="2333"/>
      <c r="DI210" s="2332"/>
      <c r="DJ210" s="741"/>
      <c r="DK210" s="741"/>
      <c r="DL210" s="741"/>
      <c r="DM210" s="741"/>
      <c r="DN210" s="741"/>
      <c r="DO210" s="741"/>
      <c r="DP210" s="741"/>
      <c r="DU210" s="741"/>
      <c r="DV210" s="741"/>
      <c r="DX210" s="741"/>
      <c r="DY210" s="741"/>
      <c r="DZ210" s="741"/>
      <c r="EA210" s="741"/>
      <c r="EB210" s="741"/>
      <c r="EC210" s="741"/>
      <c r="ED210" s="741"/>
      <c r="EE210" s="741"/>
      <c r="EF210" s="741"/>
      <c r="EG210" s="741"/>
      <c r="EH210" s="741"/>
      <c r="EI210" s="741"/>
      <c r="EJ210" s="741"/>
      <c r="EK210" s="741"/>
    </row>
    <row r="211" spans="1:141" s="355" customFormat="1" ht="11.25" customHeight="1">
      <c r="A211" s="585"/>
      <c r="B211" s="746"/>
      <c r="C211" s="746"/>
      <c r="D211" s="746"/>
      <c r="E211" s="746"/>
      <c r="F211" s="746"/>
      <c r="G211" s="746"/>
      <c r="H211" s="746"/>
      <c r="I211" s="746"/>
      <c r="J211" s="746"/>
      <c r="K211" s="746"/>
      <c r="L211" s="746"/>
      <c r="M211" s="746"/>
      <c r="N211" s="746"/>
      <c r="O211" s="746"/>
      <c r="P211" s="746"/>
      <c r="Q211" s="746"/>
      <c r="R211" s="746"/>
      <c r="S211" s="746"/>
      <c r="T211" s="746"/>
      <c r="U211" s="746"/>
      <c r="V211" s="746"/>
      <c r="W211" s="746"/>
      <c r="X211" s="746"/>
      <c r="Y211" s="746"/>
      <c r="Z211" s="746"/>
      <c r="AA211" s="746"/>
      <c r="AB211" s="746"/>
      <c r="AC211" s="746"/>
      <c r="AD211" s="746"/>
      <c r="AE211" s="746"/>
      <c r="AF211" s="746"/>
      <c r="AG211" s="746"/>
      <c r="AH211" s="746"/>
      <c r="AI211" s="744"/>
      <c r="AJ211" s="746"/>
      <c r="AK211" s="744"/>
      <c r="AL211" s="744"/>
      <c r="AM211" s="744"/>
      <c r="AN211" s="744"/>
      <c r="AO211" s="744"/>
      <c r="AP211" s="746"/>
      <c r="AQ211" s="744"/>
      <c r="AR211" s="744"/>
      <c r="AS211" s="744"/>
      <c r="AT211" s="744"/>
      <c r="AU211" s="744"/>
      <c r="AV211" s="746"/>
      <c r="AW211" s="1644"/>
      <c r="AX211" s="1644"/>
      <c r="AY211" s="1644"/>
      <c r="AZ211" s="2312"/>
      <c r="BA211" s="2312"/>
      <c r="BB211" s="2317"/>
      <c r="BC211" s="2312"/>
      <c r="BD211" s="1644"/>
      <c r="BE211" s="1644"/>
      <c r="BF211" s="2312"/>
      <c r="BG211" s="2320"/>
      <c r="BH211" s="2317"/>
      <c r="BI211" s="2320"/>
      <c r="BJ211" s="2320"/>
      <c r="BK211" s="2320"/>
      <c r="BL211" s="2320"/>
      <c r="BM211" s="2312"/>
      <c r="BN211" s="2317"/>
      <c r="BO211" s="2320"/>
      <c r="BP211" s="2320"/>
      <c r="BQ211" s="2320"/>
      <c r="BR211" s="2320"/>
      <c r="BS211" s="2312"/>
      <c r="BT211" s="2317"/>
      <c r="BU211" s="2312"/>
      <c r="BV211" s="2312"/>
      <c r="BW211" s="2312"/>
      <c r="BX211" s="2320"/>
      <c r="BY211" s="2312"/>
      <c r="BZ211" s="2317"/>
      <c r="CA211" s="2312"/>
      <c r="CB211" s="2312"/>
      <c r="CC211" s="2312"/>
      <c r="CD211" s="2317"/>
      <c r="CE211" s="2312"/>
      <c r="CF211" s="2317"/>
      <c r="CG211" s="2312"/>
      <c r="CH211" s="2312"/>
      <c r="CI211" s="2317"/>
      <c r="CJ211" s="2317"/>
      <c r="CK211" s="2317"/>
      <c r="CL211" s="2317"/>
      <c r="CM211" s="2317"/>
      <c r="CN211" s="2317"/>
      <c r="CO211" s="2317"/>
      <c r="CP211" s="2317"/>
      <c r="CQ211" s="2317"/>
      <c r="CR211" s="2317"/>
      <c r="CS211" s="2317"/>
      <c r="CT211" s="2317"/>
      <c r="CU211" s="2317"/>
      <c r="CV211" s="2317"/>
      <c r="CW211" s="2317"/>
      <c r="CX211" s="2317"/>
      <c r="CY211" s="2317"/>
      <c r="CZ211" s="2317"/>
      <c r="DA211" s="2317"/>
      <c r="DB211" s="2317"/>
      <c r="DC211" s="2317"/>
      <c r="DD211" s="2317"/>
      <c r="DE211" s="2317"/>
      <c r="DF211" s="2317"/>
      <c r="DG211" s="2317"/>
      <c r="DH211" s="2317"/>
      <c r="DI211" s="2317"/>
      <c r="DJ211" s="741"/>
      <c r="DK211" s="741"/>
      <c r="DL211" s="741"/>
      <c r="DM211" s="741"/>
      <c r="DN211" s="741"/>
      <c r="DO211" s="741"/>
      <c r="DP211" s="741"/>
      <c r="DU211" s="741"/>
      <c r="DV211" s="741"/>
      <c r="DX211" s="741"/>
      <c r="DY211" s="741"/>
      <c r="DZ211" s="741"/>
      <c r="EA211" s="741"/>
      <c r="EB211" s="741"/>
      <c r="EC211" s="741"/>
      <c r="ED211" s="741"/>
      <c r="EE211" s="741"/>
      <c r="EF211" s="741"/>
      <c r="EG211" s="741"/>
      <c r="EH211" s="741"/>
      <c r="EI211" s="741"/>
      <c r="EJ211" s="741"/>
      <c r="EK211" s="741"/>
    </row>
    <row r="212" spans="1:141" s="355" customFormat="1" ht="11.25" customHeight="1">
      <c r="A212" s="73" t="s">
        <v>583</v>
      </c>
      <c r="B212" s="74"/>
      <c r="C212" s="75"/>
      <c r="D212" s="74"/>
      <c r="E212" s="75"/>
      <c r="F212" s="74"/>
      <c r="G212" s="75"/>
      <c r="H212" s="74"/>
      <c r="I212" s="75"/>
      <c r="J212" s="74"/>
      <c r="K212" s="75"/>
      <c r="L212" s="74"/>
      <c r="M212" s="75"/>
      <c r="N212" s="74"/>
      <c r="O212" s="75"/>
      <c r="P212" s="74"/>
      <c r="Q212" s="75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/>
      <c r="AM212" s="74"/>
      <c r="AN212" s="74"/>
      <c r="AO212" s="74"/>
      <c r="AP212" s="74"/>
      <c r="AQ212" s="74"/>
      <c r="AR212" s="74"/>
      <c r="AS212" s="74"/>
      <c r="AT212" s="74"/>
      <c r="AU212" s="74"/>
      <c r="AV212" s="74"/>
      <c r="AW212" s="74"/>
      <c r="AX212" s="74"/>
      <c r="AY212" s="74"/>
      <c r="AZ212" s="74"/>
      <c r="BA212" s="74"/>
      <c r="BB212" s="74"/>
      <c r="BC212" s="74"/>
      <c r="BD212" s="74"/>
      <c r="BE212" s="74"/>
      <c r="BF212" s="74"/>
      <c r="BG212" s="74"/>
      <c r="BH212" s="74"/>
      <c r="BI212" s="74"/>
      <c r="BJ212" s="74"/>
      <c r="BK212" s="74"/>
      <c r="BL212" s="74"/>
      <c r="BM212" s="74"/>
      <c r="BN212" s="74"/>
      <c r="BO212" s="74"/>
      <c r="BP212" s="689"/>
      <c r="BQ212" s="74"/>
      <c r="BR212" s="74"/>
      <c r="BS212" s="76"/>
      <c r="BT212" s="74"/>
      <c r="BU212" s="74"/>
      <c r="BV212" s="74"/>
      <c r="BW212" s="74"/>
      <c r="BX212" s="74"/>
      <c r="BY212" s="76"/>
      <c r="BZ212" s="74"/>
      <c r="CA212" s="74"/>
      <c r="CB212" s="74"/>
      <c r="CC212" s="74"/>
      <c r="CD212" s="76"/>
      <c r="CE212" s="76"/>
      <c r="CF212" s="74"/>
      <c r="CG212" s="74"/>
      <c r="CH212" s="74"/>
      <c r="CI212" s="74"/>
      <c r="CJ212" s="76"/>
      <c r="CK212" s="76"/>
      <c r="CL212" s="74"/>
      <c r="CM212" s="74"/>
      <c r="CN212" s="74"/>
      <c r="CO212" s="74"/>
      <c r="CP212" s="76"/>
      <c r="CQ212" s="76"/>
      <c r="CR212" s="74"/>
      <c r="CS212" s="74"/>
      <c r="CT212" s="74"/>
      <c r="CU212" s="74"/>
      <c r="CV212" s="76"/>
      <c r="CW212" s="76"/>
      <c r="CX212" s="74"/>
      <c r="CY212" s="74"/>
      <c r="CZ212" s="74"/>
      <c r="DA212" s="74"/>
      <c r="DB212" s="76"/>
      <c r="DC212" s="76"/>
      <c r="DD212" s="74"/>
      <c r="DE212" s="74"/>
      <c r="DF212" s="74"/>
      <c r="DG212" s="74"/>
      <c r="DH212" s="76"/>
      <c r="DI212" s="76"/>
      <c r="DJ212" s="741"/>
      <c r="DK212" s="741"/>
      <c r="DL212" s="741"/>
      <c r="DM212" s="741"/>
      <c r="DN212" s="741"/>
      <c r="DO212" s="741"/>
      <c r="DP212" s="741"/>
      <c r="DU212" s="741"/>
      <c r="DV212" s="741"/>
      <c r="DX212" s="741"/>
      <c r="DY212" s="741"/>
      <c r="DZ212" s="741"/>
      <c r="EA212" s="741"/>
      <c r="EB212" s="741"/>
      <c r="EC212" s="741"/>
      <c r="ED212" s="741"/>
      <c r="EE212" s="741"/>
      <c r="EF212" s="741"/>
      <c r="EG212" s="741"/>
      <c r="EH212" s="741"/>
      <c r="EI212" s="741"/>
      <c r="EJ212" s="741"/>
      <c r="EK212" s="741"/>
    </row>
    <row r="213" spans="1:141" s="355" customFormat="1" ht="11.25" customHeight="1">
      <c r="A213" s="2338" t="s">
        <v>350</v>
      </c>
      <c r="B213" s="2095"/>
      <c r="C213" s="2339"/>
      <c r="D213" s="2095"/>
      <c r="E213" s="2339"/>
      <c r="F213" s="2095"/>
      <c r="G213" s="2339"/>
      <c r="H213" s="2095"/>
      <c r="I213" s="2339"/>
      <c r="J213" s="2095"/>
      <c r="K213" s="2339"/>
      <c r="L213" s="2095"/>
      <c r="M213" s="2339"/>
      <c r="N213" s="2095"/>
      <c r="O213" s="2339"/>
      <c r="P213" s="2095"/>
      <c r="Q213" s="2339"/>
      <c r="R213" s="2095"/>
      <c r="S213" s="2340"/>
      <c r="T213" s="2095"/>
      <c r="U213" s="2095"/>
      <c r="V213" s="2095"/>
      <c r="W213" s="2339"/>
      <c r="X213" s="2095"/>
      <c r="Y213" s="2340"/>
      <c r="Z213" s="2095"/>
      <c r="AA213" s="2095"/>
      <c r="AB213" s="2095"/>
      <c r="AC213" s="2339"/>
      <c r="AD213" s="2095"/>
      <c r="AE213" s="2340"/>
      <c r="AF213" s="2095"/>
      <c r="AG213" s="2095"/>
      <c r="AH213" s="2095"/>
      <c r="AI213" s="2341"/>
      <c r="AJ213" s="2095"/>
      <c r="AK213" s="2096"/>
      <c r="AL213" s="2092"/>
      <c r="AM213" s="2092"/>
      <c r="AN213" s="2093"/>
      <c r="AO213" s="2341"/>
      <c r="AP213" s="2095"/>
      <c r="AQ213" s="2096"/>
      <c r="AR213" s="2092"/>
      <c r="AS213" s="2092"/>
      <c r="AT213" s="2093"/>
      <c r="AU213" s="2094"/>
      <c r="AV213" s="2095"/>
      <c r="AW213" s="2306"/>
      <c r="AX213" s="2307"/>
      <c r="AY213" s="2307"/>
      <c r="AZ213" s="2308"/>
      <c r="BA213" s="2309"/>
      <c r="BB213" s="2310"/>
      <c r="BC213" s="2306"/>
      <c r="BD213" s="2307"/>
      <c r="BE213" s="2307"/>
      <c r="BF213" s="2311"/>
      <c r="BG213" s="2342"/>
      <c r="BH213" s="2310"/>
      <c r="BI213" s="2306"/>
      <c r="BJ213" s="2307"/>
      <c r="BK213" s="2312"/>
      <c r="BL213" s="2308"/>
      <c r="BM213" s="2343"/>
      <c r="BN213" s="2310"/>
      <c r="BO213" s="2306"/>
      <c r="BP213" s="2312"/>
      <c r="BQ213" s="2312"/>
      <c r="BR213" s="2308"/>
      <c r="BS213" s="2343"/>
      <c r="BT213" s="2323"/>
      <c r="BU213" s="2306"/>
      <c r="BV213" s="2312"/>
      <c r="BW213" s="2312"/>
      <c r="BX213" s="2308"/>
      <c r="BY213" s="2313"/>
      <c r="BZ213" s="2310"/>
      <c r="CA213" s="2373"/>
      <c r="CB213" s="2337"/>
      <c r="CC213" s="2337"/>
      <c r="CD213" s="2374">
        <v>-0.12</v>
      </c>
      <c r="CE213" s="2377"/>
      <c r="CF213" s="2310"/>
      <c r="CG213" s="2373">
        <v>0.02</v>
      </c>
      <c r="CH213" s="2337">
        <v>7.0000000000000007E-2</v>
      </c>
      <c r="CI213" s="2337">
        <v>0.15</v>
      </c>
      <c r="CJ213" s="2374">
        <v>7.0000000000000007E-2</v>
      </c>
      <c r="CK213" s="2377">
        <v>0.05</v>
      </c>
      <c r="CL213" s="2337"/>
      <c r="CM213" s="2378"/>
      <c r="CN213" s="2337"/>
      <c r="CO213" s="2337"/>
      <c r="CP213" s="2374"/>
      <c r="CQ213" s="2377"/>
      <c r="CR213" s="2337"/>
      <c r="CS213" s="2378"/>
      <c r="CT213" s="2337"/>
      <c r="CU213" s="2337"/>
      <c r="CV213" s="2374"/>
      <c r="CW213" s="2377"/>
      <c r="CX213" s="2337"/>
      <c r="CY213" s="2378"/>
      <c r="CZ213" s="2337"/>
      <c r="DA213" s="2337"/>
      <c r="DB213" s="2374"/>
      <c r="DC213" s="2377"/>
      <c r="DD213" s="2337"/>
      <c r="DE213" s="2378"/>
      <c r="DF213" s="2337"/>
      <c r="DG213" s="2337"/>
      <c r="DH213" s="2374"/>
      <c r="DI213" s="2377"/>
      <c r="DJ213" s="741"/>
      <c r="DK213" s="741"/>
      <c r="DL213" s="741"/>
      <c r="DM213" s="741"/>
      <c r="DN213" s="741"/>
      <c r="DO213" s="741"/>
      <c r="DP213" s="741"/>
      <c r="DU213" s="741"/>
      <c r="DV213" s="741"/>
      <c r="DX213" s="741"/>
      <c r="DY213" s="741"/>
      <c r="DZ213" s="741"/>
      <c r="EA213" s="741"/>
      <c r="EB213" s="741"/>
      <c r="EC213" s="741"/>
      <c r="ED213" s="741"/>
      <c r="EE213" s="741"/>
      <c r="EF213" s="741"/>
      <c r="EG213" s="741"/>
      <c r="EH213" s="741"/>
      <c r="EI213" s="741"/>
      <c r="EJ213" s="741"/>
      <c r="EK213" s="741"/>
    </row>
    <row r="214" spans="1:141" s="355" customFormat="1" ht="11.25" customHeight="1">
      <c r="A214" s="1434" t="s">
        <v>502</v>
      </c>
      <c r="B214" s="746"/>
      <c r="C214" s="2098"/>
      <c r="D214" s="746"/>
      <c r="E214" s="2098"/>
      <c r="F214" s="746"/>
      <c r="G214" s="2098"/>
      <c r="H214" s="746"/>
      <c r="I214" s="2098"/>
      <c r="J214" s="746"/>
      <c r="K214" s="2098"/>
      <c r="L214" s="746"/>
      <c r="M214" s="2098"/>
      <c r="N214" s="746"/>
      <c r="O214" s="2098"/>
      <c r="P214" s="746"/>
      <c r="Q214" s="2098"/>
      <c r="R214" s="746"/>
      <c r="S214" s="2099"/>
      <c r="T214" s="746"/>
      <c r="U214" s="746"/>
      <c r="V214" s="746"/>
      <c r="W214" s="2098"/>
      <c r="X214" s="746"/>
      <c r="Y214" s="2099"/>
      <c r="Z214" s="746"/>
      <c r="AA214" s="746"/>
      <c r="AB214" s="746"/>
      <c r="AC214" s="2098"/>
      <c r="AD214" s="746"/>
      <c r="AE214" s="2099"/>
      <c r="AF214" s="746"/>
      <c r="AG214" s="746"/>
      <c r="AH214" s="746"/>
      <c r="AI214" s="745"/>
      <c r="AJ214" s="746"/>
      <c r="AK214" s="743"/>
      <c r="AL214" s="744"/>
      <c r="AM214" s="744"/>
      <c r="AN214" s="2097"/>
      <c r="AO214" s="2345"/>
      <c r="AP214" s="746"/>
      <c r="AQ214" s="743"/>
      <c r="AR214" s="744"/>
      <c r="AS214" s="744"/>
      <c r="AT214" s="2097"/>
      <c r="AU214" s="2098"/>
      <c r="AV214" s="746"/>
      <c r="AW214" s="2314"/>
      <c r="AX214" s="2312"/>
      <c r="AY214" s="2312"/>
      <c r="AZ214" s="2315"/>
      <c r="BA214" s="2316"/>
      <c r="BB214" s="2317"/>
      <c r="BC214" s="2314"/>
      <c r="BD214" s="2312"/>
      <c r="BE214" s="2312"/>
      <c r="BF214" s="2315"/>
      <c r="BG214" s="2313"/>
      <c r="BH214" s="2317"/>
      <c r="BI214" s="2318"/>
      <c r="BJ214" s="2312"/>
      <c r="BK214" s="2312"/>
      <c r="BL214" s="2312"/>
      <c r="BM214" s="2313"/>
      <c r="BN214" s="2317"/>
      <c r="BO214" s="2314"/>
      <c r="BP214" s="2312"/>
      <c r="BQ214" s="2312"/>
      <c r="BR214" s="2312"/>
      <c r="BS214" s="2313"/>
      <c r="BT214" s="2323"/>
      <c r="BU214" s="2319"/>
      <c r="BV214" s="2320"/>
      <c r="BW214" s="2320"/>
      <c r="BX214" s="2312"/>
      <c r="BY214" s="2321"/>
      <c r="BZ214" s="2317"/>
      <c r="CA214" s="2335"/>
      <c r="CB214" s="1644"/>
      <c r="CC214" s="1646"/>
      <c r="CD214" s="2375">
        <v>-0.02</v>
      </c>
      <c r="CE214" s="1654"/>
      <c r="CF214" s="2317"/>
      <c r="CG214" s="2335">
        <v>0.02</v>
      </c>
      <c r="CH214" s="1644">
        <v>0.02</v>
      </c>
      <c r="CI214" s="1646">
        <v>3.5000000000000003E-2</v>
      </c>
      <c r="CJ214" s="2375">
        <v>-0.05</v>
      </c>
      <c r="CK214" s="1654">
        <v>-0.02</v>
      </c>
      <c r="CL214" s="1646"/>
      <c r="CM214" s="2379"/>
      <c r="CN214" s="1646"/>
      <c r="CO214" s="1646"/>
      <c r="CP214" s="2375"/>
      <c r="CQ214" s="1654"/>
      <c r="CR214" s="1646"/>
      <c r="CS214" s="2379"/>
      <c r="CT214" s="1646"/>
      <c r="CU214" s="1646"/>
      <c r="CV214" s="2375"/>
      <c r="CW214" s="1654"/>
      <c r="CX214" s="1646"/>
      <c r="CY214" s="2379"/>
      <c r="CZ214" s="1646"/>
      <c r="DA214" s="1646"/>
      <c r="DB214" s="2375"/>
      <c r="DC214" s="1654"/>
      <c r="DD214" s="1646"/>
      <c r="DE214" s="2379"/>
      <c r="DF214" s="1646"/>
      <c r="DG214" s="1646"/>
      <c r="DH214" s="2375"/>
      <c r="DI214" s="1654"/>
      <c r="DJ214" s="741"/>
      <c r="DK214" s="741"/>
      <c r="DL214" s="741"/>
      <c r="DM214" s="741"/>
      <c r="DN214" s="741"/>
      <c r="DO214" s="741"/>
      <c r="DP214" s="741"/>
      <c r="DU214" s="741"/>
      <c r="DV214" s="741"/>
      <c r="DX214" s="741"/>
      <c r="DY214" s="741"/>
      <c r="DZ214" s="741"/>
      <c r="EA214" s="741"/>
      <c r="EB214" s="741"/>
      <c r="EC214" s="741"/>
      <c r="ED214" s="741"/>
      <c r="EE214" s="741"/>
      <c r="EF214" s="741"/>
      <c r="EG214" s="741"/>
      <c r="EH214" s="741"/>
      <c r="EI214" s="741"/>
      <c r="EJ214" s="741"/>
      <c r="EK214" s="741"/>
    </row>
    <row r="215" spans="1:141" s="355" customFormat="1" ht="11.25" customHeight="1">
      <c r="A215" s="2372" t="s">
        <v>582</v>
      </c>
      <c r="B215" s="746"/>
      <c r="C215" s="2098"/>
      <c r="D215" s="746"/>
      <c r="E215" s="2098"/>
      <c r="F215" s="746"/>
      <c r="G215" s="2098"/>
      <c r="H215" s="746"/>
      <c r="I215" s="2098"/>
      <c r="J215" s="746"/>
      <c r="K215" s="2098"/>
      <c r="L215" s="746"/>
      <c r="M215" s="2098"/>
      <c r="N215" s="746"/>
      <c r="O215" s="2098"/>
      <c r="P215" s="746"/>
      <c r="Q215" s="2098"/>
      <c r="R215" s="746"/>
      <c r="S215" s="2099"/>
      <c r="T215" s="746"/>
      <c r="U215" s="746"/>
      <c r="V215" s="746"/>
      <c r="W215" s="2098"/>
      <c r="X215" s="746"/>
      <c r="Y215" s="2099"/>
      <c r="Z215" s="746"/>
      <c r="AA215" s="746"/>
      <c r="AB215" s="746"/>
      <c r="AC215" s="2098"/>
      <c r="AD215" s="746"/>
      <c r="AE215" s="2099"/>
      <c r="AF215" s="746"/>
      <c r="AG215" s="746"/>
      <c r="AH215" s="746"/>
      <c r="AI215" s="745"/>
      <c r="AJ215" s="746"/>
      <c r="AK215" s="743"/>
      <c r="AL215" s="744"/>
      <c r="AM215" s="744"/>
      <c r="AN215" s="744"/>
      <c r="AO215" s="2345"/>
      <c r="AP215" s="746"/>
      <c r="AQ215" s="743"/>
      <c r="AR215" s="744"/>
      <c r="AS215" s="744"/>
      <c r="AT215" s="744"/>
      <c r="AU215" s="2098"/>
      <c r="AV215" s="746"/>
      <c r="AW215" s="2314"/>
      <c r="AX215" s="2312"/>
      <c r="AY215" s="2312"/>
      <c r="AZ215" s="2312"/>
      <c r="BA215" s="2316"/>
      <c r="BB215" s="2317"/>
      <c r="BC215" s="2314"/>
      <c r="BD215" s="2312"/>
      <c r="BE215" s="1644"/>
      <c r="BF215" s="2315"/>
      <c r="BG215" s="2321"/>
      <c r="BH215" s="2317"/>
      <c r="BI215" s="2314"/>
      <c r="BJ215" s="2312"/>
      <c r="BK215" s="2312"/>
      <c r="BL215" s="2312"/>
      <c r="BM215" s="2321"/>
      <c r="BN215" s="2317"/>
      <c r="BO215" s="2314"/>
      <c r="BP215" s="2312"/>
      <c r="BQ215" s="2312"/>
      <c r="BR215" s="2312"/>
      <c r="BS215" s="2336"/>
      <c r="BT215" s="2323"/>
      <c r="BU215" s="2319"/>
      <c r="BV215" s="2320"/>
      <c r="BW215" s="2320"/>
      <c r="BX215" s="2312"/>
      <c r="BY215" s="2336"/>
      <c r="BZ215" s="2317"/>
      <c r="CA215" s="2335"/>
      <c r="CB215" s="1644"/>
      <c r="CC215" s="1646"/>
      <c r="CD215" s="2375">
        <v>0.13</v>
      </c>
      <c r="CE215" s="1654"/>
      <c r="CF215" s="2317"/>
      <c r="CG215" s="2335">
        <v>0.12</v>
      </c>
      <c r="CH215" s="1644">
        <v>0.18</v>
      </c>
      <c r="CI215" s="1646">
        <v>-0.02</v>
      </c>
      <c r="CJ215" s="2375">
        <v>0.1</v>
      </c>
      <c r="CK215" s="1654">
        <v>0.08</v>
      </c>
      <c r="CL215" s="1646"/>
      <c r="CM215" s="2379"/>
      <c r="CN215" s="1646"/>
      <c r="CO215" s="1646"/>
      <c r="CP215" s="2375"/>
      <c r="CQ215" s="1654"/>
      <c r="CR215" s="1646"/>
      <c r="CS215" s="2379"/>
      <c r="CT215" s="1646"/>
      <c r="CU215" s="1646"/>
      <c r="CV215" s="2375"/>
      <c r="CW215" s="1654"/>
      <c r="CX215" s="1646"/>
      <c r="CY215" s="2379"/>
      <c r="CZ215" s="1646"/>
      <c r="DA215" s="1646"/>
      <c r="DB215" s="2375"/>
      <c r="DC215" s="1654"/>
      <c r="DD215" s="1646"/>
      <c r="DE215" s="2379"/>
      <c r="DF215" s="1646"/>
      <c r="DG215" s="1646"/>
      <c r="DH215" s="2375"/>
      <c r="DI215" s="1654"/>
      <c r="DJ215" s="741"/>
      <c r="DK215" s="741"/>
      <c r="DL215" s="741"/>
      <c r="DM215" s="741"/>
      <c r="DN215" s="741"/>
      <c r="DO215" s="741"/>
      <c r="DP215" s="741"/>
      <c r="DU215" s="741"/>
      <c r="DV215" s="741"/>
      <c r="DX215" s="741"/>
      <c r="DY215" s="741"/>
      <c r="DZ215" s="741"/>
      <c r="EA215" s="741"/>
      <c r="EB215" s="741"/>
      <c r="EC215" s="741"/>
      <c r="ED215" s="741"/>
      <c r="EE215" s="741"/>
      <c r="EF215" s="741"/>
      <c r="EG215" s="741"/>
      <c r="EH215" s="741"/>
      <c r="EI215" s="741"/>
      <c r="EJ215" s="741"/>
      <c r="EK215" s="741"/>
    </row>
    <row r="216" spans="1:141" s="355" customFormat="1" ht="11.25" customHeight="1">
      <c r="A216" s="2372" t="s">
        <v>351</v>
      </c>
      <c r="B216" s="746"/>
      <c r="C216" s="2098"/>
      <c r="D216" s="746"/>
      <c r="E216" s="2098"/>
      <c r="F216" s="746"/>
      <c r="G216" s="2098"/>
      <c r="H216" s="746"/>
      <c r="I216" s="2098"/>
      <c r="J216" s="746"/>
      <c r="K216" s="2098"/>
      <c r="L216" s="746"/>
      <c r="M216" s="2098"/>
      <c r="N216" s="746"/>
      <c r="O216" s="2098"/>
      <c r="P216" s="746"/>
      <c r="Q216" s="2098"/>
      <c r="R216" s="746"/>
      <c r="S216" s="2099"/>
      <c r="T216" s="746"/>
      <c r="U216" s="746"/>
      <c r="V216" s="746"/>
      <c r="W216" s="2098"/>
      <c r="X216" s="746"/>
      <c r="Y216" s="2099"/>
      <c r="Z216" s="746"/>
      <c r="AA216" s="746"/>
      <c r="AB216" s="746"/>
      <c r="AC216" s="2098"/>
      <c r="AD216" s="746"/>
      <c r="AE216" s="2099"/>
      <c r="AF216" s="746"/>
      <c r="AG216" s="746"/>
      <c r="AH216" s="746"/>
      <c r="AI216" s="745"/>
      <c r="AJ216" s="746"/>
      <c r="AK216" s="743"/>
      <c r="AL216" s="744"/>
      <c r="AM216" s="744"/>
      <c r="AN216" s="744"/>
      <c r="AO216" s="2345"/>
      <c r="AP216" s="746"/>
      <c r="AQ216" s="743"/>
      <c r="AR216" s="744"/>
      <c r="AS216" s="744"/>
      <c r="AT216" s="744"/>
      <c r="AU216" s="2098"/>
      <c r="AV216" s="746"/>
      <c r="AW216" s="2314"/>
      <c r="AX216" s="2312"/>
      <c r="AY216" s="2312"/>
      <c r="AZ216" s="2312"/>
      <c r="BA216" s="2316"/>
      <c r="BB216" s="2317"/>
      <c r="BC216" s="2314"/>
      <c r="BD216" s="2312"/>
      <c r="BE216" s="1644"/>
      <c r="BF216" s="2315"/>
      <c r="BG216" s="2321"/>
      <c r="BH216" s="2317"/>
      <c r="BI216" s="2314"/>
      <c r="BJ216" s="2312"/>
      <c r="BK216" s="2312"/>
      <c r="BL216" s="2312"/>
      <c r="BM216" s="2321"/>
      <c r="BN216" s="2317"/>
      <c r="BO216" s="2314"/>
      <c r="BP216" s="2312"/>
      <c r="BQ216" s="2312"/>
      <c r="BR216" s="2312"/>
      <c r="BS216" s="2336"/>
      <c r="BT216" s="2323"/>
      <c r="BU216" s="2319"/>
      <c r="BV216" s="2320"/>
      <c r="BW216" s="2320"/>
      <c r="BX216" s="2312"/>
      <c r="BY216" s="2336"/>
      <c r="BZ216" s="2317"/>
      <c r="CA216" s="2335"/>
      <c r="CB216" s="1644"/>
      <c r="CC216" s="1646"/>
      <c r="CD216" s="2375">
        <v>0.22</v>
      </c>
      <c r="CE216" s="1654"/>
      <c r="CF216" s="2317"/>
      <c r="CG216" s="2335">
        <v>0.22</v>
      </c>
      <c r="CH216" s="1644">
        <v>0.18</v>
      </c>
      <c r="CI216" s="1646">
        <v>0.1</v>
      </c>
      <c r="CJ216" s="2375">
        <v>0.05</v>
      </c>
      <c r="CK216" s="1654">
        <v>0.18</v>
      </c>
      <c r="CL216" s="1646"/>
      <c r="CM216" s="2379"/>
      <c r="CN216" s="1646"/>
      <c r="CO216" s="1646"/>
      <c r="CP216" s="2375"/>
      <c r="CQ216" s="1654"/>
      <c r="CR216" s="1646"/>
      <c r="CS216" s="2379"/>
      <c r="CT216" s="1646"/>
      <c r="CU216" s="1646"/>
      <c r="CV216" s="2375"/>
      <c r="CW216" s="1654"/>
      <c r="CX216" s="1646"/>
      <c r="CY216" s="2379"/>
      <c r="CZ216" s="1646"/>
      <c r="DA216" s="1646"/>
      <c r="DB216" s="2375"/>
      <c r="DC216" s="1654"/>
      <c r="DD216" s="1646"/>
      <c r="DE216" s="2379"/>
      <c r="DF216" s="1646"/>
      <c r="DG216" s="1646"/>
      <c r="DH216" s="2375"/>
      <c r="DI216" s="1654"/>
      <c r="DJ216" s="741"/>
      <c r="DK216" s="741"/>
      <c r="DL216" s="741"/>
      <c r="DM216" s="741"/>
      <c r="DN216" s="741"/>
      <c r="DO216" s="741"/>
      <c r="DP216" s="741"/>
      <c r="DU216" s="741"/>
      <c r="DV216" s="741"/>
      <c r="DX216" s="741"/>
      <c r="DY216" s="741"/>
      <c r="DZ216" s="741"/>
      <c r="EA216" s="741"/>
      <c r="EB216" s="741"/>
      <c r="EC216" s="741"/>
      <c r="ED216" s="741"/>
      <c r="EE216" s="741"/>
      <c r="EF216" s="741"/>
      <c r="EG216" s="741"/>
      <c r="EH216" s="741"/>
      <c r="EI216" s="741"/>
      <c r="EJ216" s="741"/>
      <c r="EK216" s="741"/>
    </row>
    <row r="217" spans="1:141" s="355" customFormat="1" ht="11.25" customHeight="1">
      <c r="A217" s="1436" t="s">
        <v>352</v>
      </c>
      <c r="B217" s="2102"/>
      <c r="C217" s="2105"/>
      <c r="D217" s="2102"/>
      <c r="E217" s="2105"/>
      <c r="F217" s="2102"/>
      <c r="G217" s="2105"/>
      <c r="H217" s="2102"/>
      <c r="I217" s="2105"/>
      <c r="J217" s="2102"/>
      <c r="K217" s="2105"/>
      <c r="L217" s="2102"/>
      <c r="M217" s="2105"/>
      <c r="N217" s="2102"/>
      <c r="O217" s="2105"/>
      <c r="P217" s="2102"/>
      <c r="Q217" s="2105"/>
      <c r="R217" s="2102"/>
      <c r="S217" s="2346"/>
      <c r="T217" s="2102"/>
      <c r="U217" s="2102"/>
      <c r="V217" s="2102"/>
      <c r="W217" s="2105"/>
      <c r="X217" s="2102"/>
      <c r="Y217" s="2346"/>
      <c r="Z217" s="2102"/>
      <c r="AA217" s="2102"/>
      <c r="AB217" s="2102"/>
      <c r="AC217" s="2105"/>
      <c r="AD217" s="2102"/>
      <c r="AE217" s="2346"/>
      <c r="AF217" s="2102"/>
      <c r="AG217" s="2102"/>
      <c r="AH217" s="2102"/>
      <c r="AI217" s="2101"/>
      <c r="AJ217" s="2102"/>
      <c r="AK217" s="2103"/>
      <c r="AL217" s="2100"/>
      <c r="AM217" s="2100"/>
      <c r="AN217" s="2100"/>
      <c r="AO217" s="2101"/>
      <c r="AP217" s="2102"/>
      <c r="AQ217" s="2103"/>
      <c r="AR217" s="2100"/>
      <c r="AS217" s="2100"/>
      <c r="AT217" s="2100"/>
      <c r="AU217" s="2101"/>
      <c r="AV217" s="2102"/>
      <c r="AW217" s="2334"/>
      <c r="AX217" s="2104"/>
      <c r="AY217" s="2104"/>
      <c r="AZ217" s="2324"/>
      <c r="BA217" s="2325"/>
      <c r="BB217" s="2326"/>
      <c r="BC217" s="2327"/>
      <c r="BD217" s="2104"/>
      <c r="BE217" s="2104"/>
      <c r="BF217" s="2328"/>
      <c r="BG217" s="2329"/>
      <c r="BH217" s="2326"/>
      <c r="BI217" s="2330"/>
      <c r="BJ217" s="2331"/>
      <c r="BK217" s="2331"/>
      <c r="BL217" s="2331"/>
      <c r="BM217" s="2325"/>
      <c r="BN217" s="2326"/>
      <c r="BO217" s="2330"/>
      <c r="BP217" s="2331"/>
      <c r="BQ217" s="2331"/>
      <c r="BR217" s="2331"/>
      <c r="BS217" s="2325"/>
      <c r="BT217" s="2332"/>
      <c r="BU217" s="2327"/>
      <c r="BV217" s="2324"/>
      <c r="BW217" s="2324"/>
      <c r="BX217" s="2331"/>
      <c r="BY217" s="2325"/>
      <c r="BZ217" s="2326"/>
      <c r="CA217" s="2327"/>
      <c r="CB217" s="2324"/>
      <c r="CC217" s="2324"/>
      <c r="CD217" s="2333"/>
      <c r="CE217" s="2325"/>
      <c r="CF217" s="2326"/>
      <c r="CG217" s="2334"/>
      <c r="CH217" s="2104"/>
      <c r="CI217" s="1649"/>
      <c r="CJ217" s="2376"/>
      <c r="CK217" s="1655"/>
      <c r="CL217" s="1649"/>
      <c r="CM217" s="1648"/>
      <c r="CN217" s="1649"/>
      <c r="CO217" s="1649"/>
      <c r="CP217" s="2376"/>
      <c r="CQ217" s="1655"/>
      <c r="CR217" s="1649"/>
      <c r="CS217" s="1648"/>
      <c r="CT217" s="1649"/>
      <c r="CU217" s="1649"/>
      <c r="CV217" s="2376"/>
      <c r="CW217" s="1655"/>
      <c r="CX217" s="1649"/>
      <c r="CY217" s="1648"/>
      <c r="CZ217" s="1649"/>
      <c r="DA217" s="1649"/>
      <c r="DB217" s="2376"/>
      <c r="DC217" s="1655"/>
      <c r="DD217" s="1649"/>
      <c r="DE217" s="1648"/>
      <c r="DF217" s="1649"/>
      <c r="DG217" s="1649"/>
      <c r="DH217" s="2376"/>
      <c r="DI217" s="1655"/>
      <c r="DJ217" s="741"/>
      <c r="DK217" s="741"/>
      <c r="DL217" s="741"/>
      <c r="DM217" s="741"/>
      <c r="DN217" s="741"/>
      <c r="DO217" s="741"/>
      <c r="DP217" s="741"/>
      <c r="DU217" s="741"/>
      <c r="DV217" s="741"/>
      <c r="DX217" s="741"/>
      <c r="DY217" s="741"/>
      <c r="DZ217" s="741"/>
      <c r="EA217" s="741"/>
      <c r="EB217" s="741"/>
      <c r="EC217" s="741"/>
      <c r="ED217" s="741"/>
      <c r="EE217" s="741"/>
      <c r="EF217" s="741"/>
      <c r="EG217" s="741"/>
      <c r="EH217" s="741"/>
      <c r="EI217" s="741"/>
      <c r="EJ217" s="741"/>
      <c r="EK217" s="741"/>
    </row>
    <row r="218" spans="1:141" s="355" customFormat="1" ht="11.25" customHeight="1">
      <c r="A218" s="585"/>
      <c r="B218" s="746"/>
      <c r="C218" s="746"/>
      <c r="D218" s="746"/>
      <c r="E218" s="746"/>
      <c r="F218" s="746"/>
      <c r="G218" s="746"/>
      <c r="H218" s="746"/>
      <c r="I218" s="746"/>
      <c r="J218" s="746"/>
      <c r="K218" s="746"/>
      <c r="L218" s="746"/>
      <c r="M218" s="746"/>
      <c r="N218" s="746"/>
      <c r="O218" s="746"/>
      <c r="P218" s="746"/>
      <c r="Q218" s="746"/>
      <c r="R218" s="746"/>
      <c r="S218" s="746"/>
      <c r="T218" s="746"/>
      <c r="U218" s="746"/>
      <c r="V218" s="746"/>
      <c r="W218" s="746"/>
      <c r="X218" s="746"/>
      <c r="Y218" s="746"/>
      <c r="Z218" s="746"/>
      <c r="AA218" s="746"/>
      <c r="AB218" s="746"/>
      <c r="AC218" s="746"/>
      <c r="AD218" s="746"/>
      <c r="AE218" s="746"/>
      <c r="AF218" s="746"/>
      <c r="AG218" s="746"/>
      <c r="AH218" s="746"/>
      <c r="AI218" s="744"/>
      <c r="AJ218" s="746"/>
      <c r="AK218" s="744"/>
      <c r="AL218" s="744"/>
      <c r="AM218" s="744"/>
      <c r="AN218" s="744"/>
      <c r="AO218" s="744"/>
      <c r="AP218" s="746"/>
      <c r="AQ218" s="744"/>
      <c r="AR218" s="744"/>
      <c r="AS218" s="744"/>
      <c r="AT218" s="744"/>
      <c r="AU218" s="744"/>
      <c r="AV218" s="746"/>
      <c r="AW218" s="1644"/>
      <c r="AX218" s="1644"/>
      <c r="AY218" s="1644"/>
      <c r="AZ218" s="2312"/>
      <c r="BA218" s="2312"/>
      <c r="BB218" s="2317"/>
      <c r="BC218" s="2312"/>
      <c r="BD218" s="1644"/>
      <c r="BE218" s="1644"/>
      <c r="BF218" s="2312"/>
      <c r="BG218" s="2320"/>
      <c r="BH218" s="2317"/>
      <c r="BI218" s="2320"/>
      <c r="BJ218" s="2320"/>
      <c r="BK218" s="2320"/>
      <c r="BL218" s="2320"/>
      <c r="BM218" s="2312"/>
      <c r="BN218" s="2317"/>
      <c r="BO218" s="2320"/>
      <c r="BP218" s="2320"/>
      <c r="BQ218" s="2320"/>
      <c r="BR218" s="2320"/>
      <c r="BS218" s="2312"/>
      <c r="BT218" s="2317"/>
      <c r="BU218" s="2312"/>
      <c r="BV218" s="2312"/>
      <c r="BW218" s="2312"/>
      <c r="BX218" s="2320"/>
      <c r="BY218" s="2312"/>
      <c r="BZ218" s="2317"/>
      <c r="CA218" s="2312"/>
      <c r="CB218" s="2312"/>
      <c r="CC218" s="2312"/>
      <c r="CD218" s="2317"/>
      <c r="CE218" s="2312"/>
      <c r="CF218" s="2317"/>
      <c r="CG218" s="2312"/>
      <c r="CH218" s="2312"/>
      <c r="CI218" s="2317"/>
      <c r="CJ218" s="2317"/>
      <c r="CK218" s="2317"/>
      <c r="CL218" s="2317"/>
      <c r="CM218" s="2317"/>
      <c r="CN218" s="2317"/>
      <c r="CO218" s="2317"/>
      <c r="CP218" s="2317"/>
      <c r="CQ218" s="2317"/>
      <c r="CR218" s="2317"/>
      <c r="CS218" s="2317"/>
      <c r="CT218" s="2317"/>
      <c r="CU218" s="2317"/>
      <c r="CV218" s="2317"/>
      <c r="CW218" s="2317"/>
      <c r="CX218" s="2317"/>
      <c r="CY218" s="2317"/>
      <c r="CZ218" s="2317"/>
      <c r="DA218" s="2317"/>
      <c r="DB218" s="2317"/>
      <c r="DC218" s="2317"/>
      <c r="DD218" s="2317"/>
      <c r="DE218" s="2317"/>
      <c r="DF218" s="2317"/>
      <c r="DG218" s="2317"/>
      <c r="DH218" s="2317"/>
      <c r="DI218" s="2317"/>
      <c r="DJ218" s="741"/>
      <c r="DK218" s="741"/>
      <c r="DL218" s="741"/>
      <c r="DM218" s="741"/>
      <c r="DN218" s="741"/>
      <c r="DO218" s="741"/>
      <c r="DP218" s="741"/>
      <c r="DU218" s="741"/>
      <c r="DV218" s="741"/>
      <c r="DX218" s="741"/>
      <c r="DY218" s="741"/>
      <c r="DZ218" s="741"/>
      <c r="EA218" s="741"/>
      <c r="EB218" s="741"/>
      <c r="EC218" s="741"/>
      <c r="ED218" s="741"/>
      <c r="EE218" s="741"/>
      <c r="EF218" s="741"/>
      <c r="EG218" s="741"/>
      <c r="EH218" s="741"/>
      <c r="EI218" s="741"/>
      <c r="EJ218" s="741"/>
      <c r="EK218" s="741"/>
    </row>
    <row r="219" spans="1:141" s="355" customFormat="1" ht="11.25" hidden="1" customHeight="1" outlineLevel="1">
      <c r="A219" s="363"/>
      <c r="B219" s="363"/>
      <c r="C219" s="363"/>
      <c r="D219" s="363"/>
      <c r="E219" s="363"/>
      <c r="F219" s="363"/>
      <c r="G219" s="363"/>
      <c r="H219" s="363"/>
      <c r="I219" s="363"/>
      <c r="J219" s="363"/>
      <c r="K219" s="363"/>
      <c r="L219" s="363"/>
      <c r="M219" s="363"/>
      <c r="N219" s="363"/>
      <c r="O219" s="363"/>
      <c r="P219" s="363"/>
      <c r="Q219" s="363"/>
      <c r="R219" s="363"/>
      <c r="S219" s="363"/>
      <c r="T219" s="363"/>
      <c r="U219" s="363"/>
      <c r="V219" s="363"/>
      <c r="W219" s="546"/>
      <c r="X219" s="363"/>
      <c r="Y219" s="546"/>
      <c r="Z219" s="546"/>
      <c r="AA219" s="546"/>
      <c r="AB219" s="546"/>
      <c r="AC219" s="546"/>
      <c r="AD219" s="363"/>
      <c r="AE219" s="546"/>
      <c r="AF219" s="546"/>
      <c r="AG219" s="546"/>
      <c r="AH219" s="546"/>
      <c r="AI219" s="547"/>
      <c r="AJ219" s="363"/>
      <c r="AK219" s="546"/>
      <c r="AL219" s="546"/>
      <c r="AM219" s="546"/>
      <c r="AN219" s="546"/>
      <c r="AO219" s="547"/>
      <c r="AP219" s="363"/>
      <c r="AQ219" s="546"/>
      <c r="AR219" s="546"/>
      <c r="AS219" s="1322" t="s">
        <v>337</v>
      </c>
      <c r="AT219" s="363"/>
      <c r="AU219" s="363"/>
      <c r="AV219" s="363"/>
      <c r="AW219" s="353"/>
      <c r="AX219" s="353"/>
      <c r="AY219" s="353"/>
      <c r="AZ219" s="353"/>
      <c r="BA219" s="353"/>
      <c r="BB219" s="353"/>
      <c r="BC219" s="353"/>
      <c r="BD219" s="353"/>
      <c r="BE219" s="353"/>
      <c r="BF219" s="353"/>
      <c r="BG219" s="353"/>
      <c r="BH219" s="353"/>
      <c r="BI219" s="353"/>
      <c r="BJ219" s="353"/>
      <c r="BK219" s="353"/>
      <c r="BL219" s="363"/>
      <c r="BM219" s="363"/>
      <c r="BN219" s="363"/>
      <c r="BO219" s="363"/>
      <c r="BP219" s="363"/>
      <c r="BQ219" s="363"/>
      <c r="BR219" s="363"/>
      <c r="BS219" s="363"/>
      <c r="BT219" s="363"/>
      <c r="BU219" s="353"/>
      <c r="BV219" s="353"/>
      <c r="BW219" s="363"/>
      <c r="BX219" s="353"/>
      <c r="BY219" s="353"/>
      <c r="BZ219" s="353"/>
      <c r="CA219" s="353"/>
      <c r="CB219" s="353"/>
      <c r="CC219" s="353"/>
      <c r="CD219" s="353"/>
      <c r="CE219" s="353"/>
      <c r="CF219" s="353"/>
      <c r="CG219" s="353"/>
      <c r="CH219" s="353"/>
      <c r="CI219" s="353"/>
      <c r="CJ219" s="353"/>
      <c r="CK219" s="353"/>
      <c r="CL219" s="353"/>
      <c r="CM219" s="353"/>
      <c r="CN219" s="353"/>
      <c r="CO219" s="353"/>
      <c r="CP219" s="353"/>
      <c r="CQ219" s="353"/>
      <c r="CR219" s="353"/>
      <c r="CS219" s="353"/>
      <c r="CT219" s="353"/>
      <c r="CU219" s="353"/>
      <c r="CV219" s="353"/>
      <c r="CW219" s="353"/>
      <c r="CX219" s="353"/>
      <c r="CY219" s="353"/>
      <c r="CZ219" s="353"/>
      <c r="DA219" s="353"/>
      <c r="DB219" s="353"/>
      <c r="DC219" s="353"/>
      <c r="DD219" s="353"/>
      <c r="DE219" s="353"/>
      <c r="DF219" s="353"/>
      <c r="DG219" s="353"/>
      <c r="DH219" s="353"/>
      <c r="DI219" s="353"/>
    </row>
    <row r="220" spans="1:141" s="355" customFormat="1" ht="11.25" hidden="1" customHeight="1" outlineLevel="1">
      <c r="A220" s="739" t="s">
        <v>382</v>
      </c>
      <c r="B220" s="363"/>
      <c r="C220" s="363"/>
      <c r="D220" s="363"/>
      <c r="E220" s="363"/>
      <c r="F220" s="363"/>
      <c r="G220" s="363"/>
      <c r="H220" s="363"/>
      <c r="I220" s="363"/>
      <c r="J220" s="363"/>
      <c r="K220" s="363"/>
      <c r="L220" s="363"/>
      <c r="M220" s="363"/>
      <c r="N220" s="363"/>
      <c r="O220" s="363"/>
      <c r="P220" s="363"/>
      <c r="Q220" s="363"/>
      <c r="R220" s="363"/>
      <c r="S220" s="363"/>
      <c r="T220" s="363"/>
      <c r="U220" s="363"/>
      <c r="V220" s="363"/>
      <c r="W220" s="546"/>
      <c r="X220" s="363"/>
      <c r="Y220" s="546"/>
      <c r="Z220" s="546"/>
      <c r="AA220" s="546"/>
      <c r="AB220" s="546"/>
      <c r="AC220" s="546"/>
      <c r="AD220" s="363"/>
      <c r="AE220" s="546"/>
      <c r="AF220" s="546"/>
      <c r="AG220" s="546"/>
      <c r="AH220" s="546"/>
      <c r="AI220" s="547"/>
      <c r="AJ220" s="363"/>
      <c r="AK220" s="546"/>
      <c r="AL220" s="546"/>
      <c r="AM220" s="546"/>
      <c r="AN220" s="546"/>
      <c r="AO220" s="547"/>
      <c r="AP220" s="363"/>
      <c r="AQ220" s="546"/>
      <c r="AR220" s="546"/>
      <c r="AS220" s="1322"/>
      <c r="AT220" s="363"/>
      <c r="AU220" s="363"/>
      <c r="AV220" s="363"/>
      <c r="AW220" s="353"/>
      <c r="AX220" s="353"/>
      <c r="AY220" s="353"/>
      <c r="AZ220" s="353"/>
      <c r="BA220" s="353"/>
      <c r="BB220" s="353"/>
      <c r="BC220" s="1340"/>
      <c r="BD220" s="353"/>
      <c r="BE220" s="353"/>
      <c r="BF220" s="353"/>
      <c r="BG220" s="353"/>
      <c r="BH220" s="353"/>
      <c r="BI220" s="353"/>
      <c r="BJ220" s="353"/>
      <c r="BK220" s="353"/>
      <c r="BL220" s="363"/>
      <c r="BM220" s="363"/>
      <c r="BN220" s="363"/>
      <c r="BO220" s="363"/>
      <c r="BP220" s="363"/>
      <c r="BQ220" s="363"/>
      <c r="BR220" s="363"/>
      <c r="BS220" s="363"/>
      <c r="BT220" s="9"/>
      <c r="BU220" s="353"/>
      <c r="BV220" s="353"/>
      <c r="BW220" s="353"/>
      <c r="BX220" s="353"/>
      <c r="BY220" s="353"/>
      <c r="BZ220" s="353"/>
      <c r="CA220" s="353"/>
      <c r="CB220" s="353"/>
      <c r="CC220" s="353"/>
      <c r="CD220" s="353"/>
      <c r="CE220" s="353"/>
      <c r="CF220" s="353"/>
      <c r="CG220" s="353"/>
      <c r="CH220" s="353"/>
      <c r="CI220" s="353"/>
      <c r="CJ220" s="353"/>
      <c r="CK220" s="353"/>
      <c r="CL220" s="353"/>
      <c r="CM220" s="353"/>
      <c r="CN220" s="353"/>
      <c r="CO220" s="353"/>
      <c r="CP220" s="353"/>
      <c r="CQ220" s="353"/>
      <c r="CR220" s="353"/>
      <c r="CS220" s="353"/>
      <c r="CT220" s="353"/>
      <c r="CU220" s="353"/>
      <c r="CV220" s="353"/>
      <c r="CW220" s="353"/>
      <c r="CX220" s="353"/>
      <c r="CY220" s="353"/>
      <c r="CZ220" s="353"/>
      <c r="DA220" s="353"/>
      <c r="DB220" s="353"/>
      <c r="DC220" s="353"/>
      <c r="DD220" s="353"/>
      <c r="DE220" s="353"/>
      <c r="DF220" s="353"/>
      <c r="DG220" s="353"/>
      <c r="DH220" s="353"/>
      <c r="DI220" s="353"/>
    </row>
    <row r="221" spans="1:141" s="355" customFormat="1" ht="11.25" hidden="1" customHeight="1" outlineLevel="1">
      <c r="A221" s="556" t="s">
        <v>383</v>
      </c>
      <c r="B221" s="363"/>
      <c r="C221" s="363"/>
      <c r="D221" s="363"/>
      <c r="E221" s="363"/>
      <c r="F221" s="363"/>
      <c r="G221" s="363"/>
      <c r="H221" s="363"/>
      <c r="I221" s="363"/>
      <c r="J221" s="363"/>
      <c r="K221" s="363"/>
      <c r="L221" s="363"/>
      <c r="M221" s="363"/>
      <c r="N221" s="363"/>
      <c r="O221" s="363"/>
      <c r="P221" s="363"/>
      <c r="Q221" s="363"/>
      <c r="R221" s="363"/>
      <c r="S221" s="363"/>
      <c r="T221" s="363"/>
      <c r="U221" s="363"/>
      <c r="V221" s="363"/>
      <c r="W221" s="546"/>
      <c r="X221" s="363"/>
      <c r="Y221" s="546"/>
      <c r="Z221" s="546"/>
      <c r="AA221" s="546"/>
      <c r="AB221" s="546"/>
      <c r="AC221" s="546"/>
      <c r="AD221" s="363"/>
      <c r="AE221" s="546"/>
      <c r="AF221" s="546"/>
      <c r="AG221" s="546"/>
      <c r="AH221" s="546"/>
      <c r="AI221" s="547"/>
      <c r="AJ221" s="363"/>
      <c r="AK221" s="546"/>
      <c r="AL221" s="546"/>
      <c r="AM221" s="546"/>
      <c r="AN221" s="546"/>
      <c r="AO221" s="547"/>
      <c r="AP221" s="363"/>
      <c r="AQ221" s="546"/>
      <c r="AR221" s="546"/>
      <c r="AS221" s="1322"/>
      <c r="AT221" s="363"/>
      <c r="AU221" s="363"/>
      <c r="AV221" s="363"/>
      <c r="AW221" s="353"/>
      <c r="AX221" s="353"/>
      <c r="AY221" s="353"/>
      <c r="AZ221" s="353"/>
      <c r="BA221" s="353"/>
      <c r="BB221" s="353"/>
      <c r="BC221" s="1332" t="s">
        <v>384</v>
      </c>
      <c r="BD221" s="353"/>
      <c r="BE221" s="353"/>
      <c r="BF221" s="353"/>
      <c r="BG221" s="353"/>
      <c r="BH221" s="353"/>
      <c r="BI221" s="353"/>
      <c r="BJ221" s="353"/>
      <c r="BK221" s="353"/>
      <c r="BL221" s="363"/>
      <c r="BM221" s="363"/>
      <c r="BN221" s="363"/>
      <c r="BO221" s="363"/>
      <c r="BP221" s="363"/>
      <c r="BQ221" s="363"/>
      <c r="BR221" s="363"/>
      <c r="BS221" s="363"/>
      <c r="BT221" s="353"/>
      <c r="BU221" s="353"/>
      <c r="BV221" s="353"/>
      <c r="BW221" s="353"/>
      <c r="BX221" s="353"/>
      <c r="BY221" s="353"/>
      <c r="BZ221" s="353"/>
      <c r="CA221" s="353"/>
      <c r="CB221" s="353"/>
      <c r="CC221" s="353"/>
      <c r="CD221" s="353"/>
      <c r="CE221" s="353"/>
      <c r="CF221" s="353"/>
      <c r="CG221" s="353"/>
      <c r="CH221" s="353"/>
      <c r="CI221" s="353"/>
      <c r="CJ221" s="353"/>
      <c r="CK221" s="353"/>
      <c r="CL221" s="353"/>
      <c r="CM221" s="353"/>
      <c r="CN221" s="353"/>
      <c r="CO221" s="353"/>
      <c r="CP221" s="353"/>
      <c r="CQ221" s="353"/>
      <c r="CR221" s="353"/>
      <c r="CS221" s="353"/>
      <c r="CT221" s="353"/>
      <c r="CU221" s="353"/>
      <c r="CV221" s="353"/>
      <c r="CW221" s="353"/>
      <c r="CX221" s="353"/>
      <c r="CY221" s="353"/>
      <c r="CZ221" s="353"/>
      <c r="DA221" s="353"/>
      <c r="DB221" s="353"/>
      <c r="DC221" s="353"/>
      <c r="DD221" s="353"/>
      <c r="DE221" s="353"/>
      <c r="DF221" s="353"/>
      <c r="DG221" s="353"/>
      <c r="DH221" s="353"/>
      <c r="DI221" s="353"/>
    </row>
    <row r="222" spans="1:141" s="355" customFormat="1" ht="11.25" hidden="1" customHeight="1" outlineLevel="1">
      <c r="A222" s="739" t="s">
        <v>385</v>
      </c>
      <c r="B222" s="363"/>
      <c r="C222" s="363"/>
      <c r="D222" s="363"/>
      <c r="E222" s="363"/>
      <c r="F222" s="363"/>
      <c r="G222" s="363"/>
      <c r="H222" s="363"/>
      <c r="I222" s="363"/>
      <c r="J222" s="363"/>
      <c r="K222" s="363"/>
      <c r="L222" s="363"/>
      <c r="M222" s="363"/>
      <c r="N222" s="363"/>
      <c r="O222" s="363"/>
      <c r="P222" s="363"/>
      <c r="Q222" s="363"/>
      <c r="R222" s="363"/>
      <c r="S222" s="363"/>
      <c r="T222" s="363"/>
      <c r="U222" s="363"/>
      <c r="V222" s="363"/>
      <c r="W222" s="546"/>
      <c r="X222" s="363"/>
      <c r="Y222" s="546"/>
      <c r="Z222" s="546"/>
      <c r="AA222" s="546"/>
      <c r="AB222" s="546"/>
      <c r="AC222" s="546"/>
      <c r="AD222" s="363"/>
      <c r="AE222" s="546"/>
      <c r="AF222" s="546"/>
      <c r="AG222" s="546"/>
      <c r="AH222" s="546"/>
      <c r="AI222" s="547"/>
      <c r="AJ222" s="363"/>
      <c r="AK222" s="546"/>
      <c r="AL222" s="546"/>
      <c r="AM222" s="546"/>
      <c r="AN222" s="546"/>
      <c r="AO222" s="547"/>
      <c r="AP222" s="363"/>
      <c r="AQ222" s="546"/>
      <c r="AR222" s="546"/>
      <c r="AS222" s="1322"/>
      <c r="AT222" s="363"/>
      <c r="AU222" s="363"/>
      <c r="AV222" s="363"/>
      <c r="AW222" s="353"/>
      <c r="AX222" s="353"/>
      <c r="AY222" s="353"/>
      <c r="AZ222" s="353"/>
      <c r="BA222" s="353"/>
      <c r="BB222" s="353"/>
      <c r="BC222" s="353"/>
      <c r="BD222" s="353"/>
      <c r="BE222" s="353"/>
      <c r="BF222" s="353"/>
      <c r="BG222" s="353"/>
      <c r="BH222" s="353"/>
      <c r="BI222" s="353"/>
      <c r="BJ222" s="353"/>
      <c r="BK222" s="353"/>
      <c r="BL222" s="363"/>
      <c r="BM222" s="363"/>
      <c r="BN222" s="363"/>
      <c r="BO222" s="363"/>
      <c r="BP222" s="363"/>
      <c r="BQ222" s="363"/>
      <c r="BR222" s="363"/>
      <c r="BS222"/>
      <c r="BT222" s="353"/>
      <c r="BU222" s="353"/>
      <c r="BV222" s="353"/>
      <c r="BW222" s="353"/>
      <c r="BX222" s="353"/>
      <c r="BY222" s="353"/>
      <c r="BZ222" s="353"/>
      <c r="CA222" s="353"/>
      <c r="CB222" s="353"/>
      <c r="CC222" s="353"/>
      <c r="CD222" s="353"/>
      <c r="CE222" s="353"/>
      <c r="CF222" s="353"/>
      <c r="CG222" s="353"/>
      <c r="CH222" s="353"/>
      <c r="CI222" s="353"/>
      <c r="CJ222" s="353"/>
      <c r="CK222" s="353"/>
      <c r="CL222" s="353"/>
      <c r="CM222" s="353"/>
      <c r="CN222" s="353"/>
      <c r="CO222" s="353"/>
      <c r="CP222" s="353"/>
      <c r="CQ222" s="353"/>
      <c r="CR222" s="353"/>
      <c r="CS222" s="353"/>
      <c r="CT222" s="353"/>
      <c r="CU222" s="353"/>
      <c r="CV222" s="353"/>
      <c r="CW222" s="353"/>
      <c r="CX222" s="353"/>
      <c r="CY222" s="353"/>
      <c r="CZ222" s="353"/>
      <c r="DA222" s="353"/>
      <c r="DB222" s="353"/>
      <c r="DC222" s="353"/>
      <c r="DD222" s="353"/>
      <c r="DE222" s="353"/>
      <c r="DF222" s="353"/>
      <c r="DG222" s="353"/>
      <c r="DH222" s="353"/>
      <c r="DI222" s="353"/>
    </row>
    <row r="223" spans="1:141" s="355" customFormat="1" ht="11.25" hidden="1" customHeight="1" outlineLevel="1">
      <c r="A223" s="363" t="s">
        <v>386</v>
      </c>
      <c r="B223" s="363"/>
      <c r="C223" s="363"/>
      <c r="D223" s="363"/>
      <c r="E223" s="363"/>
      <c r="F223" s="363"/>
      <c r="G223" s="363"/>
      <c r="H223" s="363"/>
      <c r="I223" s="363"/>
      <c r="J223" s="363"/>
      <c r="K223" s="363"/>
      <c r="L223" s="363"/>
      <c r="M223" s="363"/>
      <c r="N223" s="363"/>
      <c r="O223" s="363"/>
      <c r="P223" s="363"/>
      <c r="Q223" s="363"/>
      <c r="R223" s="363"/>
      <c r="S223" s="363"/>
      <c r="T223" s="363"/>
      <c r="U223" s="363"/>
      <c r="V223" s="363"/>
      <c r="W223" s="546"/>
      <c r="X223" s="363"/>
      <c r="Y223" s="546"/>
      <c r="Z223" s="546"/>
      <c r="AA223" s="546"/>
      <c r="AB223" s="546"/>
      <c r="AC223" s="546"/>
      <c r="AD223" s="363"/>
      <c r="AE223" s="546"/>
      <c r="AF223" s="546"/>
      <c r="AG223" s="546"/>
      <c r="AH223" s="546"/>
      <c r="AI223" s="547"/>
      <c r="AJ223" s="363"/>
      <c r="AK223" s="546"/>
      <c r="AL223" s="546"/>
      <c r="AM223" s="546"/>
      <c r="AN223" s="546"/>
      <c r="AO223" s="547"/>
      <c r="AP223" s="363"/>
      <c r="AQ223" s="546"/>
      <c r="AR223" s="546"/>
      <c r="AS223" s="1322"/>
      <c r="AT223" s="363"/>
      <c r="AU223" s="363"/>
      <c r="AV223" s="363"/>
      <c r="AW223" s="353"/>
      <c r="AX223" s="353"/>
      <c r="AY223" s="353"/>
      <c r="AZ223" s="353"/>
      <c r="BA223" s="353"/>
      <c r="BB223" s="353"/>
      <c r="BC223" s="353"/>
      <c r="BD223" s="353"/>
      <c r="BE223" s="353"/>
      <c r="BF223" s="353"/>
      <c r="BG223" s="353"/>
      <c r="BH223" s="353"/>
      <c r="BI223" s="353"/>
      <c r="BJ223" s="353"/>
      <c r="BK223" s="353" t="s">
        <v>392</v>
      </c>
      <c r="BL223" s="363"/>
      <c r="BM223" s="363"/>
      <c r="BN223" s="363"/>
      <c r="BO223" s="1864"/>
      <c r="BP223" s="1864"/>
      <c r="BQ223" s="1864"/>
      <c r="BR223" s="746"/>
      <c r="BS223" s="1691"/>
      <c r="BT223" s="746"/>
      <c r="BU223" s="480">
        <v>0.08</v>
      </c>
      <c r="BV223" s="1690">
        <v>0.12</v>
      </c>
      <c r="BW223" s="746">
        <v>0.12</v>
      </c>
      <c r="BX223" s="1896" t="s">
        <v>399</v>
      </c>
      <c r="BY223" s="1897"/>
      <c r="BZ223" s="353"/>
      <c r="CA223" s="1896" t="s">
        <v>399</v>
      </c>
      <c r="CB223" s="1896" t="s">
        <v>399</v>
      </c>
      <c r="CC223" s="353"/>
      <c r="CD223" s="353"/>
      <c r="CE223" s="353"/>
      <c r="CF223" s="353"/>
      <c r="CG223" s="353"/>
      <c r="CH223" s="353"/>
      <c r="CI223" s="353"/>
      <c r="CJ223" s="353"/>
      <c r="CK223" s="353"/>
      <c r="CL223" s="353"/>
      <c r="CM223" s="353"/>
      <c r="CN223" s="353"/>
      <c r="CO223" s="353"/>
      <c r="CP223" s="353"/>
      <c r="CQ223" s="353"/>
      <c r="CR223" s="353"/>
      <c r="CS223" s="353"/>
      <c r="CT223" s="353"/>
      <c r="CU223" s="353"/>
      <c r="CV223" s="353"/>
      <c r="CW223" s="353"/>
      <c r="CX223" s="353"/>
      <c r="CY223" s="353"/>
      <c r="CZ223" s="353"/>
      <c r="DA223" s="353"/>
      <c r="DB223" s="353"/>
      <c r="DC223" s="353"/>
      <c r="DD223" s="353"/>
      <c r="DE223" s="353"/>
      <c r="DF223" s="353"/>
      <c r="DG223" s="353"/>
      <c r="DH223" s="353"/>
      <c r="DI223" s="353"/>
    </row>
    <row r="224" spans="1:141" s="355" customFormat="1" ht="11.25" hidden="1" customHeight="1" outlineLevel="1">
      <c r="A224" s="363" t="s">
        <v>387</v>
      </c>
      <c r="B224" s="363"/>
      <c r="C224" s="363"/>
      <c r="D224" s="363"/>
      <c r="E224" s="363"/>
      <c r="F224" s="363"/>
      <c r="G224" s="363"/>
      <c r="H224" s="363"/>
      <c r="I224" s="363"/>
      <c r="J224" s="363"/>
      <c r="K224" s="363"/>
      <c r="L224" s="363"/>
      <c r="M224" s="363"/>
      <c r="N224" s="363"/>
      <c r="O224" s="363"/>
      <c r="P224" s="363"/>
      <c r="Q224" s="363"/>
      <c r="R224" s="363"/>
      <c r="S224" s="363"/>
      <c r="T224" s="363"/>
      <c r="U224" s="363"/>
      <c r="V224" s="363"/>
      <c r="W224" s="546"/>
      <c r="X224" s="363"/>
      <c r="Y224" s="546"/>
      <c r="Z224" s="546"/>
      <c r="AA224" s="546"/>
      <c r="AB224" s="546"/>
      <c r="AC224" s="546"/>
      <c r="AD224" s="363"/>
      <c r="AE224" s="546"/>
      <c r="AF224" s="546"/>
      <c r="AG224" s="546"/>
      <c r="AH224" s="546"/>
      <c r="AI224" s="547"/>
      <c r="AJ224" s="363"/>
      <c r="AK224" s="546"/>
      <c r="AL224" s="546"/>
      <c r="AM224" s="546"/>
      <c r="AN224" s="546"/>
      <c r="AO224" s="547"/>
      <c r="AP224" s="363"/>
      <c r="AQ224" s="546"/>
      <c r="AR224" s="546"/>
      <c r="AS224" s="1322"/>
      <c r="AT224" s="363"/>
      <c r="AU224" s="363"/>
      <c r="AV224" s="363"/>
      <c r="AW224" s="353"/>
      <c r="AX224" s="353"/>
      <c r="AY224" s="353"/>
      <c r="AZ224" s="353"/>
      <c r="BA224" s="353"/>
      <c r="BB224" s="353"/>
      <c r="BC224" s="353"/>
      <c r="BD224" s="353"/>
      <c r="BE224" s="353"/>
      <c r="BF224" s="353"/>
      <c r="BG224" s="353"/>
      <c r="BH224" s="353"/>
      <c r="BI224" s="353"/>
      <c r="BJ224" s="353"/>
      <c r="BK224" s="353"/>
      <c r="BL224" s="363"/>
      <c r="BM224" s="363"/>
      <c r="BN224" s="363"/>
      <c r="BO224" s="1864"/>
      <c r="BP224" s="1864"/>
      <c r="BQ224" s="1864"/>
      <c r="BR224" s="746"/>
      <c r="BS224" s="1691"/>
      <c r="BT224" s="746"/>
      <c r="BU224" s="480">
        <v>0.02</v>
      </c>
      <c r="BV224" s="1690">
        <v>0.05</v>
      </c>
      <c r="BW224" s="746">
        <v>0.05</v>
      </c>
      <c r="BX224" s="1573" t="s">
        <v>399</v>
      </c>
      <c r="BY224" s="1897"/>
      <c r="BZ224" s="353"/>
      <c r="CA224" s="1896" t="s">
        <v>399</v>
      </c>
      <c r="CB224" s="1922" t="s">
        <v>26</v>
      </c>
      <c r="CC224" s="353"/>
      <c r="CD224" s="353"/>
      <c r="CE224" s="353"/>
      <c r="CF224" s="353"/>
      <c r="CG224" s="353"/>
      <c r="CH224" s="353"/>
      <c r="CI224" s="353"/>
      <c r="CJ224" s="353"/>
      <c r="CK224" s="353"/>
      <c r="CL224" s="353"/>
      <c r="CM224" s="353"/>
      <c r="CN224" s="353"/>
      <c r="CO224" s="353"/>
      <c r="CP224" s="353"/>
      <c r="CQ224" s="353"/>
      <c r="CR224" s="353"/>
      <c r="CS224" s="353"/>
      <c r="CT224" s="353"/>
      <c r="CU224" s="353"/>
      <c r="CV224" s="353"/>
      <c r="CW224" s="353"/>
      <c r="CX224" s="353"/>
      <c r="CY224" s="353"/>
      <c r="CZ224" s="353"/>
      <c r="DA224" s="353"/>
      <c r="DB224" s="353"/>
      <c r="DC224" s="353"/>
      <c r="DD224" s="353"/>
      <c r="DE224" s="353"/>
      <c r="DF224" s="353"/>
      <c r="DG224" s="353"/>
      <c r="DH224" s="353"/>
      <c r="DI224" s="353"/>
    </row>
    <row r="225" spans="1:113" s="355" customFormat="1" ht="11.25" hidden="1" customHeight="1" outlineLevel="1">
      <c r="A225" s="487" t="s">
        <v>466</v>
      </c>
      <c r="B225" s="363"/>
      <c r="C225" s="363"/>
      <c r="D225" s="363"/>
      <c r="E225" s="363"/>
      <c r="F225" s="363"/>
      <c r="G225" s="363"/>
      <c r="H225" s="363"/>
      <c r="I225" s="363"/>
      <c r="J225" s="363"/>
      <c r="K225" s="363"/>
      <c r="L225" s="363"/>
      <c r="M225" s="363"/>
      <c r="N225" s="363"/>
      <c r="O225" s="363"/>
      <c r="P225" s="363"/>
      <c r="Q225" s="363"/>
      <c r="R225" s="363"/>
      <c r="S225" s="363"/>
      <c r="T225" s="363"/>
      <c r="U225" s="363"/>
      <c r="V225" s="363"/>
      <c r="W225" s="546"/>
      <c r="X225" s="363"/>
      <c r="Y225" s="546"/>
      <c r="Z225" s="546"/>
      <c r="AA225" s="546"/>
      <c r="AB225" s="546"/>
      <c r="AC225" s="546"/>
      <c r="AD225" s="363"/>
      <c r="AE225" s="546"/>
      <c r="AF225" s="546"/>
      <c r="AG225" s="546"/>
      <c r="AH225" s="546"/>
      <c r="AI225" s="547"/>
      <c r="AJ225" s="363"/>
      <c r="AK225" s="546"/>
      <c r="AL225" s="546"/>
      <c r="AM225" s="546"/>
      <c r="AN225" s="546"/>
      <c r="AO225" s="547"/>
      <c r="AP225" s="363"/>
      <c r="AQ225" s="546"/>
      <c r="AR225" s="546"/>
      <c r="AS225" s="1322"/>
      <c r="AT225" s="363"/>
      <c r="AU225" s="363"/>
      <c r="AV225" s="363"/>
      <c r="AW225" s="353"/>
      <c r="AX225" s="353"/>
      <c r="AY225" s="353"/>
      <c r="AZ225" s="353"/>
      <c r="BA225" s="353"/>
      <c r="BB225" s="353"/>
      <c r="BC225" s="353"/>
      <c r="BD225" s="353"/>
      <c r="BE225" s="353"/>
      <c r="BF225" s="353"/>
      <c r="BG225" s="353"/>
      <c r="BH225" s="353"/>
      <c r="BI225" s="353"/>
      <c r="BJ225" s="353"/>
      <c r="BK225" s="353"/>
      <c r="BL225" s="363"/>
      <c r="BM225" s="363"/>
      <c r="BN225" s="363"/>
      <c r="BO225" s="1864"/>
      <c r="BP225" s="1864"/>
      <c r="BQ225" s="1864"/>
      <c r="BR225" s="746"/>
      <c r="BS225" s="1691"/>
      <c r="BT225" s="746"/>
      <c r="BU225" s="480">
        <v>0</v>
      </c>
      <c r="BV225" s="1690">
        <v>0.04</v>
      </c>
      <c r="BW225" s="746">
        <v>-0.04</v>
      </c>
      <c r="BX225" s="1647" t="s">
        <v>26</v>
      </c>
      <c r="BY225" s="1897"/>
      <c r="BZ225" s="353"/>
      <c r="CA225" s="1647" t="s">
        <v>26</v>
      </c>
      <c r="CB225" s="1922" t="s">
        <v>26</v>
      </c>
      <c r="CC225" s="353"/>
      <c r="CD225" s="353"/>
      <c r="CE225" s="353"/>
      <c r="CF225" s="353"/>
      <c r="CG225" s="353"/>
      <c r="CH225" s="353"/>
      <c r="CI225" s="353"/>
      <c r="CJ225" s="353"/>
      <c r="CK225" s="353"/>
      <c r="CL225" s="353"/>
      <c r="CM225" s="353"/>
      <c r="CN225" s="353"/>
      <c r="CO225" s="353"/>
      <c r="CP225" s="353"/>
      <c r="CQ225" s="353"/>
      <c r="CR225" s="353"/>
      <c r="CS225" s="353"/>
      <c r="CT225" s="353"/>
      <c r="CU225" s="353"/>
      <c r="CV225" s="353"/>
      <c r="CW225" s="353"/>
      <c r="CX225" s="353"/>
      <c r="CY225" s="353"/>
      <c r="CZ225" s="353"/>
      <c r="DA225" s="353"/>
      <c r="DB225" s="353"/>
      <c r="DC225" s="353"/>
      <c r="DD225" s="353"/>
      <c r="DE225" s="353"/>
      <c r="DF225" s="353"/>
      <c r="DG225" s="353"/>
      <c r="DH225" s="353"/>
      <c r="DI225" s="353"/>
    </row>
    <row r="226" spans="1:113" s="355" customFormat="1" ht="11.25" hidden="1" customHeight="1" outlineLevel="1">
      <c r="A226" s="363"/>
      <c r="B226" s="363"/>
      <c r="C226" s="363"/>
      <c r="D226" s="363"/>
      <c r="E226" s="363"/>
      <c r="F226" s="363"/>
      <c r="G226" s="363"/>
      <c r="H226" s="363"/>
      <c r="I226" s="363"/>
      <c r="J226" s="363"/>
      <c r="K226" s="363"/>
      <c r="L226" s="363"/>
      <c r="M226" s="363"/>
      <c r="N226" s="363"/>
      <c r="O226" s="363"/>
      <c r="P226" s="363"/>
      <c r="Q226" s="363"/>
      <c r="R226" s="363"/>
      <c r="S226" s="363"/>
      <c r="T226" s="363"/>
      <c r="U226" s="363"/>
      <c r="V226" s="363"/>
      <c r="W226" s="546"/>
      <c r="X226" s="363"/>
      <c r="Y226" s="546"/>
      <c r="Z226" s="546"/>
      <c r="AA226" s="546"/>
      <c r="AB226" s="546"/>
      <c r="AC226" s="546"/>
      <c r="AD226" s="363"/>
      <c r="AE226" s="546"/>
      <c r="AF226" s="546"/>
      <c r="AG226" s="546"/>
      <c r="AH226" s="546"/>
      <c r="AI226" s="547"/>
      <c r="AJ226" s="363"/>
      <c r="AK226" s="546"/>
      <c r="AL226" s="546"/>
      <c r="AM226" s="546"/>
      <c r="AN226" s="546"/>
      <c r="AO226" s="547"/>
      <c r="AP226" s="363"/>
      <c r="AQ226" s="546"/>
      <c r="AR226" s="546"/>
      <c r="AS226" s="1322"/>
      <c r="AT226" s="363"/>
      <c r="AU226" s="363"/>
      <c r="AV226" s="363"/>
      <c r="AW226" s="353"/>
      <c r="AX226" s="353"/>
      <c r="AY226" s="353"/>
      <c r="AZ226" s="353"/>
      <c r="BA226" s="353"/>
      <c r="BB226" s="353"/>
      <c r="BC226" s="353"/>
      <c r="BD226" s="353"/>
      <c r="BE226" s="353"/>
      <c r="BF226" s="353"/>
      <c r="BG226" s="353"/>
      <c r="BH226" s="353"/>
      <c r="BI226" s="353"/>
      <c r="BJ226" s="353"/>
      <c r="BK226" s="353"/>
      <c r="BL226" s="363"/>
      <c r="BM226" s="363"/>
      <c r="BN226" s="363"/>
      <c r="BO226" s="1864"/>
      <c r="BP226" s="1864"/>
      <c r="BQ226" s="1864"/>
      <c r="BR226" s="746"/>
      <c r="BS226" s="1691"/>
      <c r="BT226" s="746"/>
      <c r="BU226" s="746"/>
      <c r="BV226" s="746"/>
      <c r="BW226" s="746"/>
      <c r="BX226" s="353"/>
      <c r="BY226" s="1897"/>
      <c r="BZ226" s="353"/>
      <c r="CA226" s="585"/>
      <c r="CB226" s="353"/>
      <c r="CC226" s="353"/>
      <c r="CD226" s="353"/>
      <c r="CE226" s="353"/>
      <c r="CF226" s="353"/>
      <c r="CG226" s="353"/>
      <c r="CH226" s="353"/>
      <c r="CI226" s="353"/>
      <c r="CJ226" s="353"/>
      <c r="CK226" s="353"/>
      <c r="CL226" s="353"/>
      <c r="CM226" s="353"/>
      <c r="CN226" s="353"/>
      <c r="CO226" s="353"/>
      <c r="CP226" s="353"/>
      <c r="CQ226" s="353"/>
      <c r="CR226" s="353"/>
      <c r="CS226" s="353"/>
      <c r="CT226" s="353"/>
      <c r="CU226" s="353"/>
      <c r="CV226" s="353"/>
      <c r="CW226" s="353"/>
      <c r="CX226" s="353"/>
      <c r="CY226" s="353"/>
      <c r="CZ226" s="353"/>
      <c r="DA226" s="353"/>
      <c r="DB226" s="353"/>
      <c r="DC226" s="353"/>
      <c r="DD226" s="353"/>
      <c r="DE226" s="353"/>
      <c r="DF226" s="353"/>
      <c r="DG226" s="353"/>
      <c r="DH226" s="353"/>
      <c r="DI226" s="353"/>
    </row>
    <row r="227" spans="1:113" s="355" customFormat="1" ht="11.25" hidden="1" customHeight="1" outlineLevel="1">
      <c r="A227" s="739" t="s">
        <v>388</v>
      </c>
      <c r="B227" s="363"/>
      <c r="C227" s="363"/>
      <c r="D227" s="363"/>
      <c r="E227" s="363"/>
      <c r="F227" s="363"/>
      <c r="G227" s="363"/>
      <c r="H227" s="363"/>
      <c r="I227" s="363"/>
      <c r="J227" s="363"/>
      <c r="K227" s="363"/>
      <c r="L227" s="363"/>
      <c r="M227" s="363"/>
      <c r="N227" s="363"/>
      <c r="O227" s="363"/>
      <c r="P227" s="363"/>
      <c r="Q227" s="363"/>
      <c r="R227" s="363"/>
      <c r="S227" s="363"/>
      <c r="T227" s="363"/>
      <c r="U227" s="363"/>
      <c r="V227" s="363"/>
      <c r="W227" s="546"/>
      <c r="X227" s="363"/>
      <c r="Y227" s="546"/>
      <c r="Z227" s="546"/>
      <c r="AA227" s="546"/>
      <c r="AB227" s="546"/>
      <c r="AC227" s="546"/>
      <c r="AD227" s="363"/>
      <c r="AE227" s="546"/>
      <c r="AF227" s="546"/>
      <c r="AG227" s="546"/>
      <c r="AH227" s="546"/>
      <c r="AI227" s="547"/>
      <c r="AJ227" s="363"/>
      <c r="AK227" s="546"/>
      <c r="AL227" s="546"/>
      <c r="AM227" s="546"/>
      <c r="AN227" s="546"/>
      <c r="AO227" s="547"/>
      <c r="AP227" s="363"/>
      <c r="AQ227" s="546"/>
      <c r="AR227" s="546"/>
      <c r="AS227" s="1322"/>
      <c r="AT227" s="363"/>
      <c r="AU227" s="363"/>
      <c r="AV227" s="363"/>
      <c r="AW227" s="353"/>
      <c r="AX227" s="353"/>
      <c r="AY227" s="353"/>
      <c r="AZ227" s="353"/>
      <c r="BA227" s="353"/>
      <c r="BB227" s="353"/>
      <c r="BC227" s="353"/>
      <c r="BD227" s="353"/>
      <c r="BE227" s="353"/>
      <c r="BF227" s="353"/>
      <c r="BG227" s="353"/>
      <c r="BH227" s="353"/>
      <c r="BI227" s="353"/>
      <c r="BJ227" s="353"/>
      <c r="BK227" s="353"/>
      <c r="BL227" s="363"/>
      <c r="BM227" s="363"/>
      <c r="BN227" s="363"/>
      <c r="BO227" s="1864"/>
      <c r="BP227" s="1864"/>
      <c r="BQ227" s="1864"/>
      <c r="BR227" s="746"/>
      <c r="BS227" s="1691"/>
      <c r="BT227" s="746"/>
      <c r="BU227" s="746"/>
      <c r="BV227" s="746"/>
      <c r="BW227" s="746"/>
      <c r="BX227" s="353"/>
      <c r="BY227" s="1897"/>
      <c r="BZ227" s="353"/>
      <c r="CA227" s="585"/>
      <c r="CB227" s="353"/>
      <c r="CC227" s="353"/>
      <c r="CD227" s="353"/>
      <c r="CE227" s="353"/>
      <c r="CF227" s="353"/>
      <c r="CG227" s="353"/>
      <c r="CH227" s="353"/>
      <c r="CI227" s="353"/>
      <c r="CJ227" s="353"/>
      <c r="CK227" s="353"/>
      <c r="CL227" s="353"/>
      <c r="CM227" s="353"/>
      <c r="CN227" s="353"/>
      <c r="CO227" s="353"/>
      <c r="CP227" s="353"/>
      <c r="CQ227" s="353"/>
      <c r="CR227" s="353"/>
      <c r="CS227" s="353"/>
      <c r="CT227" s="353"/>
      <c r="CU227" s="353"/>
      <c r="CV227" s="353"/>
      <c r="CW227" s="353"/>
      <c r="CX227" s="353"/>
      <c r="CY227" s="353"/>
      <c r="CZ227" s="353"/>
      <c r="DA227" s="353"/>
      <c r="DB227" s="353"/>
      <c r="DC227" s="353"/>
      <c r="DD227" s="353"/>
      <c r="DE227" s="353"/>
      <c r="DF227" s="353"/>
      <c r="DG227" s="353"/>
      <c r="DH227" s="353"/>
      <c r="DI227" s="353"/>
    </row>
    <row r="228" spans="1:113" s="355" customFormat="1" ht="11.25" hidden="1" customHeight="1" outlineLevel="1">
      <c r="A228" s="363" t="s">
        <v>389</v>
      </c>
      <c r="B228" s="363"/>
      <c r="C228" s="363"/>
      <c r="D228" s="363"/>
      <c r="E228" s="363"/>
      <c r="F228" s="363"/>
      <c r="G228" s="363"/>
      <c r="H228" s="363"/>
      <c r="I228" s="363"/>
      <c r="J228" s="363"/>
      <c r="K228" s="363"/>
      <c r="L228" s="363"/>
      <c r="M228" s="363"/>
      <c r="N228" s="363"/>
      <c r="O228" s="363"/>
      <c r="P228" s="363"/>
      <c r="Q228" s="363"/>
      <c r="R228" s="363"/>
      <c r="S228" s="363"/>
      <c r="T228" s="363"/>
      <c r="U228" s="363"/>
      <c r="V228" s="363"/>
      <c r="W228" s="546"/>
      <c r="X228" s="363"/>
      <c r="Y228" s="546"/>
      <c r="Z228" s="546"/>
      <c r="AA228" s="546"/>
      <c r="AB228" s="546"/>
      <c r="AC228" s="546"/>
      <c r="AD228" s="363"/>
      <c r="AE228" s="546"/>
      <c r="AF228" s="546"/>
      <c r="AG228" s="546"/>
      <c r="AH228" s="546"/>
      <c r="AI228" s="547"/>
      <c r="AJ228" s="363"/>
      <c r="AK228" s="546"/>
      <c r="AL228" s="546"/>
      <c r="AM228" s="546"/>
      <c r="AN228" s="546"/>
      <c r="AO228" s="547"/>
      <c r="AP228" s="363"/>
      <c r="AQ228" s="546"/>
      <c r="AR228" s="546"/>
      <c r="AS228" s="1322"/>
      <c r="AT228" s="363"/>
      <c r="AU228" s="363"/>
      <c r="AV228" s="363"/>
      <c r="AW228" s="353"/>
      <c r="AX228" s="353"/>
      <c r="AY228" s="353"/>
      <c r="AZ228" s="353"/>
      <c r="BA228" s="353"/>
      <c r="BB228" s="353"/>
      <c r="BC228" s="353"/>
      <c r="BD228" s="353"/>
      <c r="BE228" s="353"/>
      <c r="BF228" s="353"/>
      <c r="BG228" s="353"/>
      <c r="BH228" s="353"/>
      <c r="BI228" s="353"/>
      <c r="BJ228" s="353"/>
      <c r="BK228" s="353"/>
      <c r="BL228" s="363"/>
      <c r="BM228" s="363"/>
      <c r="BN228" s="363"/>
      <c r="BO228" s="1864"/>
      <c r="BP228" s="1864"/>
      <c r="BQ228" s="1864"/>
      <c r="BR228" s="746"/>
      <c r="BS228" s="1691"/>
      <c r="BT228" s="746"/>
      <c r="BU228" s="746"/>
      <c r="BV228" s="746"/>
      <c r="BW228" s="746"/>
      <c r="BX228" s="353"/>
      <c r="BY228" s="1897"/>
      <c r="BZ228" s="353"/>
      <c r="CA228" s="585"/>
      <c r="CB228" s="353"/>
      <c r="CC228" s="353"/>
      <c r="CD228" s="353"/>
      <c r="CE228" s="353"/>
      <c r="CF228" s="353"/>
      <c r="CG228" s="353"/>
      <c r="CH228" s="353"/>
      <c r="CI228" s="353"/>
      <c r="CJ228" s="353"/>
      <c r="CK228" s="353"/>
      <c r="CL228" s="353"/>
      <c r="CM228" s="353"/>
      <c r="CN228" s="353"/>
      <c r="CO228" s="353"/>
      <c r="CP228" s="353"/>
      <c r="CQ228" s="353"/>
      <c r="CR228" s="353"/>
      <c r="CS228" s="353"/>
      <c r="CT228" s="353"/>
      <c r="CU228" s="353"/>
      <c r="CV228" s="353"/>
      <c r="CW228" s="353"/>
      <c r="CX228" s="353"/>
      <c r="CY228" s="353"/>
      <c r="CZ228" s="353"/>
      <c r="DA228" s="353"/>
      <c r="DB228" s="353"/>
      <c r="DC228" s="353"/>
      <c r="DD228" s="353"/>
      <c r="DE228" s="353"/>
      <c r="DF228" s="353"/>
      <c r="DG228" s="353"/>
      <c r="DH228" s="353"/>
      <c r="DI228" s="353"/>
    </row>
    <row r="229" spans="1:113" s="355" customFormat="1" ht="11.25" hidden="1" customHeight="1" outlineLevel="1">
      <c r="A229" s="363" t="s">
        <v>390</v>
      </c>
      <c r="B229" s="363"/>
      <c r="C229" s="363"/>
      <c r="D229" s="363"/>
      <c r="E229" s="363"/>
      <c r="F229" s="363"/>
      <c r="G229" s="363"/>
      <c r="H229" s="363"/>
      <c r="I229" s="363"/>
      <c r="J229" s="363"/>
      <c r="K229" s="363"/>
      <c r="L229" s="363"/>
      <c r="M229" s="363"/>
      <c r="N229" s="363"/>
      <c r="O229" s="363"/>
      <c r="P229" s="363"/>
      <c r="Q229" s="363"/>
      <c r="R229" s="363"/>
      <c r="S229" s="363"/>
      <c r="T229" s="363"/>
      <c r="U229" s="363"/>
      <c r="V229" s="363"/>
      <c r="W229" s="546"/>
      <c r="X229" s="363"/>
      <c r="Y229" s="546"/>
      <c r="Z229" s="546"/>
      <c r="AA229" s="546"/>
      <c r="AB229" s="546"/>
      <c r="AC229" s="546"/>
      <c r="AD229" s="363"/>
      <c r="AE229" s="546"/>
      <c r="AF229" s="546"/>
      <c r="AG229" s="546"/>
      <c r="AH229" s="546"/>
      <c r="AI229" s="547"/>
      <c r="AJ229" s="363"/>
      <c r="AK229" s="546"/>
      <c r="AL229" s="546"/>
      <c r="AM229" s="546"/>
      <c r="AN229" s="546"/>
      <c r="AO229" s="547"/>
      <c r="AP229" s="363"/>
      <c r="AQ229" s="546"/>
      <c r="AR229" s="546"/>
      <c r="AS229" s="1322"/>
      <c r="AT229" s="363"/>
      <c r="AU229" s="363"/>
      <c r="AV229" s="363"/>
      <c r="AW229" s="353"/>
      <c r="AX229" s="353"/>
      <c r="AY229" s="353"/>
      <c r="AZ229" s="353"/>
      <c r="BA229" s="353"/>
      <c r="BB229" s="353"/>
      <c r="BC229" s="353"/>
      <c r="BD229" s="353"/>
      <c r="BE229" s="353"/>
      <c r="BF229" s="353"/>
      <c r="BG229" s="353"/>
      <c r="BH229" s="353"/>
      <c r="BI229" s="353"/>
      <c r="BJ229" s="353"/>
      <c r="BK229" s="353"/>
      <c r="BL229" s="363"/>
      <c r="BM229" s="363"/>
      <c r="BN229" s="363"/>
      <c r="BO229" s="1864"/>
      <c r="BP229" s="1864"/>
      <c r="BQ229" s="1864"/>
      <c r="BR229" s="746"/>
      <c r="BS229" s="1691"/>
      <c r="BT229" s="746"/>
      <c r="BU229" s="746"/>
      <c r="BV229" s="746"/>
      <c r="BW229" s="746"/>
      <c r="BX229" s="353"/>
      <c r="BY229" s="1897"/>
      <c r="BZ229" s="353"/>
      <c r="CA229" s="585"/>
      <c r="CB229" s="353"/>
      <c r="CC229" s="353"/>
      <c r="CD229" s="353"/>
      <c r="CE229" s="353"/>
      <c r="CF229" s="353"/>
      <c r="CG229" s="353"/>
      <c r="CH229" s="353"/>
      <c r="CI229" s="353"/>
      <c r="CJ229" s="353"/>
      <c r="CK229" s="353"/>
      <c r="CL229" s="353"/>
      <c r="CM229" s="353"/>
      <c r="CN229" s="353"/>
      <c r="CO229" s="353"/>
      <c r="CP229" s="353"/>
      <c r="CQ229" s="353"/>
      <c r="CR229" s="353"/>
      <c r="CS229" s="353"/>
      <c r="CT229" s="353"/>
      <c r="CU229" s="353"/>
      <c r="CV229" s="353"/>
      <c r="CW229" s="353"/>
      <c r="CX229" s="353"/>
      <c r="CY229" s="353"/>
      <c r="CZ229" s="353"/>
      <c r="DA229" s="353"/>
      <c r="DB229" s="353"/>
      <c r="DC229" s="353"/>
      <c r="DD229" s="353"/>
      <c r="DE229" s="353"/>
      <c r="DF229" s="353"/>
      <c r="DG229" s="353"/>
      <c r="DH229" s="353"/>
      <c r="DI229" s="353"/>
    </row>
    <row r="230" spans="1:113" s="355" customFormat="1" ht="11.25" hidden="1" customHeight="1" outlineLevel="1">
      <c r="A230" s="363" t="s">
        <v>391</v>
      </c>
      <c r="B230" s="363"/>
      <c r="C230" s="363"/>
      <c r="D230" s="363"/>
      <c r="E230" s="363"/>
      <c r="F230" s="363"/>
      <c r="G230" s="363"/>
      <c r="H230" s="363"/>
      <c r="I230" s="363"/>
      <c r="J230" s="363"/>
      <c r="K230" s="363"/>
      <c r="L230" s="363"/>
      <c r="M230" s="363"/>
      <c r="N230" s="363"/>
      <c r="O230" s="363"/>
      <c r="P230" s="363"/>
      <c r="Q230" s="363"/>
      <c r="R230" s="363"/>
      <c r="S230" s="363"/>
      <c r="T230" s="363"/>
      <c r="U230" s="363"/>
      <c r="V230" s="363"/>
      <c r="W230" s="546"/>
      <c r="X230" s="363"/>
      <c r="Y230" s="546"/>
      <c r="Z230" s="546"/>
      <c r="AA230" s="546"/>
      <c r="AB230" s="546"/>
      <c r="AC230" s="546"/>
      <c r="AD230" s="363"/>
      <c r="AE230" s="546"/>
      <c r="AF230" s="546"/>
      <c r="AG230" s="546"/>
      <c r="AH230" s="546"/>
      <c r="AI230" s="547"/>
      <c r="AJ230" s="363"/>
      <c r="AK230" s="546"/>
      <c r="AL230" s="546"/>
      <c r="AM230" s="546"/>
      <c r="AN230" s="546"/>
      <c r="AO230" s="547"/>
      <c r="AP230" s="363"/>
      <c r="AQ230" s="546"/>
      <c r="AR230" s="546"/>
      <c r="AS230" s="1322"/>
      <c r="AT230" s="363"/>
      <c r="AU230" s="363"/>
      <c r="AV230" s="363"/>
      <c r="AW230" s="353"/>
      <c r="AX230" s="353"/>
      <c r="AY230" s="353"/>
      <c r="AZ230" s="353"/>
      <c r="BA230" s="353"/>
      <c r="BB230" s="353"/>
      <c r="BC230" s="353"/>
      <c r="BD230" s="353"/>
      <c r="BE230" s="353"/>
      <c r="BF230" s="353"/>
      <c r="BG230" s="353"/>
      <c r="BH230" s="353"/>
      <c r="BI230" s="353"/>
      <c r="BJ230" s="353"/>
      <c r="BK230" s="353"/>
      <c r="BL230" s="363"/>
      <c r="BM230" s="363"/>
      <c r="BN230" s="363"/>
      <c r="BO230" s="1864"/>
      <c r="BP230" s="1864"/>
      <c r="BQ230" s="1864"/>
      <c r="BR230" s="746"/>
      <c r="BS230" s="1691"/>
      <c r="BT230" s="746"/>
      <c r="BU230" s="746"/>
      <c r="BV230" s="746"/>
      <c r="BW230" s="746"/>
      <c r="BX230" s="353"/>
      <c r="BY230" s="1897"/>
      <c r="BZ230" s="353"/>
      <c r="CA230" s="585"/>
      <c r="CB230" s="353"/>
      <c r="CC230" s="353"/>
      <c r="CD230" s="353"/>
      <c r="CE230" s="353"/>
      <c r="CF230" s="353"/>
      <c r="CG230" s="353"/>
      <c r="CH230" s="353"/>
      <c r="CI230" s="353"/>
      <c r="CJ230" s="353"/>
      <c r="CK230" s="353"/>
      <c r="CL230" s="353"/>
      <c r="CM230" s="353"/>
      <c r="CN230" s="353"/>
      <c r="CO230" s="353"/>
      <c r="CP230" s="353"/>
      <c r="CQ230" s="353"/>
      <c r="CR230" s="353"/>
      <c r="CS230" s="353"/>
      <c r="CT230" s="353"/>
      <c r="CU230" s="353"/>
      <c r="CV230" s="353"/>
      <c r="CW230" s="353"/>
      <c r="CX230" s="353"/>
      <c r="CY230" s="353"/>
      <c r="CZ230" s="353"/>
      <c r="DA230" s="353"/>
      <c r="DB230" s="353"/>
      <c r="DC230" s="353"/>
      <c r="DD230" s="353"/>
      <c r="DE230" s="353"/>
      <c r="DF230" s="353"/>
      <c r="DG230" s="353"/>
      <c r="DH230" s="353"/>
      <c r="DI230" s="353"/>
    </row>
    <row r="231" spans="1:113" s="355" customFormat="1" ht="11.25" hidden="1" customHeight="1" outlineLevel="1">
      <c r="A231" s="363"/>
      <c r="B231" s="363"/>
      <c r="C231" s="363"/>
      <c r="D231" s="363"/>
      <c r="E231" s="363"/>
      <c r="F231" s="363"/>
      <c r="G231" s="363"/>
      <c r="H231" s="363"/>
      <c r="I231" s="363"/>
      <c r="J231" s="363"/>
      <c r="K231" s="363"/>
      <c r="L231" s="363"/>
      <c r="M231" s="363"/>
      <c r="N231" s="363"/>
      <c r="O231" s="363"/>
      <c r="P231" s="363"/>
      <c r="Q231" s="363"/>
      <c r="R231" s="363"/>
      <c r="S231" s="363"/>
      <c r="T231" s="363"/>
      <c r="U231" s="363"/>
      <c r="V231" s="363"/>
      <c r="W231" s="546"/>
      <c r="X231" s="363"/>
      <c r="Y231" s="546"/>
      <c r="Z231" s="546"/>
      <c r="AA231" s="546"/>
      <c r="AB231" s="546"/>
      <c r="AC231" s="546"/>
      <c r="AD231" s="363"/>
      <c r="AE231" s="546"/>
      <c r="AF231" s="546"/>
      <c r="AG231" s="546"/>
      <c r="AH231" s="546"/>
      <c r="AI231" s="547"/>
      <c r="AJ231" s="363"/>
      <c r="AK231" s="546"/>
      <c r="AL231" s="546"/>
      <c r="AM231" s="546"/>
      <c r="AN231" s="546"/>
      <c r="AO231" s="547"/>
      <c r="AP231" s="363"/>
      <c r="AQ231" s="546"/>
      <c r="AR231" s="546"/>
      <c r="AS231" s="1322"/>
      <c r="AT231" s="363"/>
      <c r="AU231" s="363"/>
      <c r="AV231" s="363"/>
      <c r="AW231" s="353"/>
      <c r="AX231" s="353"/>
      <c r="AY231" s="353"/>
      <c r="AZ231" s="353"/>
      <c r="BA231" s="353"/>
      <c r="BB231" s="353"/>
      <c r="BC231" s="353"/>
      <c r="BD231" s="353"/>
      <c r="BE231" s="353"/>
      <c r="BF231" s="353"/>
      <c r="BG231" s="353"/>
      <c r="BH231" s="353"/>
      <c r="BI231" s="353"/>
      <c r="BJ231" s="353"/>
      <c r="BK231" s="353"/>
      <c r="BL231" s="363"/>
      <c r="BM231" s="363"/>
      <c r="BN231" s="363"/>
      <c r="BO231" s="1864"/>
      <c r="BP231" s="1864"/>
      <c r="BQ231" s="1864"/>
      <c r="BR231" s="746"/>
      <c r="BS231" s="1691"/>
      <c r="BT231" s="746"/>
      <c r="BU231" s="746"/>
      <c r="BV231" s="746"/>
      <c r="BW231" s="746"/>
      <c r="BX231" s="353"/>
      <c r="BY231" s="1897"/>
      <c r="BZ231" s="353"/>
      <c r="CA231" s="585"/>
      <c r="CB231" s="353"/>
      <c r="CC231" s="353"/>
      <c r="CD231" s="353"/>
      <c r="CE231" s="353"/>
      <c r="CF231" s="353"/>
      <c r="CG231" s="353"/>
      <c r="CH231" s="353"/>
      <c r="CI231" s="353"/>
      <c r="CJ231" s="353"/>
      <c r="CK231" s="353"/>
      <c r="CL231" s="353"/>
      <c r="CM231" s="353"/>
      <c r="CN231" s="353"/>
      <c r="CO231" s="353"/>
      <c r="CP231" s="353"/>
      <c r="CQ231" s="353"/>
      <c r="CR231" s="353"/>
      <c r="CS231" s="353"/>
      <c r="CT231" s="353"/>
      <c r="CU231" s="353"/>
      <c r="CV231" s="353"/>
      <c r="CW231" s="353"/>
      <c r="CX231" s="353"/>
      <c r="CY231" s="353"/>
      <c r="CZ231" s="353"/>
      <c r="DA231" s="353"/>
      <c r="DB231" s="353"/>
      <c r="DC231" s="353"/>
      <c r="DD231" s="353"/>
      <c r="DE231" s="353"/>
      <c r="DF231" s="353"/>
      <c r="DG231" s="353"/>
      <c r="DH231" s="353"/>
      <c r="DI231" s="353"/>
    </row>
    <row r="232" spans="1:113" s="355" customFormat="1" ht="11.25" hidden="1" customHeight="1" outlineLevel="1">
      <c r="A232" s="556" t="s">
        <v>333</v>
      </c>
      <c r="B232" s="363"/>
      <c r="C232" s="363"/>
      <c r="D232" s="363"/>
      <c r="E232" s="363"/>
      <c r="F232" s="363"/>
      <c r="G232" s="363"/>
      <c r="H232" s="363"/>
      <c r="I232" s="363"/>
      <c r="J232" s="363"/>
      <c r="K232" s="363"/>
      <c r="L232" s="363"/>
      <c r="M232" s="363"/>
      <c r="N232" s="363"/>
      <c r="O232" s="363"/>
      <c r="P232" s="363"/>
      <c r="Q232" s="363"/>
      <c r="R232" s="363"/>
      <c r="S232" s="363"/>
      <c r="T232" s="363"/>
      <c r="U232" s="363"/>
      <c r="V232" s="363"/>
      <c r="W232" s="546"/>
      <c r="X232" s="363"/>
      <c r="Y232" s="546"/>
      <c r="Z232" s="546"/>
      <c r="AA232" s="546"/>
      <c r="AB232" s="546"/>
      <c r="AC232" s="546"/>
      <c r="AD232" s="363"/>
      <c r="AE232" s="546"/>
      <c r="AF232" s="546"/>
      <c r="AG232" s="546"/>
      <c r="AH232" s="546"/>
      <c r="AI232" s="547"/>
      <c r="AJ232" s="363"/>
      <c r="AK232" s="546"/>
      <c r="AL232" s="546"/>
      <c r="AM232" s="546"/>
      <c r="AN232" s="546"/>
      <c r="AO232" s="547"/>
      <c r="AP232" s="363"/>
      <c r="AQ232" s="546"/>
      <c r="AR232" s="546"/>
      <c r="AS232" s="1322"/>
      <c r="AT232" s="363"/>
      <c r="AU232" s="363"/>
      <c r="AV232" s="363"/>
      <c r="AW232" s="353"/>
      <c r="AX232" s="353"/>
      <c r="AY232" s="353"/>
      <c r="AZ232" s="353"/>
      <c r="BA232" s="353"/>
      <c r="BB232" s="353"/>
      <c r="BC232" s="353"/>
      <c r="BD232" s="353"/>
      <c r="BE232" s="353"/>
      <c r="BF232" s="353"/>
      <c r="BG232" s="353"/>
      <c r="BH232" s="353"/>
      <c r="BI232" s="353"/>
      <c r="BJ232" s="353"/>
      <c r="BK232" s="353"/>
      <c r="BL232" s="363"/>
      <c r="BM232" s="363"/>
      <c r="BN232" s="363"/>
      <c r="BO232" s="1864"/>
      <c r="BP232" s="1864"/>
      <c r="BQ232" s="1864"/>
      <c r="BR232" s="746"/>
      <c r="BS232" s="1691"/>
      <c r="BT232" s="746"/>
      <c r="BU232" s="480">
        <v>0.2</v>
      </c>
      <c r="BV232" s="1690">
        <v>0.25</v>
      </c>
      <c r="BW232" s="746">
        <v>0.2</v>
      </c>
      <c r="BX232" s="1896" t="s">
        <v>399</v>
      </c>
      <c r="BY232" s="1897"/>
      <c r="BZ232" s="353"/>
      <c r="CA232" s="1896" t="s">
        <v>399</v>
      </c>
      <c r="CB232" s="1896" t="s">
        <v>399</v>
      </c>
      <c r="CC232" s="353"/>
      <c r="CD232" s="353"/>
      <c r="CE232" s="353"/>
      <c r="CF232" s="353"/>
      <c r="CG232" s="353"/>
      <c r="CH232" s="353"/>
      <c r="CI232" s="353"/>
      <c r="CJ232" s="353"/>
      <c r="CK232" s="353"/>
      <c r="CL232" s="353"/>
      <c r="CM232" s="353"/>
      <c r="CN232" s="353"/>
      <c r="CO232" s="353"/>
      <c r="CP232" s="353"/>
      <c r="CQ232" s="353"/>
      <c r="CR232" s="353"/>
      <c r="CS232" s="353"/>
      <c r="CT232" s="353"/>
      <c r="CU232" s="353"/>
      <c r="CV232" s="353"/>
      <c r="CW232" s="353"/>
      <c r="CX232" s="353"/>
      <c r="CY232" s="353"/>
      <c r="CZ232" s="353"/>
      <c r="DA232" s="353"/>
      <c r="DB232" s="353"/>
      <c r="DC232" s="353"/>
      <c r="DD232" s="353"/>
      <c r="DE232" s="353"/>
      <c r="DF232" s="353"/>
      <c r="DG232" s="353"/>
      <c r="DH232" s="353"/>
      <c r="DI232" s="353"/>
    </row>
    <row r="233" spans="1:113" s="355" customFormat="1" ht="11.25" customHeight="1" collapsed="1">
      <c r="A233" s="363"/>
      <c r="B233" s="363"/>
      <c r="C233" s="363"/>
      <c r="D233" s="363"/>
      <c r="E233" s="363"/>
      <c r="F233" s="363"/>
      <c r="G233" s="363"/>
      <c r="H233" s="363"/>
      <c r="I233" s="363"/>
      <c r="J233" s="363"/>
      <c r="K233" s="363"/>
      <c r="L233" s="363"/>
      <c r="M233" s="363"/>
      <c r="N233" s="363"/>
      <c r="O233" s="363"/>
      <c r="P233" s="363"/>
      <c r="Q233" s="363"/>
      <c r="R233" s="363"/>
      <c r="S233" s="363"/>
      <c r="T233" s="363"/>
      <c r="U233" s="363"/>
      <c r="V233" s="363"/>
      <c r="W233" s="363"/>
      <c r="X233" s="363"/>
      <c r="Y233" s="363"/>
      <c r="Z233" s="363"/>
      <c r="AA233" s="363"/>
      <c r="AB233" s="363"/>
      <c r="AC233" s="363"/>
      <c r="AD233" s="363"/>
      <c r="AE233" s="363"/>
      <c r="AF233" s="363"/>
      <c r="AG233" s="363"/>
      <c r="AH233" s="363"/>
      <c r="AI233" s="546"/>
      <c r="AJ233" s="363"/>
      <c r="AK233" s="546"/>
      <c r="AL233" s="546"/>
      <c r="AM233" s="546"/>
      <c r="AN233" s="546"/>
      <c r="AO233" s="546"/>
      <c r="AP233" s="363"/>
      <c r="AQ233" s="546"/>
      <c r="AR233" s="546"/>
      <c r="AS233" s="546"/>
      <c r="AT233" s="546"/>
      <c r="AU233" s="547"/>
      <c r="AV233" s="363"/>
      <c r="AW233" s="1573"/>
      <c r="AX233" s="1573"/>
      <c r="AY233" s="1573"/>
      <c r="AZ233" s="1573"/>
      <c r="BA233" s="1886"/>
      <c r="BB233" s="353"/>
      <c r="BC233" s="1573"/>
      <c r="BD233" s="1573"/>
      <c r="BE233" s="353"/>
      <c r="BF233" s="353"/>
      <c r="BG233" s="353"/>
      <c r="BH233" s="353"/>
      <c r="BI233" s="353"/>
      <c r="BJ233" s="353"/>
      <c r="BK233" s="353"/>
      <c r="BL233" s="363"/>
      <c r="BM233" s="363"/>
      <c r="BN233" s="363"/>
      <c r="BO233" s="363"/>
      <c r="BP233" s="363"/>
      <c r="BQ233" s="363"/>
      <c r="BR233" s="363"/>
      <c r="BS233"/>
      <c r="BT233" s="363"/>
      <c r="BU233" s="363"/>
      <c r="BV233" s="363"/>
      <c r="BW233" s="363"/>
      <c r="BX233" s="353"/>
      <c r="BY233" s="278"/>
      <c r="BZ233" s="363"/>
      <c r="CA233" s="363"/>
      <c r="CB233" s="363"/>
      <c r="CC233" s="363"/>
      <c r="CD233" s="363"/>
      <c r="CE233" s="363"/>
      <c r="CF233" s="363"/>
      <c r="CG233" s="363"/>
      <c r="CH233" s="363"/>
      <c r="CI233" s="363"/>
      <c r="CJ233" s="363"/>
      <c r="CK233" s="363"/>
      <c r="CL233" s="363"/>
      <c r="CM233" s="363"/>
      <c r="CN233" s="363"/>
      <c r="CO233" s="363"/>
      <c r="CP233" s="363"/>
      <c r="CQ233" s="363"/>
      <c r="CR233" s="363"/>
      <c r="CS233" s="363"/>
      <c r="CT233" s="363"/>
      <c r="CU233" s="363"/>
      <c r="CV233" s="363"/>
      <c r="CW233" s="363"/>
      <c r="CX233" s="363"/>
      <c r="CY233" s="363"/>
      <c r="CZ233" s="363"/>
      <c r="DA233" s="363"/>
      <c r="DB233" s="363"/>
      <c r="DC233" s="363"/>
      <c r="DD233" s="363"/>
      <c r="DE233" s="363"/>
      <c r="DF233" s="363"/>
      <c r="DG233" s="363"/>
      <c r="DH233" s="363"/>
      <c r="DI233" s="363"/>
    </row>
    <row r="234" spans="1:113" s="355" customFormat="1" ht="11.25" customHeight="1" thickBot="1">
      <c r="A234" s="363"/>
      <c r="B234" s="363"/>
      <c r="C234" s="363"/>
      <c r="D234" s="363"/>
      <c r="E234" s="363"/>
      <c r="F234" s="363"/>
      <c r="G234" s="363"/>
      <c r="H234" s="363"/>
      <c r="I234" s="363"/>
      <c r="J234" s="363"/>
      <c r="K234" s="363"/>
      <c r="L234" s="363"/>
      <c r="M234" s="363"/>
      <c r="N234" s="363"/>
      <c r="O234" s="363"/>
      <c r="P234" s="363"/>
      <c r="Q234" s="363"/>
      <c r="R234" s="363"/>
      <c r="S234" s="363"/>
      <c r="T234" s="363"/>
      <c r="U234" s="363"/>
      <c r="V234" s="363"/>
      <c r="W234" s="363"/>
      <c r="X234" s="363"/>
      <c r="Y234" s="363"/>
      <c r="Z234" s="363"/>
      <c r="AA234" s="363"/>
      <c r="AB234" s="363"/>
      <c r="AC234" s="363"/>
      <c r="AD234" s="363"/>
      <c r="AE234" s="363"/>
      <c r="AF234" s="363"/>
      <c r="AG234" s="363"/>
      <c r="AH234" s="363"/>
      <c r="AI234" s="546"/>
      <c r="AJ234" s="363"/>
      <c r="AK234" s="546"/>
      <c r="AL234" s="546"/>
      <c r="AM234" s="546"/>
      <c r="AN234" s="546"/>
      <c r="AO234" s="546"/>
      <c r="AP234" s="363"/>
      <c r="AQ234" s="546"/>
      <c r="AR234" s="546"/>
      <c r="AS234" s="546"/>
      <c r="AT234" s="546"/>
      <c r="AU234" s="547"/>
      <c r="AV234" s="363"/>
      <c r="AW234" s="1573"/>
      <c r="AX234" s="1573"/>
      <c r="AY234" s="1573"/>
      <c r="AZ234" s="1573"/>
      <c r="BA234" s="1886"/>
      <c r="BB234" s="353"/>
      <c r="BC234" s="1573"/>
      <c r="BD234" s="1573"/>
      <c r="BE234" s="353"/>
      <c r="BF234" s="353"/>
      <c r="BG234" s="353"/>
      <c r="BH234" s="353"/>
      <c r="BI234" s="353"/>
      <c r="BJ234" s="353"/>
      <c r="BK234" s="423"/>
      <c r="BL234" s="363"/>
      <c r="BM234" s="363"/>
      <c r="BN234" s="363"/>
      <c r="BO234" s="363"/>
      <c r="BP234" s="363"/>
      <c r="BQ234" s="363"/>
      <c r="BR234" s="363"/>
      <c r="BS234"/>
      <c r="BT234" s="363"/>
      <c r="BU234" s="363"/>
      <c r="BV234" s="363"/>
      <c r="BW234" s="487"/>
      <c r="BX234" s="353"/>
      <c r="BY234" s="278"/>
      <c r="BZ234" s="363"/>
      <c r="CA234" s="363"/>
      <c r="CB234" s="487"/>
      <c r="CC234" s="363"/>
      <c r="CD234" s="363"/>
      <c r="CE234" s="363"/>
      <c r="CF234" s="363"/>
      <c r="CG234" s="363"/>
      <c r="CH234" s="2250"/>
      <c r="CI234" s="363"/>
      <c r="CJ234" s="363"/>
      <c r="CK234" s="363"/>
      <c r="CL234" s="363"/>
      <c r="CM234" s="363"/>
      <c r="CN234" s="363"/>
      <c r="CO234" s="363"/>
      <c r="CP234" s="363"/>
      <c r="CQ234" s="363"/>
      <c r="CR234" s="363"/>
      <c r="CS234" s="363"/>
      <c r="CT234" s="363"/>
      <c r="CU234" s="363"/>
      <c r="CV234" s="363"/>
      <c r="CW234" s="363"/>
      <c r="CX234" s="363"/>
      <c r="CY234" s="363"/>
      <c r="CZ234" s="363"/>
      <c r="DA234" s="363"/>
      <c r="DB234" s="363"/>
      <c r="DC234" s="363"/>
      <c r="DD234" s="363"/>
      <c r="DE234" s="363"/>
      <c r="DF234" s="363"/>
      <c r="DG234" s="363"/>
      <c r="DH234" s="363"/>
      <c r="DI234" s="363"/>
    </row>
    <row r="235" spans="1:113" ht="11.25" customHeight="1">
      <c r="A235" s="576" t="s">
        <v>312</v>
      </c>
      <c r="B235" s="577"/>
      <c r="C235" s="578">
        <f>C6</f>
        <v>1998</v>
      </c>
      <c r="D235" s="577"/>
      <c r="E235" s="578">
        <f>E6</f>
        <v>1999</v>
      </c>
      <c r="F235" s="577"/>
      <c r="G235" s="578">
        <f>G6</f>
        <v>2000</v>
      </c>
      <c r="H235" s="577"/>
      <c r="I235" s="578">
        <f>I6</f>
        <v>2001</v>
      </c>
      <c r="J235" s="577"/>
      <c r="K235" s="578">
        <f>K6</f>
        <v>2002</v>
      </c>
      <c r="L235" s="577"/>
      <c r="M235" s="578">
        <f>M6</f>
        <v>2003</v>
      </c>
      <c r="N235" s="577"/>
      <c r="O235" s="578">
        <f>O6</f>
        <v>2004</v>
      </c>
      <c r="P235" s="577"/>
      <c r="Q235" s="578">
        <f>Q6</f>
        <v>2005</v>
      </c>
      <c r="R235" s="577"/>
      <c r="S235" s="640">
        <f>S7</f>
        <v>38807</v>
      </c>
      <c r="T235" s="640">
        <f>T7</f>
        <v>38898</v>
      </c>
      <c r="U235" s="640">
        <f>U7</f>
        <v>38990</v>
      </c>
      <c r="V235" s="640">
        <f>V7</f>
        <v>39082</v>
      </c>
      <c r="W235" s="578" t="str">
        <f>S6</f>
        <v>2006A</v>
      </c>
      <c r="X235" s="579"/>
      <c r="Y235" s="640">
        <f>Y7</f>
        <v>39172</v>
      </c>
      <c r="Z235" s="640">
        <f>Z7</f>
        <v>39263</v>
      </c>
      <c r="AA235" s="640">
        <f>AA7</f>
        <v>39355</v>
      </c>
      <c r="AB235" s="640">
        <f>AB7</f>
        <v>39447</v>
      </c>
      <c r="AC235" s="578">
        <f>Y6</f>
        <v>2007</v>
      </c>
      <c r="AD235" s="577"/>
      <c r="AE235" s="640">
        <f>AE7</f>
        <v>39538</v>
      </c>
      <c r="AF235" s="640">
        <f>AF7</f>
        <v>39629</v>
      </c>
      <c r="AG235" s="640">
        <f>AG7</f>
        <v>39721</v>
      </c>
      <c r="AH235" s="640">
        <f>AH7</f>
        <v>39813</v>
      </c>
      <c r="AI235" s="578">
        <f>AE6</f>
        <v>2008</v>
      </c>
      <c r="AJ235" s="577"/>
      <c r="AK235" s="640">
        <f>AK7</f>
        <v>39903</v>
      </c>
      <c r="AX235" s="278"/>
      <c r="AY235" s="278"/>
      <c r="AZ235" s="278"/>
      <c r="BA235" s="278"/>
      <c r="BB235" s="278"/>
      <c r="BC235" s="278"/>
      <c r="BD235" s="278"/>
      <c r="BE235" s="278"/>
      <c r="BF235" s="278"/>
      <c r="BG235" s="278"/>
      <c r="BH235" s="278"/>
      <c r="BI235" s="278"/>
      <c r="BJ235" s="278"/>
      <c r="BK235" s="278"/>
      <c r="CR235"/>
      <c r="CX235"/>
      <c r="DD235"/>
    </row>
    <row r="236" spans="1:113" ht="11.25" hidden="1" customHeight="1" outlineLevel="1">
      <c r="A236" s="367" t="s">
        <v>246</v>
      </c>
      <c r="B236" s="360"/>
      <c r="C236" s="356"/>
      <c r="D236" s="360"/>
      <c r="E236" s="356"/>
      <c r="F236" s="360"/>
      <c r="G236" s="356"/>
      <c r="H236" s="360"/>
      <c r="I236" s="356"/>
      <c r="J236" s="360"/>
      <c r="K236" s="356"/>
      <c r="L236" s="360"/>
      <c r="M236" s="356"/>
      <c r="N236" s="360"/>
      <c r="O236" s="356"/>
      <c r="P236" s="360"/>
      <c r="Q236" s="356"/>
      <c r="R236" s="360"/>
      <c r="S236" s="359"/>
      <c r="T236" s="360"/>
      <c r="U236" s="360"/>
      <c r="V236" s="360"/>
      <c r="W236" s="356"/>
      <c r="X236" s="361"/>
      <c r="Y236" s="362"/>
      <c r="Z236" s="363"/>
      <c r="AA236" s="363"/>
      <c r="AB236" s="364"/>
      <c r="AC236" s="356"/>
      <c r="AD236" s="356"/>
      <c r="AE236" s="362"/>
      <c r="AF236" s="363"/>
      <c r="AG236" s="363"/>
      <c r="AH236" s="364"/>
      <c r="AI236" s="356"/>
      <c r="AJ236" s="356"/>
      <c r="AK236" s="357"/>
      <c r="CR236"/>
      <c r="CX236"/>
      <c r="DD236"/>
    </row>
    <row r="237" spans="1:113" ht="11.25" hidden="1" customHeight="1" outlineLevel="1">
      <c r="A237" s="368" t="s">
        <v>23</v>
      </c>
      <c r="B237" s="363"/>
      <c r="C237" s="402">
        <f>C276</f>
        <v>0</v>
      </c>
      <c r="D237" s="556"/>
      <c r="E237" s="402">
        <f>E276</f>
        <v>0</v>
      </c>
      <c r="F237" s="556"/>
      <c r="G237" s="402">
        <f>G276</f>
        <v>0</v>
      </c>
      <c r="H237" s="556"/>
      <c r="I237" s="402">
        <f>I276</f>
        <v>0</v>
      </c>
      <c r="J237" s="556"/>
      <c r="K237" s="402">
        <f>K276</f>
        <v>104.29</v>
      </c>
      <c r="L237" s="556"/>
      <c r="M237" s="402">
        <f>M276</f>
        <v>113.93</v>
      </c>
      <c r="N237" s="556"/>
      <c r="O237" s="402">
        <f>O276</f>
        <v>132.62200000000001</v>
      </c>
      <c r="P237" s="556"/>
      <c r="Q237" s="402">
        <f>Q276</f>
        <v>137.357</v>
      </c>
      <c r="R237" s="556"/>
      <c r="S237" s="382">
        <f>S276</f>
        <v>37.856999999999999</v>
      </c>
      <c r="T237" s="389">
        <f>T276</f>
        <v>39.113</v>
      </c>
      <c r="U237" s="389">
        <f>U276</f>
        <v>47.015000000000001</v>
      </c>
      <c r="V237" s="648">
        <f>V276</f>
        <v>55.517000000000024</v>
      </c>
      <c r="W237" s="402">
        <f>W276</f>
        <v>179.50200000000001</v>
      </c>
      <c r="X237" s="364"/>
      <c r="Y237" s="382">
        <f>Y276</f>
        <v>51.942999999999998</v>
      </c>
      <c r="Z237" s="389">
        <f>Z276</f>
        <v>53.3</v>
      </c>
      <c r="AA237" s="389">
        <f>AA276</f>
        <v>59.968999999999994</v>
      </c>
      <c r="AB237" s="648">
        <f>AB276</f>
        <v>78.77500000000002</v>
      </c>
      <c r="AC237" s="402">
        <f>AC276</f>
        <v>243.98699999999997</v>
      </c>
      <c r="AD237" s="357"/>
      <c r="AE237" s="362"/>
      <c r="AF237" s="363"/>
      <c r="AG237" s="363"/>
      <c r="AH237" s="364"/>
      <c r="AI237" s="357"/>
      <c r="AJ237" s="357"/>
      <c r="AK237" s="357"/>
      <c r="CR237"/>
      <c r="CX237"/>
      <c r="DD237"/>
    </row>
    <row r="238" spans="1:113" ht="11.25" hidden="1" customHeight="1" outlineLevel="1">
      <c r="A238" s="369" t="s">
        <v>247</v>
      </c>
      <c r="B238" s="363"/>
      <c r="C238" s="357"/>
      <c r="D238" s="363"/>
      <c r="E238" s="357"/>
      <c r="F238" s="363"/>
      <c r="G238" s="357"/>
      <c r="H238" s="363"/>
      <c r="I238" s="357"/>
      <c r="J238" s="363"/>
      <c r="K238" s="401"/>
      <c r="L238" s="363"/>
      <c r="M238" s="401">
        <f>M237/K237-1</f>
        <v>9.2434557483938917E-2</v>
      </c>
      <c r="N238" s="363"/>
      <c r="O238" s="401">
        <f>O237/M237-1</f>
        <v>0.16406565434916187</v>
      </c>
      <c r="P238" s="363"/>
      <c r="Q238" s="401">
        <f>Q237/O237-1</f>
        <v>3.5702975373618218E-2</v>
      </c>
      <c r="R238" s="363"/>
      <c r="S238" s="378"/>
      <c r="T238" s="388"/>
      <c r="U238" s="388"/>
      <c r="V238" s="453"/>
      <c r="W238" s="401">
        <f>W237/Q237-1</f>
        <v>0.30682819222900926</v>
      </c>
      <c r="X238" s="364"/>
      <c r="Y238" s="378">
        <f>Y237/S237-1</f>
        <v>0.37208442296008659</v>
      </c>
      <c r="Z238" s="388">
        <f>Z237/T237-1</f>
        <v>0.36271827781044652</v>
      </c>
      <c r="AA238" s="388">
        <f>AA237/U237-1</f>
        <v>0.27552908646176744</v>
      </c>
      <c r="AB238" s="453">
        <f>AB237/V237-1</f>
        <v>0.41893474071005254</v>
      </c>
      <c r="AC238" s="401">
        <f>AC237/W237-1</f>
        <v>0.35924390814587004</v>
      </c>
      <c r="AD238" s="357"/>
      <c r="AE238" s="362"/>
      <c r="AF238" s="363"/>
      <c r="AG238" s="363"/>
      <c r="AH238" s="364"/>
      <c r="AI238" s="357"/>
      <c r="AJ238" s="357"/>
      <c r="AK238" s="357"/>
      <c r="BP238" s="583" t="s">
        <v>361</v>
      </c>
      <c r="CR238"/>
      <c r="CX238"/>
      <c r="DD238"/>
    </row>
    <row r="239" spans="1:113" ht="11.25" hidden="1" customHeight="1" outlineLevel="1">
      <c r="A239" s="368" t="s">
        <v>25</v>
      </c>
      <c r="B239" s="363"/>
      <c r="C239" s="402">
        <f>C288</f>
        <v>42.207000000000001</v>
      </c>
      <c r="D239" s="556"/>
      <c r="E239" s="402">
        <f>E288</f>
        <v>64.69</v>
      </c>
      <c r="F239" s="556"/>
      <c r="G239" s="402">
        <f>G288</f>
        <v>76.602000000000004</v>
      </c>
      <c r="H239" s="556"/>
      <c r="I239" s="402">
        <f>I288</f>
        <v>92.691000000000003</v>
      </c>
      <c r="J239" s="556"/>
      <c r="K239" s="402">
        <f>K288</f>
        <v>116.36799999999999</v>
      </c>
      <c r="L239" s="556"/>
      <c r="M239" s="402">
        <f>M288</f>
        <v>146.749</v>
      </c>
      <c r="N239" s="556"/>
      <c r="O239" s="402">
        <f>O288</f>
        <v>152.59199999999998</v>
      </c>
      <c r="P239" s="556"/>
      <c r="Q239" s="402">
        <f>Q288</f>
        <v>161.35499999999999</v>
      </c>
      <c r="R239" s="556"/>
      <c r="S239" s="382">
        <f>S288</f>
        <v>37.528999999999996</v>
      </c>
      <c r="T239" s="389">
        <f>T288</f>
        <v>39.829999999999991</v>
      </c>
      <c r="U239" s="389">
        <f>U288</f>
        <v>36.301000000000002</v>
      </c>
      <c r="V239" s="648">
        <f>V288</f>
        <v>46.083999999999989</v>
      </c>
      <c r="W239" s="402">
        <f>W288</f>
        <v>159.74399999999997</v>
      </c>
      <c r="X239" s="364"/>
      <c r="Y239" s="382">
        <f>Y288</f>
        <v>39.061999999999998</v>
      </c>
      <c r="Z239" s="389">
        <f>Z288</f>
        <v>40.628</v>
      </c>
      <c r="AA239" s="389">
        <f>AA288</f>
        <v>46.486000000000004</v>
      </c>
      <c r="AB239" s="648">
        <f>AB288</f>
        <v>62.427999999999997</v>
      </c>
      <c r="AC239" s="402">
        <f>AC288</f>
        <v>188.60399999999998</v>
      </c>
      <c r="AD239" s="357"/>
      <c r="AE239" s="362"/>
      <c r="AF239" s="363"/>
      <c r="AG239" s="363"/>
      <c r="AH239" s="364"/>
      <c r="AI239" s="357"/>
      <c r="AJ239" s="357"/>
      <c r="AK239" s="357"/>
      <c r="CR239"/>
      <c r="CX239"/>
      <c r="DD239"/>
    </row>
    <row r="240" spans="1:113" ht="11.25" hidden="1" customHeight="1" outlineLevel="1">
      <c r="A240" s="369" t="s">
        <v>247</v>
      </c>
      <c r="B240" s="363"/>
      <c r="C240" s="357"/>
      <c r="D240" s="363"/>
      <c r="E240" s="401">
        <f>E239/C239-1</f>
        <v>0.53268415191792817</v>
      </c>
      <c r="F240" s="363"/>
      <c r="G240" s="401">
        <f>G239/E239-1</f>
        <v>0.18413974339155992</v>
      </c>
      <c r="H240" s="363"/>
      <c r="I240" s="401">
        <f>I239/G239-1</f>
        <v>0.21003368058275229</v>
      </c>
      <c r="J240" s="363"/>
      <c r="K240" s="401">
        <f>K239/I239-1</f>
        <v>0.25544011824233204</v>
      </c>
      <c r="L240" s="363"/>
      <c r="M240" s="401">
        <f>M239/K239-1</f>
        <v>0.26107692836518637</v>
      </c>
      <c r="N240" s="363"/>
      <c r="O240" s="401">
        <f>O239/M239-1</f>
        <v>3.9816284949130809E-2</v>
      </c>
      <c r="P240" s="363"/>
      <c r="Q240" s="401">
        <f>Q239/O239-1</f>
        <v>5.7427650204466829E-2</v>
      </c>
      <c r="R240" s="363"/>
      <c r="S240" s="378"/>
      <c r="T240" s="388"/>
      <c r="U240" s="388"/>
      <c r="V240" s="453"/>
      <c r="W240" s="401">
        <f>W239/Q239-1</f>
        <v>-9.9841963372688802E-3</v>
      </c>
      <c r="X240" s="364"/>
      <c r="Y240" s="378">
        <f>Y239/S239-1</f>
        <v>4.0848410562498438E-2</v>
      </c>
      <c r="Z240" s="388">
        <f>Z239/T239-1</f>
        <v>2.0035149384886042E-2</v>
      </c>
      <c r="AA240" s="388">
        <f>AA239/U239-1</f>
        <v>0.2805707831740174</v>
      </c>
      <c r="AB240" s="453">
        <f>AB239/V239-1</f>
        <v>0.35465671382692499</v>
      </c>
      <c r="AC240" s="401">
        <f>AC239/W239-1</f>
        <v>0.18066406250000022</v>
      </c>
      <c r="AD240" s="357"/>
      <c r="AE240" s="362"/>
      <c r="AF240" s="363"/>
      <c r="AG240" s="363"/>
      <c r="AH240" s="364"/>
      <c r="AI240" s="357"/>
      <c r="AJ240" s="357"/>
      <c r="AK240" s="357"/>
      <c r="CR240"/>
      <c r="CX240"/>
      <c r="DD240"/>
    </row>
    <row r="241" spans="1:108" ht="11.25" hidden="1" customHeight="1" outlineLevel="1">
      <c r="A241" s="368" t="s">
        <v>24</v>
      </c>
      <c r="B241" s="363"/>
      <c r="C241" s="402"/>
      <c r="D241" s="556"/>
      <c r="E241" s="402"/>
      <c r="F241" s="556"/>
      <c r="G241" s="402"/>
      <c r="H241" s="556"/>
      <c r="I241" s="402"/>
      <c r="J241" s="556"/>
      <c r="K241" s="402"/>
      <c r="L241" s="556"/>
      <c r="M241" s="402"/>
      <c r="N241" s="556"/>
      <c r="O241" s="402"/>
      <c r="P241" s="556"/>
      <c r="Q241" s="402">
        <f>Q298</f>
        <v>78.700999999999993</v>
      </c>
      <c r="R241" s="556"/>
      <c r="S241" s="382">
        <f>S298</f>
        <v>21.297999999999998</v>
      </c>
      <c r="T241" s="389">
        <f>T298</f>
        <v>23.558</v>
      </c>
      <c r="U241" s="389">
        <f>U298</f>
        <v>24.516999999999999</v>
      </c>
      <c r="V241" s="648">
        <f>V298</f>
        <v>36.156999999999989</v>
      </c>
      <c r="W241" s="402">
        <f>W298</f>
        <v>105.52999999999999</v>
      </c>
      <c r="X241" s="364"/>
      <c r="Y241" s="382">
        <f>Y298</f>
        <v>21.747999999999998</v>
      </c>
      <c r="Z241" s="389">
        <f>Z298</f>
        <v>30.274999999999999</v>
      </c>
      <c r="AA241" s="389">
        <f>AA298</f>
        <v>28.681999999999999</v>
      </c>
      <c r="AB241" s="648">
        <f>AB298</f>
        <v>41.78799999999999</v>
      </c>
      <c r="AC241" s="402">
        <f>AC298</f>
        <v>122.49299999999999</v>
      </c>
      <c r="AD241" s="357"/>
      <c r="AE241" s="362"/>
      <c r="AF241" s="363"/>
      <c r="AG241" s="363"/>
      <c r="AH241" s="364"/>
      <c r="AI241" s="357"/>
      <c r="AJ241" s="357"/>
      <c r="AK241" s="357"/>
      <c r="CR241"/>
      <c r="CX241"/>
      <c r="DD241"/>
    </row>
    <row r="242" spans="1:108" ht="11.25" hidden="1" customHeight="1" outlineLevel="1">
      <c r="A242" s="369" t="s">
        <v>247</v>
      </c>
      <c r="B242" s="363"/>
      <c r="C242" s="357"/>
      <c r="D242" s="363"/>
      <c r="E242" s="357"/>
      <c r="F242" s="363"/>
      <c r="G242" s="357"/>
      <c r="H242" s="363"/>
      <c r="I242" s="357"/>
      <c r="J242" s="363"/>
      <c r="K242" s="357"/>
      <c r="L242" s="363"/>
      <c r="M242" s="357"/>
      <c r="N242" s="363"/>
      <c r="O242" s="548"/>
      <c r="P242" s="363"/>
      <c r="Q242" s="548" t="str">
        <f>IF(ISERROR(Q241/O241-1),"NM",Q241/O241-1)</f>
        <v>NM</v>
      </c>
      <c r="R242" s="363"/>
      <c r="S242" s="379"/>
      <c r="T242" s="390"/>
      <c r="U242" s="390"/>
      <c r="V242" s="448"/>
      <c r="W242" s="401">
        <f>W241/Q241-1</f>
        <v>0.34089782849010808</v>
      </c>
      <c r="X242" s="364"/>
      <c r="Y242" s="379">
        <f>Y241/S241-1</f>
        <v>2.112874448304991E-2</v>
      </c>
      <c r="Z242" s="390">
        <f>Z241/T241-1</f>
        <v>0.28512607182273531</v>
      </c>
      <c r="AA242" s="390">
        <f>AA241/U241-1</f>
        <v>0.16988212260880209</v>
      </c>
      <c r="AB242" s="448">
        <f>AB241/V241-1</f>
        <v>0.15573747821998518</v>
      </c>
      <c r="AC242" s="401">
        <f>AC241/W241-1</f>
        <v>0.16074102151047098</v>
      </c>
      <c r="AD242" s="357"/>
      <c r="AE242" s="362"/>
      <c r="AF242" s="363"/>
      <c r="AG242" s="363"/>
      <c r="AH242" s="364"/>
      <c r="AI242" s="357"/>
      <c r="AJ242" s="357"/>
      <c r="AK242" s="357"/>
      <c r="CR242"/>
      <c r="CX242"/>
      <c r="DD242"/>
    </row>
    <row r="243" spans="1:108" ht="11.25" hidden="1" customHeight="1" outlineLevel="1">
      <c r="A243" s="372" t="s">
        <v>338</v>
      </c>
      <c r="B243" s="360"/>
      <c r="C243" s="356"/>
      <c r="D243" s="360"/>
      <c r="E243" s="356"/>
      <c r="F243" s="360"/>
      <c r="G243" s="356"/>
      <c r="H243" s="360"/>
      <c r="I243" s="356"/>
      <c r="J243" s="360"/>
      <c r="K243" s="356"/>
      <c r="L243" s="360"/>
      <c r="M243" s="356"/>
      <c r="N243" s="360"/>
      <c r="O243" s="681"/>
      <c r="P243" s="360"/>
      <c r="Q243" s="681"/>
      <c r="R243" s="360"/>
      <c r="S243" s="359"/>
      <c r="T243" s="360"/>
      <c r="U243" s="360"/>
      <c r="V243" s="360"/>
      <c r="W243" s="682"/>
      <c r="X243" s="361"/>
      <c r="Y243" s="641">
        <f>Y256</f>
        <v>112.753</v>
      </c>
      <c r="Z243" s="642">
        <f>Z256</f>
        <v>124.20299999999999</v>
      </c>
      <c r="AA243" s="642">
        <f>AA256</f>
        <v>135.13800000000001</v>
      </c>
      <c r="AB243" s="642">
        <f>AB256</f>
        <v>183.00600000000009</v>
      </c>
      <c r="AC243" s="683">
        <f>SUM(Y243:AB243)</f>
        <v>555.10000000000014</v>
      </c>
      <c r="AD243" s="356"/>
      <c r="AE243" s="641">
        <f t="shared" ref="AE243:AH244" si="134">AE256</f>
        <v>142.62899999999999</v>
      </c>
      <c r="AF243" s="642">
        <f t="shared" si="134"/>
        <v>160.59299999999999</v>
      </c>
      <c r="AG243" s="642">
        <f t="shared" si="134"/>
        <v>141.18700000000001</v>
      </c>
      <c r="AH243" s="642">
        <f t="shared" si="134"/>
        <v>188.791</v>
      </c>
      <c r="AI243" s="683">
        <f>SUM(AE243:AH243)</f>
        <v>633.20000000000005</v>
      </c>
      <c r="AJ243" s="356"/>
      <c r="AK243" s="693">
        <f>AK256</f>
        <v>126.60000000000001</v>
      </c>
      <c r="CR243"/>
      <c r="CX243"/>
      <c r="DD243"/>
    </row>
    <row r="244" spans="1:108" ht="11.25" hidden="1" customHeight="1" outlineLevel="1">
      <c r="A244" s="369" t="s">
        <v>247</v>
      </c>
      <c r="B244" s="363"/>
      <c r="C244" s="357"/>
      <c r="D244" s="363"/>
      <c r="E244" s="357"/>
      <c r="F244" s="363"/>
      <c r="G244" s="357"/>
      <c r="H244" s="363"/>
      <c r="I244" s="357"/>
      <c r="J244" s="363"/>
      <c r="K244" s="357"/>
      <c r="L244" s="363"/>
      <c r="M244" s="357"/>
      <c r="N244" s="363"/>
      <c r="O244" s="548"/>
      <c r="P244" s="363"/>
      <c r="Q244" s="548"/>
      <c r="R244" s="363"/>
      <c r="S244" s="362"/>
      <c r="T244" s="363"/>
      <c r="U244" s="363"/>
      <c r="V244" s="363"/>
      <c r="W244" s="401"/>
      <c r="X244" s="364"/>
      <c r="Y244" s="378"/>
      <c r="Z244" s="388"/>
      <c r="AA244" s="388"/>
      <c r="AB244" s="388"/>
      <c r="AC244" s="401"/>
      <c r="AD244" s="357"/>
      <c r="AE244" s="378">
        <f t="shared" si="134"/>
        <v>0.26496855959486654</v>
      </c>
      <c r="AF244" s="388">
        <f t="shared" si="134"/>
        <v>0.29298809207507071</v>
      </c>
      <c r="AG244" s="388">
        <f t="shared" si="134"/>
        <v>4.4761651052997786E-2</v>
      </c>
      <c r="AH244" s="388">
        <f t="shared" si="134"/>
        <v>3.1610985432171113E-2</v>
      </c>
      <c r="AI244" s="401">
        <f>AI257</f>
        <v>0.14069537020356671</v>
      </c>
      <c r="AJ244" s="357"/>
      <c r="AK244" s="406">
        <f>AK257</f>
        <v>-0.11238247481227503</v>
      </c>
      <c r="CR244"/>
      <c r="CX244"/>
      <c r="DD244"/>
    </row>
    <row r="245" spans="1:108" ht="11.25" hidden="1" customHeight="1" outlineLevel="1">
      <c r="A245" s="372" t="s">
        <v>339</v>
      </c>
      <c r="B245" s="360"/>
      <c r="C245" s="356"/>
      <c r="D245" s="360"/>
      <c r="E245" s="356"/>
      <c r="F245" s="360"/>
      <c r="G245" s="356"/>
      <c r="H245" s="360"/>
      <c r="I245" s="356"/>
      <c r="J245" s="360"/>
      <c r="K245" s="356"/>
      <c r="L245" s="360"/>
      <c r="M245" s="356"/>
      <c r="N245" s="360"/>
      <c r="O245" s="681"/>
      <c r="P245" s="360"/>
      <c r="Q245" s="681"/>
      <c r="R245" s="360"/>
      <c r="S245" s="359"/>
      <c r="T245" s="360"/>
      <c r="U245" s="360"/>
      <c r="V245" s="360"/>
      <c r="W245" s="682"/>
      <c r="X245" s="361"/>
      <c r="Y245" s="641">
        <f>Y266</f>
        <v>107.64700000000001</v>
      </c>
      <c r="Z245" s="642">
        <f>Z266</f>
        <v>125.76400000000001</v>
      </c>
      <c r="AA245" s="642">
        <f>AA266</f>
        <v>118.482</v>
      </c>
      <c r="AB245" s="642">
        <f>AB266</f>
        <v>171.50699999999995</v>
      </c>
      <c r="AC245" s="683">
        <f>SUM(Y245:AB245)</f>
        <v>523.4</v>
      </c>
      <c r="AD245" s="356"/>
      <c r="AE245" s="641">
        <f t="shared" ref="AE245:AH246" si="135">AE266</f>
        <v>112.11799999999999</v>
      </c>
      <c r="AF245" s="642">
        <f t="shared" si="135"/>
        <v>163.76999999999998</v>
      </c>
      <c r="AG245" s="642">
        <f t="shared" si="135"/>
        <v>112.52300000000001</v>
      </c>
      <c r="AH245" s="642">
        <f t="shared" si="135"/>
        <v>139.58900000000003</v>
      </c>
      <c r="AI245" s="683">
        <f>SUM(AE245:AH245)</f>
        <v>528</v>
      </c>
      <c r="AJ245" s="356"/>
      <c r="AK245" s="693">
        <f>AK266</f>
        <v>114.6</v>
      </c>
      <c r="CR245"/>
      <c r="CX245"/>
      <c r="DD245"/>
    </row>
    <row r="246" spans="1:108" ht="11.25" hidden="1" customHeight="1" outlineLevel="1">
      <c r="A246" s="369" t="s">
        <v>247</v>
      </c>
      <c r="B246" s="363"/>
      <c r="C246" s="357"/>
      <c r="D246" s="363"/>
      <c r="E246" s="357"/>
      <c r="F246" s="363"/>
      <c r="G246" s="357"/>
      <c r="H246" s="363"/>
      <c r="I246" s="357"/>
      <c r="J246" s="363"/>
      <c r="K246" s="357"/>
      <c r="L246" s="363"/>
      <c r="M246" s="357"/>
      <c r="N246" s="363"/>
      <c r="O246" s="548"/>
      <c r="P246" s="363"/>
      <c r="Q246" s="548"/>
      <c r="R246" s="363"/>
      <c r="S246" s="362"/>
      <c r="T246" s="363"/>
      <c r="U246" s="363"/>
      <c r="V246" s="363"/>
      <c r="W246" s="401"/>
      <c r="X246" s="364"/>
      <c r="Y246" s="362"/>
      <c r="Z246" s="363"/>
      <c r="AA246" s="363"/>
      <c r="AB246" s="363"/>
      <c r="AC246" s="357"/>
      <c r="AD246" s="357"/>
      <c r="AE246" s="378">
        <f t="shared" si="135"/>
        <v>4.1533902477542295E-2</v>
      </c>
      <c r="AF246" s="388">
        <f t="shared" si="135"/>
        <v>0.30220094780700335</v>
      </c>
      <c r="AG246" s="388">
        <f t="shared" si="135"/>
        <v>-5.029455951114925E-2</v>
      </c>
      <c r="AH246" s="388">
        <f t="shared" si="135"/>
        <v>-0.18610319112339402</v>
      </c>
      <c r="AI246" s="401">
        <f>AI267</f>
        <v>8.7886893389379495E-3</v>
      </c>
      <c r="AJ246" s="357"/>
      <c r="AK246" s="406">
        <f>AK267</f>
        <v>2.2137390963092418E-2</v>
      </c>
      <c r="CR246"/>
      <c r="CX246"/>
      <c r="DD246"/>
    </row>
    <row r="247" spans="1:108" ht="11.25" hidden="1" customHeight="1" outlineLevel="1">
      <c r="A247" s="372" t="s">
        <v>17</v>
      </c>
      <c r="B247" s="360"/>
      <c r="C247" s="683">
        <f>C303</f>
        <v>0</v>
      </c>
      <c r="D247" s="559"/>
      <c r="E247" s="683">
        <f>E303</f>
        <v>0</v>
      </c>
      <c r="F247" s="559"/>
      <c r="G247" s="683">
        <f>G303</f>
        <v>0</v>
      </c>
      <c r="H247" s="559"/>
      <c r="I247" s="683">
        <f>I303</f>
        <v>0</v>
      </c>
      <c r="J247" s="559"/>
      <c r="K247" s="683">
        <f>K303</f>
        <v>0</v>
      </c>
      <c r="L247" s="559"/>
      <c r="M247" s="683">
        <f>M303</f>
        <v>0</v>
      </c>
      <c r="N247" s="559"/>
      <c r="O247" s="683">
        <f>O303</f>
        <v>-0.79800000000000004</v>
      </c>
      <c r="P247" s="559"/>
      <c r="Q247" s="683">
        <f>Q303</f>
        <v>-5.16</v>
      </c>
      <c r="R247" s="559"/>
      <c r="S247" s="649">
        <f>S303</f>
        <v>-1.8280000000000001</v>
      </c>
      <c r="T247" s="650">
        <f>T303</f>
        <v>-2.0179999999999998</v>
      </c>
      <c r="U247" s="650">
        <f>U303</f>
        <v>-2.9630000000000001</v>
      </c>
      <c r="V247" s="651">
        <f>V303</f>
        <v>-2.133</v>
      </c>
      <c r="W247" s="683">
        <f>W303</f>
        <v>-8.9420000000000002</v>
      </c>
      <c r="X247" s="361"/>
      <c r="Y247" s="450">
        <f>Y303</f>
        <v>-12.864000000000001</v>
      </c>
      <c r="Z247" s="642">
        <f>Z303</f>
        <v>-11.625</v>
      </c>
      <c r="AA247" s="642">
        <f>AA303</f>
        <v>-11.86</v>
      </c>
      <c r="AB247" s="642">
        <f>AB303</f>
        <v>-9.7510000000000048</v>
      </c>
      <c r="AC247" s="683">
        <f>SUM(Y247:AB247)</f>
        <v>-46.100000000000009</v>
      </c>
      <c r="AD247" s="356"/>
      <c r="AE247" s="450">
        <f>AE303</f>
        <v>-16.311</v>
      </c>
      <c r="AF247" s="642">
        <f>AF303</f>
        <v>-12.898</v>
      </c>
      <c r="AG247" s="642">
        <f>AG303</f>
        <v>-11.646000000000001</v>
      </c>
      <c r="AH247" s="642">
        <f>AH303</f>
        <v>-13.245000000000001</v>
      </c>
      <c r="AI247" s="683">
        <f>SUM(AE247:AH247)</f>
        <v>-54.100000000000009</v>
      </c>
      <c r="AJ247" s="356"/>
      <c r="AK247" s="651">
        <f>AK303</f>
        <v>-10.7</v>
      </c>
      <c r="CR247"/>
      <c r="CX247"/>
      <c r="DD247"/>
    </row>
    <row r="248" spans="1:108" ht="11.25" hidden="1" customHeight="1" outlineLevel="1">
      <c r="A248" s="684" t="s">
        <v>29</v>
      </c>
      <c r="B248" s="360"/>
      <c r="C248" s="683">
        <f>C237+C239+C241+C247</f>
        <v>42.207000000000001</v>
      </c>
      <c r="D248" s="559"/>
      <c r="E248" s="683">
        <f>E237+E239+E241+E247</f>
        <v>64.69</v>
      </c>
      <c r="F248" s="559"/>
      <c r="G248" s="683">
        <f>G237+G239+G241+G247</f>
        <v>76.602000000000004</v>
      </c>
      <c r="H248" s="559"/>
      <c r="I248" s="683">
        <f>I237+I239+I241+I247</f>
        <v>92.691000000000003</v>
      </c>
      <c r="J248" s="559"/>
      <c r="K248" s="683">
        <f>K237+K239+K241+K247</f>
        <v>220.65800000000002</v>
      </c>
      <c r="L248" s="559"/>
      <c r="M248" s="683">
        <f>M237+M239+M241+M247</f>
        <v>260.67899999999997</v>
      </c>
      <c r="N248" s="559"/>
      <c r="O248" s="683">
        <f>O237+O239+O241+O247</f>
        <v>284.416</v>
      </c>
      <c r="P248" s="559"/>
      <c r="Q248" s="683">
        <f>Q237+Q239+Q241+Q247</f>
        <v>372.25299999999999</v>
      </c>
      <c r="R248" s="559"/>
      <c r="S248" s="649">
        <f>S237+S239+S241+S247</f>
        <v>94.855999999999995</v>
      </c>
      <c r="T248" s="650">
        <f>T237+T239+T241+T247</f>
        <v>100.48299999999998</v>
      </c>
      <c r="U248" s="650">
        <f>U237+U239+U241+U247</f>
        <v>104.87</v>
      </c>
      <c r="V248" s="651">
        <f>V237+V239+V241+V247</f>
        <v>135.625</v>
      </c>
      <c r="W248" s="683">
        <f>W237+W239+W241+W247</f>
        <v>435.83399999999995</v>
      </c>
      <c r="X248" s="361"/>
      <c r="Y248" s="641">
        <f>Y243+Y245+Y247</f>
        <v>207.536</v>
      </c>
      <c r="Z248" s="642">
        <f>Z243+Z245+Z247</f>
        <v>238.34199999999998</v>
      </c>
      <c r="AA248" s="642">
        <f>AA243+AA245+AA247</f>
        <v>241.76</v>
      </c>
      <c r="AB248" s="643">
        <f>AB243+AB245+AB247</f>
        <v>344.76200000000006</v>
      </c>
      <c r="AC248" s="683">
        <f>AC243+AC245+AC247</f>
        <v>1032.4000000000001</v>
      </c>
      <c r="AD248" s="356"/>
      <c r="AE248" s="641">
        <f>AE243+AE245+AE247</f>
        <v>238.43599999999998</v>
      </c>
      <c r="AF248" s="642">
        <f>AF243+AF245+AF247</f>
        <v>311.46499999999992</v>
      </c>
      <c r="AG248" s="642">
        <f>AG243+AG245+AG247</f>
        <v>242.06400000000002</v>
      </c>
      <c r="AH248" s="643">
        <f>AH243+AH245+AH247</f>
        <v>315.13499999999999</v>
      </c>
      <c r="AI248" s="683">
        <f>AI243+AI245+AI247</f>
        <v>1107.1000000000001</v>
      </c>
      <c r="AJ248" s="356"/>
      <c r="AK248" s="693">
        <f>AK243+AK245+AK247</f>
        <v>230.5</v>
      </c>
      <c r="CR248"/>
      <c r="CX248"/>
      <c r="DD248"/>
    </row>
    <row r="249" spans="1:108" ht="11.25" hidden="1" customHeight="1" outlineLevel="1">
      <c r="A249" s="371" t="s">
        <v>247</v>
      </c>
      <c r="B249" s="366"/>
      <c r="C249" s="358"/>
      <c r="D249" s="366"/>
      <c r="E249" s="403">
        <f>E248/C248-1</f>
        <v>0.53268415191792817</v>
      </c>
      <c r="F249" s="366"/>
      <c r="G249" s="403">
        <f>G248/E248-1</f>
        <v>0.18413974339155992</v>
      </c>
      <c r="H249" s="366"/>
      <c r="I249" s="403">
        <f>I248/G248-1</f>
        <v>0.21003368058275229</v>
      </c>
      <c r="J249" s="366"/>
      <c r="K249" s="403">
        <f>K248/I248-1</f>
        <v>1.3805763234834019</v>
      </c>
      <c r="L249" s="366"/>
      <c r="M249" s="403">
        <f>M248/K248-1</f>
        <v>0.18137117167743733</v>
      </c>
      <c r="N249" s="366"/>
      <c r="O249" s="403">
        <f>O248/M248-1</f>
        <v>9.1058351459074371E-2</v>
      </c>
      <c r="P249" s="366"/>
      <c r="Q249" s="403">
        <f>Q248/O248-1</f>
        <v>0.30883283640864079</v>
      </c>
      <c r="R249" s="366"/>
      <c r="S249" s="379"/>
      <c r="T249" s="390"/>
      <c r="U249" s="390"/>
      <c r="V249" s="448"/>
      <c r="W249" s="403">
        <f>W248/Q248-1</f>
        <v>0.17080050395832935</v>
      </c>
      <c r="X249" s="544"/>
      <c r="Y249" s="379">
        <f>Y248/S248-1</f>
        <v>1.1879058783840772</v>
      </c>
      <c r="Z249" s="390">
        <f>Z248/T248-1</f>
        <v>1.3719634166973522</v>
      </c>
      <c r="AA249" s="390">
        <f>AA248/U248-1</f>
        <v>1.3053304090779059</v>
      </c>
      <c r="AB249" s="448">
        <f>AB248/V248-1</f>
        <v>1.5420239631336408</v>
      </c>
      <c r="AC249" s="403">
        <f>AC248/W248-1</f>
        <v>1.3687917876989868</v>
      </c>
      <c r="AD249" s="358"/>
      <c r="AE249" s="379">
        <f>AE248/Y248-1</f>
        <v>0.14888983116182231</v>
      </c>
      <c r="AF249" s="390">
        <f>AF248/Z248-1</f>
        <v>0.30679863389583018</v>
      </c>
      <c r="AG249" s="390">
        <f>AG248/AA248-1</f>
        <v>1.2574454003972946E-3</v>
      </c>
      <c r="AH249" s="448">
        <f>AH248/AB248-1</f>
        <v>-8.5934644769435353E-2</v>
      </c>
      <c r="AI249" s="403">
        <f>AI248/AC248-1</f>
        <v>7.2355676094536969E-2</v>
      </c>
      <c r="AJ249" s="358"/>
      <c r="AK249" s="403">
        <f>AK248/AE248-1</f>
        <v>-3.3283564562398227E-2</v>
      </c>
      <c r="CR249"/>
      <c r="CX249"/>
      <c r="DD249"/>
    </row>
    <row r="250" spans="1:108" ht="11.25" hidden="1" customHeight="1" outlineLevel="1">
      <c r="A250" s="696"/>
      <c r="B250" s="363"/>
      <c r="C250" s="363"/>
      <c r="D250" s="363"/>
      <c r="E250" s="388"/>
      <c r="F250" s="363"/>
      <c r="G250" s="388"/>
      <c r="H250" s="363"/>
      <c r="I250" s="388"/>
      <c r="J250" s="363"/>
      <c r="K250" s="388"/>
      <c r="L250" s="363"/>
      <c r="M250" s="388"/>
      <c r="N250" s="363"/>
      <c r="O250" s="388"/>
      <c r="P250" s="363"/>
      <c r="Q250" s="388"/>
      <c r="R250" s="363"/>
      <c r="S250" s="388"/>
      <c r="T250" s="388"/>
      <c r="U250" s="388"/>
      <c r="V250" s="388"/>
      <c r="W250" s="388"/>
      <c r="X250" s="366"/>
      <c r="Y250" s="388"/>
      <c r="Z250" s="388"/>
      <c r="AA250" s="388"/>
      <c r="AB250" s="388"/>
      <c r="AC250" s="388"/>
      <c r="AD250" s="366"/>
      <c r="AE250" s="388"/>
      <c r="AF250" s="388"/>
      <c r="AG250" s="388"/>
      <c r="AH250" s="388"/>
      <c r="AI250" s="388"/>
      <c r="AJ250" s="366"/>
      <c r="AK250" s="388"/>
      <c r="CR250"/>
      <c r="CX250"/>
      <c r="DD250"/>
    </row>
    <row r="251" spans="1:108" ht="11.25" hidden="1" customHeight="1" outlineLevel="1">
      <c r="A251" s="73" t="s">
        <v>338</v>
      </c>
      <c r="B251" s="74"/>
      <c r="C251" s="74"/>
      <c r="D251" s="74"/>
      <c r="E251" s="74"/>
      <c r="F251" s="74"/>
      <c r="G251" s="74"/>
      <c r="H251" s="74"/>
      <c r="I251" s="74"/>
      <c r="J251" s="74"/>
      <c r="K251" s="74"/>
      <c r="L251" s="74"/>
      <c r="M251" s="74"/>
      <c r="N251" s="74"/>
      <c r="O251" s="74"/>
      <c r="P251" s="74"/>
      <c r="Q251" s="74"/>
      <c r="R251" s="74"/>
      <c r="S251" s="74"/>
      <c r="T251" s="74"/>
      <c r="U251" s="74"/>
      <c r="V251" s="74"/>
      <c r="W251" s="74"/>
      <c r="X251" s="167"/>
      <c r="Y251" s="639"/>
      <c r="Z251" s="639"/>
      <c r="AA251" s="639"/>
      <c r="AB251" s="639"/>
      <c r="AC251" s="74"/>
      <c r="AD251" s="74"/>
      <c r="AE251" s="639"/>
      <c r="AF251" s="639"/>
      <c r="AG251" s="639"/>
      <c r="AH251" s="639"/>
      <c r="AI251" s="74"/>
      <c r="AJ251" s="74"/>
      <c r="AK251" s="639"/>
      <c r="CR251"/>
      <c r="CX251"/>
      <c r="DD251"/>
    </row>
    <row r="252" spans="1:108" ht="11.25" hidden="1" customHeight="1" outlineLevel="1">
      <c r="A252" s="419" t="s">
        <v>252</v>
      </c>
      <c r="B252" s="360"/>
      <c r="C252" s="404"/>
      <c r="D252" s="360"/>
      <c r="E252" s="404"/>
      <c r="F252" s="360"/>
      <c r="G252" s="404"/>
      <c r="H252" s="360"/>
      <c r="I252" s="404"/>
      <c r="J252" s="360"/>
      <c r="K252" s="404"/>
      <c r="L252" s="360"/>
      <c r="M252" s="404"/>
      <c r="N252" s="360"/>
      <c r="O252" s="404"/>
      <c r="P252" s="360"/>
      <c r="Q252" s="404"/>
      <c r="R252" s="360"/>
      <c r="S252" s="385"/>
      <c r="T252" s="396"/>
      <c r="U252" s="396"/>
      <c r="V252" s="652"/>
      <c r="W252" s="397"/>
      <c r="X252" s="361"/>
      <c r="Y252" s="385">
        <f>80.818+6.226</f>
        <v>87.043999999999997</v>
      </c>
      <c r="Z252" s="396">
        <f>93.564+9.223</f>
        <v>102.78699999999999</v>
      </c>
      <c r="AA252" s="396">
        <f>100.798+7.763</f>
        <v>108.56100000000001</v>
      </c>
      <c r="AB252" s="652">
        <f>438.1+8.8-Y252-Z252-AA252</f>
        <v>148.50800000000007</v>
      </c>
      <c r="AC252" s="397">
        <f>SUM(Y252:AB252)</f>
        <v>446.90000000000009</v>
      </c>
      <c r="AD252" s="356"/>
      <c r="AE252" s="385">
        <f>104.074+9.492</f>
        <v>113.566</v>
      </c>
      <c r="AF252" s="396">
        <f>117.72+12.487</f>
        <v>130.20699999999999</v>
      </c>
      <c r="AG252" s="396">
        <f>101.679+8.587</f>
        <v>110.26600000000001</v>
      </c>
      <c r="AH252" s="652">
        <f>503.7+10-AE252-AF252-AG252</f>
        <v>159.661</v>
      </c>
      <c r="AI252" s="397">
        <f>SUM(AE252:AH252)</f>
        <v>513.70000000000005</v>
      </c>
      <c r="AJ252" s="356"/>
      <c r="AK252" s="404">
        <f>100.7+1.9</f>
        <v>102.60000000000001</v>
      </c>
      <c r="CR252"/>
      <c r="CX252"/>
      <c r="DD252"/>
    </row>
    <row r="253" spans="1:108" ht="11.25" hidden="1" customHeight="1" outlineLevel="1">
      <c r="A253" s="369" t="s">
        <v>247</v>
      </c>
      <c r="B253" s="363"/>
      <c r="C253" s="548"/>
      <c r="D253" s="363"/>
      <c r="E253" s="548"/>
      <c r="F253" s="363"/>
      <c r="G253" s="548"/>
      <c r="H253" s="363"/>
      <c r="I253" s="548"/>
      <c r="J253" s="363"/>
      <c r="K253" s="548"/>
      <c r="L253" s="363"/>
      <c r="M253" s="548"/>
      <c r="N253" s="363"/>
      <c r="O253" s="401"/>
      <c r="P253" s="363"/>
      <c r="Q253" s="401"/>
      <c r="R253" s="363"/>
      <c r="S253" s="378"/>
      <c r="T253" s="388"/>
      <c r="U253" s="388"/>
      <c r="V253" s="453"/>
      <c r="W253" s="401"/>
      <c r="X253" s="364"/>
      <c r="Y253" s="378"/>
      <c r="Z253" s="388"/>
      <c r="AA253" s="388"/>
      <c r="AB253" s="453"/>
      <c r="AC253" s="401"/>
      <c r="AD253" s="357"/>
      <c r="AE253" s="378">
        <f>AE252/Y252-1</f>
        <v>0.30469647534580213</v>
      </c>
      <c r="AF253" s="388">
        <f>AF252/Z252-1</f>
        <v>0.26676525241518867</v>
      </c>
      <c r="AG253" s="388">
        <f>AG252/AA252-1</f>
        <v>1.5705455918792133E-2</v>
      </c>
      <c r="AH253" s="453">
        <f>AH252/AB252-1</f>
        <v>7.5100331295283373E-2</v>
      </c>
      <c r="AI253" s="401">
        <f>AI252/AC252-1</f>
        <v>0.14947415529201158</v>
      </c>
      <c r="AJ253" s="357"/>
      <c r="AK253" s="401">
        <f>AK252/AE252-1</f>
        <v>-9.6560590317524508E-2</v>
      </c>
      <c r="CR253"/>
      <c r="CX253"/>
      <c r="DD253"/>
    </row>
    <row r="254" spans="1:108" ht="11.25" hidden="1" customHeight="1" outlineLevel="1">
      <c r="A254" s="418" t="s">
        <v>253</v>
      </c>
      <c r="B254" s="363"/>
      <c r="C254" s="405"/>
      <c r="D254" s="363"/>
      <c r="E254" s="405"/>
      <c r="F254" s="363"/>
      <c r="G254" s="405"/>
      <c r="H254" s="363"/>
      <c r="I254" s="405"/>
      <c r="J254" s="363"/>
      <c r="K254" s="405"/>
      <c r="L254" s="363"/>
      <c r="M254" s="405"/>
      <c r="N254" s="363"/>
      <c r="O254" s="405"/>
      <c r="P254" s="363"/>
      <c r="Q254" s="405"/>
      <c r="R254" s="363"/>
      <c r="S254" s="386"/>
      <c r="T254" s="399"/>
      <c r="U254" s="399"/>
      <c r="V254" s="620"/>
      <c r="W254" s="394"/>
      <c r="X254" s="364"/>
      <c r="Y254" s="386">
        <v>25.709</v>
      </c>
      <c r="Z254" s="399">
        <v>21.416</v>
      </c>
      <c r="AA254" s="399">
        <v>26.577000000000002</v>
      </c>
      <c r="AB254" s="620">
        <f>108.2-Y254-Z254-AA254</f>
        <v>34.498000000000005</v>
      </c>
      <c r="AC254" s="394">
        <f>SUM(Y254:AB254)</f>
        <v>108.2</v>
      </c>
      <c r="AD254" s="357"/>
      <c r="AE254" s="386">
        <v>29.062999999999999</v>
      </c>
      <c r="AF254" s="399">
        <v>30.385999999999999</v>
      </c>
      <c r="AG254" s="399">
        <v>30.920999999999999</v>
      </c>
      <c r="AH254" s="620">
        <f>119.5-AE254-AF254-AG254</f>
        <v>29.130000000000003</v>
      </c>
      <c r="AI254" s="394">
        <f>SUM(AE254:AH254)</f>
        <v>119.5</v>
      </c>
      <c r="AJ254" s="357"/>
      <c r="AK254" s="405">
        <v>24</v>
      </c>
      <c r="CR254"/>
      <c r="CX254"/>
      <c r="DD254"/>
    </row>
    <row r="255" spans="1:108" ht="11.25" hidden="1" customHeight="1" outlineLevel="1">
      <c r="A255" s="369" t="s">
        <v>247</v>
      </c>
      <c r="B255" s="363"/>
      <c r="C255" s="548"/>
      <c r="D255" s="363"/>
      <c r="E255" s="548"/>
      <c r="F255" s="363"/>
      <c r="G255" s="548"/>
      <c r="H255" s="363"/>
      <c r="I255" s="548"/>
      <c r="J255" s="363"/>
      <c r="K255" s="548"/>
      <c r="L255" s="363"/>
      <c r="M255" s="548"/>
      <c r="N255" s="363"/>
      <c r="O255" s="401"/>
      <c r="P255" s="363"/>
      <c r="Q255" s="401"/>
      <c r="R255" s="363"/>
      <c r="S255" s="378"/>
      <c r="T255" s="388"/>
      <c r="U255" s="388"/>
      <c r="V255" s="453"/>
      <c r="W255" s="401"/>
      <c r="X255" s="364"/>
      <c r="Y255" s="378"/>
      <c r="Z255" s="388"/>
      <c r="AA255" s="388"/>
      <c r="AB255" s="453"/>
      <c r="AC255" s="401"/>
      <c r="AD255" s="357"/>
      <c r="AE255" s="378">
        <f>AE254/Y254-1</f>
        <v>0.13046015014197354</v>
      </c>
      <c r="AF255" s="388">
        <f>AF254/Z254-1</f>
        <v>0.41884572282405674</v>
      </c>
      <c r="AG255" s="388">
        <f>AG254/AA254-1</f>
        <v>0.16344959927757063</v>
      </c>
      <c r="AH255" s="453">
        <f>AH254/AB254-1</f>
        <v>-0.15560322337526822</v>
      </c>
      <c r="AI255" s="401">
        <f>AI254/AC254-1</f>
        <v>0.10443622920517548</v>
      </c>
      <c r="AJ255" s="357"/>
      <c r="AK255" s="401">
        <f>AK254/AE254-1</f>
        <v>-0.17420775556549561</v>
      </c>
      <c r="CR255"/>
      <c r="CX255"/>
      <c r="DD255"/>
    </row>
    <row r="256" spans="1:108" ht="11.25" hidden="1" customHeight="1" outlineLevel="1">
      <c r="A256" s="370" t="s">
        <v>29</v>
      </c>
      <c r="B256" s="363"/>
      <c r="C256" s="555"/>
      <c r="D256" s="556"/>
      <c r="E256" s="555"/>
      <c r="F256" s="556"/>
      <c r="G256" s="555"/>
      <c r="H256" s="556"/>
      <c r="I256" s="555"/>
      <c r="J256" s="556"/>
      <c r="K256" s="555"/>
      <c r="L256" s="556"/>
      <c r="M256" s="402"/>
      <c r="N256" s="556"/>
      <c r="O256" s="402"/>
      <c r="P256" s="556"/>
      <c r="Q256" s="402"/>
      <c r="R256" s="556"/>
      <c r="S256" s="382"/>
      <c r="T256" s="389"/>
      <c r="U256" s="389"/>
      <c r="V256" s="648"/>
      <c r="W256" s="402"/>
      <c r="X256" s="557"/>
      <c r="Y256" s="382">
        <f>Y252+Y254</f>
        <v>112.753</v>
      </c>
      <c r="Z256" s="389">
        <f>Z252+Z254</f>
        <v>124.20299999999999</v>
      </c>
      <c r="AA256" s="389">
        <f>AA252+AA254</f>
        <v>135.13800000000001</v>
      </c>
      <c r="AB256" s="648">
        <f>AB252+AB254</f>
        <v>183.00600000000009</v>
      </c>
      <c r="AC256" s="402">
        <f>AC252+AC254</f>
        <v>555.10000000000014</v>
      </c>
      <c r="AD256" s="687"/>
      <c r="AE256" s="382">
        <f>AE252+AE254</f>
        <v>142.62899999999999</v>
      </c>
      <c r="AF256" s="389">
        <f>AF252+AF254</f>
        <v>160.59299999999999</v>
      </c>
      <c r="AG256" s="389">
        <f>AG252+AG254</f>
        <v>141.18700000000001</v>
      </c>
      <c r="AH256" s="648">
        <f>AH252+AH254</f>
        <v>188.791</v>
      </c>
      <c r="AI256" s="402">
        <f>AI252+AI254</f>
        <v>633.20000000000005</v>
      </c>
      <c r="AJ256" s="687"/>
      <c r="AK256" s="402">
        <f>AK252+AK254</f>
        <v>126.60000000000001</v>
      </c>
      <c r="CR256"/>
      <c r="CX256"/>
      <c r="DD256"/>
    </row>
    <row r="257" spans="1:108" ht="11.25" hidden="1" customHeight="1" outlineLevel="1">
      <c r="A257" s="369" t="s">
        <v>247</v>
      </c>
      <c r="B257" s="363"/>
      <c r="C257" s="548"/>
      <c r="D257" s="363"/>
      <c r="E257" s="548"/>
      <c r="F257" s="363"/>
      <c r="G257" s="548"/>
      <c r="H257" s="363"/>
      <c r="I257" s="548"/>
      <c r="J257" s="363"/>
      <c r="K257" s="548"/>
      <c r="L257" s="363"/>
      <c r="M257" s="401"/>
      <c r="N257" s="363"/>
      <c r="O257" s="401"/>
      <c r="P257" s="363"/>
      <c r="Q257" s="401"/>
      <c r="R257" s="363"/>
      <c r="S257" s="653"/>
      <c r="T257" s="654"/>
      <c r="U257" s="654"/>
      <c r="V257" s="655"/>
      <c r="W257" s="401"/>
      <c r="X257" s="364"/>
      <c r="Y257" s="653"/>
      <c r="Z257" s="388"/>
      <c r="AA257" s="654"/>
      <c r="AB257" s="655"/>
      <c r="AC257" s="401"/>
      <c r="AD257" s="357"/>
      <c r="AE257" s="378">
        <f>AE256/Y256-1</f>
        <v>0.26496855959486654</v>
      </c>
      <c r="AF257" s="388">
        <f>AF256/Z256-1</f>
        <v>0.29298809207507071</v>
      </c>
      <c r="AG257" s="388">
        <f>AG256/AA256-1</f>
        <v>4.4761651052997786E-2</v>
      </c>
      <c r="AH257" s="655">
        <f>AH256/AB256-1</f>
        <v>3.1610985432171113E-2</v>
      </c>
      <c r="AI257" s="401">
        <f>AI256/AC256-1</f>
        <v>0.14069537020356671</v>
      </c>
      <c r="AJ257" s="357"/>
      <c r="AK257" s="401">
        <f>AK256/AE256-1</f>
        <v>-0.11238247481227503</v>
      </c>
      <c r="CR257"/>
      <c r="CX257"/>
      <c r="DD257"/>
    </row>
    <row r="258" spans="1:108" ht="11.25" hidden="1" customHeight="1" outlineLevel="1">
      <c r="A258" s="369" t="s">
        <v>248</v>
      </c>
      <c r="B258" s="363"/>
      <c r="C258" s="548"/>
      <c r="D258" s="363"/>
      <c r="E258" s="548"/>
      <c r="F258" s="363"/>
      <c r="G258" s="548"/>
      <c r="H258" s="363"/>
      <c r="I258" s="548"/>
      <c r="J258" s="363"/>
      <c r="K258" s="548"/>
      <c r="L258" s="363"/>
      <c r="M258" s="406"/>
      <c r="N258" s="363"/>
      <c r="O258" s="406"/>
      <c r="P258" s="363"/>
      <c r="Q258" s="406"/>
      <c r="R258" s="363"/>
      <c r="S258" s="656"/>
      <c r="T258" s="657"/>
      <c r="U258" s="657"/>
      <c r="V258" s="658"/>
      <c r="W258" s="406"/>
      <c r="X258" s="364"/>
      <c r="Y258" s="656"/>
      <c r="Z258" s="391"/>
      <c r="AA258" s="657"/>
      <c r="AB258" s="658"/>
      <c r="AC258" s="406"/>
      <c r="AD258" s="357"/>
      <c r="AE258" s="380">
        <f>AE257-AE259</f>
        <v>0.17627912339361246</v>
      </c>
      <c r="AF258" s="391">
        <f>AF257-AF259</f>
        <v>0.20039773596450977</v>
      </c>
      <c r="AG258" s="391">
        <f>AG257-AG259</f>
        <v>-1.6657046870606235E-2</v>
      </c>
      <c r="AH258" s="658">
        <f>AH257-AH259</f>
        <v>0.13324699736620602</v>
      </c>
      <c r="AI258" s="406">
        <f>AI257-AI259</f>
        <v>0.12051882543685802</v>
      </c>
      <c r="AJ258" s="357"/>
      <c r="AK258" s="406">
        <f>AK257-AK259</f>
        <v>-2.4041394106387726E-2</v>
      </c>
      <c r="CR258"/>
      <c r="CX258"/>
      <c r="DD258"/>
    </row>
    <row r="259" spans="1:108" ht="11.25" hidden="1" customHeight="1" outlineLevel="1">
      <c r="A259" s="420" t="s">
        <v>249</v>
      </c>
      <c r="B259" s="366"/>
      <c r="C259" s="550"/>
      <c r="D259" s="366"/>
      <c r="E259" s="550"/>
      <c r="F259" s="366"/>
      <c r="G259" s="550"/>
      <c r="H259" s="366"/>
      <c r="I259" s="550"/>
      <c r="J259" s="366"/>
      <c r="K259" s="550"/>
      <c r="L259" s="366"/>
      <c r="M259" s="407"/>
      <c r="N259" s="366"/>
      <c r="O259" s="407"/>
      <c r="P259" s="366"/>
      <c r="Q259" s="407"/>
      <c r="R259" s="366"/>
      <c r="S259" s="379"/>
      <c r="T259" s="390"/>
      <c r="U259" s="390"/>
      <c r="V259" s="414"/>
      <c r="W259" s="407"/>
      <c r="X259" s="544"/>
      <c r="Y259" s="379"/>
      <c r="Z259" s="392"/>
      <c r="AA259" s="390"/>
      <c r="AB259" s="414"/>
      <c r="AC259" s="407"/>
      <c r="AD259" s="358"/>
      <c r="AE259" s="381">
        <f>10/Y256</f>
        <v>8.8689436201254065E-2</v>
      </c>
      <c r="AF259" s="392">
        <f>11.5/Z256</f>
        <v>9.2590356110560948E-2</v>
      </c>
      <c r="AG259" s="392">
        <f>8.3/AA256</f>
        <v>6.1418697923604021E-2</v>
      </c>
      <c r="AH259" s="414">
        <f>((AC256*AI259)-(Y256*AE259)-(Z256*AF259)-(AA256*AG259))/AB256</f>
        <v>-0.1016360119340349</v>
      </c>
      <c r="AI259" s="407">
        <f>11.2/AC256</f>
        <v>2.0176544766708694E-2</v>
      </c>
      <c r="AJ259" s="358"/>
      <c r="AK259" s="407">
        <f>-12.6/AE256</f>
        <v>-8.8341080705887309E-2</v>
      </c>
      <c r="CR259"/>
      <c r="CX259"/>
      <c r="DD259"/>
    </row>
    <row r="260" spans="1:108" ht="11.25" hidden="1" customHeight="1" outlineLevel="1">
      <c r="A260" s="696"/>
      <c r="B260" s="363"/>
      <c r="C260" s="363"/>
      <c r="D260" s="363"/>
      <c r="E260" s="388"/>
      <c r="F260" s="363"/>
      <c r="G260" s="388"/>
      <c r="H260" s="363"/>
      <c r="I260" s="388"/>
      <c r="J260" s="363"/>
      <c r="K260" s="388"/>
      <c r="L260" s="363"/>
      <c r="M260" s="388"/>
      <c r="N260" s="363"/>
      <c r="O260" s="388"/>
      <c r="P260" s="363"/>
      <c r="Q260" s="388"/>
      <c r="R260" s="363"/>
      <c r="S260" s="388"/>
      <c r="T260" s="388"/>
      <c r="U260" s="388"/>
      <c r="V260" s="388"/>
      <c r="W260" s="388"/>
      <c r="X260" s="366"/>
      <c r="Y260" s="388"/>
      <c r="Z260" s="388"/>
      <c r="AA260" s="388"/>
      <c r="AB260" s="388"/>
      <c r="AC260" s="388"/>
      <c r="AD260" s="366"/>
      <c r="AE260" s="388"/>
      <c r="AF260" s="388"/>
      <c r="AG260" s="388"/>
      <c r="AH260" s="388"/>
      <c r="AI260" s="388"/>
      <c r="AJ260" s="366"/>
      <c r="AK260" s="388"/>
      <c r="CR260"/>
      <c r="CX260"/>
      <c r="DD260"/>
    </row>
    <row r="261" spans="1:108" ht="11.25" hidden="1" customHeight="1" outlineLevel="1">
      <c r="A261" s="73" t="s">
        <v>339</v>
      </c>
      <c r="B261" s="74"/>
      <c r="C261" s="74"/>
      <c r="D261" s="74"/>
      <c r="E261" s="74"/>
      <c r="F261" s="74"/>
      <c r="G261" s="74"/>
      <c r="H261" s="74"/>
      <c r="I261" s="74"/>
      <c r="J261" s="74"/>
      <c r="K261" s="74"/>
      <c r="L261" s="74"/>
      <c r="M261" s="74"/>
      <c r="N261" s="74"/>
      <c r="O261" s="74"/>
      <c r="P261" s="74"/>
      <c r="Q261" s="74"/>
      <c r="R261" s="74"/>
      <c r="S261" s="74"/>
      <c r="T261" s="74"/>
      <c r="U261" s="74"/>
      <c r="V261" s="74"/>
      <c r="W261" s="74"/>
      <c r="X261" s="167"/>
      <c r="Y261" s="639"/>
      <c r="Z261" s="639"/>
      <c r="AA261" s="639"/>
      <c r="AB261" s="639"/>
      <c r="AC261" s="74"/>
      <c r="AD261" s="74"/>
      <c r="AE261" s="639"/>
      <c r="AF261" s="639"/>
      <c r="AG261" s="639"/>
      <c r="AH261" s="639"/>
      <c r="AI261" s="74"/>
      <c r="AJ261" s="74"/>
      <c r="AK261" s="639"/>
      <c r="CR261"/>
      <c r="CX261"/>
      <c r="DD261"/>
    </row>
    <row r="262" spans="1:108" ht="11.25" hidden="1" customHeight="1" outlineLevel="1">
      <c r="A262" s="419" t="s">
        <v>252</v>
      </c>
      <c r="B262" s="360"/>
      <c r="C262" s="404"/>
      <c r="D262" s="360"/>
      <c r="E262" s="404"/>
      <c r="F262" s="360"/>
      <c r="G262" s="404"/>
      <c r="H262" s="360"/>
      <c r="I262" s="404"/>
      <c r="J262" s="360"/>
      <c r="K262" s="404"/>
      <c r="L262" s="360"/>
      <c r="M262" s="404"/>
      <c r="N262" s="360"/>
      <c r="O262" s="404"/>
      <c r="P262" s="360"/>
      <c r="Q262" s="404"/>
      <c r="R262" s="360"/>
      <c r="S262" s="385"/>
      <c r="T262" s="396"/>
      <c r="U262" s="396"/>
      <c r="V262" s="652"/>
      <c r="W262" s="397"/>
      <c r="X262" s="361"/>
      <c r="Y262" s="385">
        <f>81.947+1.9</f>
        <v>83.847000000000008</v>
      </c>
      <c r="Z262" s="396">
        <f>94.653+2.534</f>
        <v>97.187000000000012</v>
      </c>
      <c r="AA262" s="396">
        <f>88.488+3.322</f>
        <v>91.81</v>
      </c>
      <c r="AB262" s="652">
        <f>384+15.2-Y262-Z262-AA262</f>
        <v>126.35599999999994</v>
      </c>
      <c r="AC262" s="397">
        <f>SUM(Y262:AB262)</f>
        <v>399.2</v>
      </c>
      <c r="AD262" s="356"/>
      <c r="AE262" s="385">
        <f>78.818+5</f>
        <v>83.817999999999998</v>
      </c>
      <c r="AF262" s="396">
        <f>134.227+7.135</f>
        <v>141.36199999999999</v>
      </c>
      <c r="AG262" s="396">
        <f>81.305+2.016</f>
        <v>83.321000000000012</v>
      </c>
      <c r="AH262" s="652">
        <f>402.8+18.1-AE262-AF262-AG262</f>
        <v>112.39900000000004</v>
      </c>
      <c r="AI262" s="397">
        <f>SUM(AE262:AH262)</f>
        <v>420.90000000000009</v>
      </c>
      <c r="AJ262" s="356"/>
      <c r="AK262" s="404">
        <f>101.8+1</f>
        <v>102.8</v>
      </c>
      <c r="CR262"/>
      <c r="CX262"/>
      <c r="DD262"/>
    </row>
    <row r="263" spans="1:108" ht="11.25" hidden="1" customHeight="1" outlineLevel="1">
      <c r="A263" s="369" t="s">
        <v>247</v>
      </c>
      <c r="B263" s="363"/>
      <c r="C263" s="548"/>
      <c r="D263" s="363"/>
      <c r="E263" s="548"/>
      <c r="F263" s="363"/>
      <c r="G263" s="548"/>
      <c r="H263" s="363"/>
      <c r="I263" s="548"/>
      <c r="J263" s="363"/>
      <c r="K263" s="548"/>
      <c r="L263" s="363"/>
      <c r="M263" s="548"/>
      <c r="N263" s="363"/>
      <c r="O263" s="401"/>
      <c r="P263" s="363"/>
      <c r="Q263" s="401"/>
      <c r="R263" s="363"/>
      <c r="S263" s="378"/>
      <c r="T263" s="388"/>
      <c r="U263" s="388"/>
      <c r="V263" s="453"/>
      <c r="W263" s="401"/>
      <c r="X263" s="364"/>
      <c r="Y263" s="378"/>
      <c r="Z263" s="388"/>
      <c r="AA263" s="388"/>
      <c r="AB263" s="453"/>
      <c r="AC263" s="401"/>
      <c r="AD263" s="357"/>
      <c r="AE263" s="378">
        <f>AE262/Y262-1</f>
        <v>-3.4586806922143332E-4</v>
      </c>
      <c r="AF263" s="388">
        <f>AF262/Z262-1</f>
        <v>0.45453610050726923</v>
      </c>
      <c r="AG263" s="388">
        <f>AG262/AA262-1</f>
        <v>-9.2462694695566783E-2</v>
      </c>
      <c r="AH263" s="453">
        <f>AH262/AB262-1</f>
        <v>-0.11045775428155291</v>
      </c>
      <c r="AI263" s="401">
        <f>AI262/AC262-1</f>
        <v>5.4358717434870085E-2</v>
      </c>
      <c r="AJ263" s="357"/>
      <c r="AK263" s="401">
        <f>AK262/AE262-1</f>
        <v>0.22646686869168908</v>
      </c>
      <c r="CR263"/>
      <c r="CX263"/>
      <c r="DD263"/>
    </row>
    <row r="264" spans="1:108" ht="11.25" hidden="1" customHeight="1" outlineLevel="1">
      <c r="A264" s="418" t="s">
        <v>253</v>
      </c>
      <c r="B264" s="363"/>
      <c r="C264" s="405"/>
      <c r="D264" s="363"/>
      <c r="E264" s="405"/>
      <c r="F264" s="363"/>
      <c r="G264" s="405"/>
      <c r="H264" s="363"/>
      <c r="I264" s="405"/>
      <c r="J264" s="363"/>
      <c r="K264" s="405"/>
      <c r="L264" s="363"/>
      <c r="M264" s="405"/>
      <c r="N264" s="363"/>
      <c r="O264" s="405"/>
      <c r="P264" s="363"/>
      <c r="Q264" s="405"/>
      <c r="R264" s="363"/>
      <c r="S264" s="386"/>
      <c r="T264" s="399"/>
      <c r="U264" s="399"/>
      <c r="V264" s="620"/>
      <c r="W264" s="394"/>
      <c r="X264" s="364"/>
      <c r="Y264" s="386">
        <v>23.8</v>
      </c>
      <c r="Z264" s="399">
        <v>28.577000000000002</v>
      </c>
      <c r="AA264" s="399">
        <v>26.672000000000001</v>
      </c>
      <c r="AB264" s="620">
        <f>124.2-Y264-Z264-AA264</f>
        <v>45.15100000000001</v>
      </c>
      <c r="AC264" s="394">
        <f>SUM(Y264:AB264)</f>
        <v>124.20000000000002</v>
      </c>
      <c r="AD264" s="357"/>
      <c r="AE264" s="386">
        <v>28.3</v>
      </c>
      <c r="AF264" s="399">
        <v>22.408000000000001</v>
      </c>
      <c r="AG264" s="399">
        <v>29.202000000000002</v>
      </c>
      <c r="AH264" s="620">
        <f>107.1-AE264-AF264-AG264</f>
        <v>27.189999999999994</v>
      </c>
      <c r="AI264" s="394">
        <f>SUM(AE264:AH264)</f>
        <v>107.1</v>
      </c>
      <c r="AJ264" s="357"/>
      <c r="AK264" s="405">
        <v>11.8</v>
      </c>
      <c r="CR264"/>
      <c r="CX264"/>
      <c r="DD264"/>
    </row>
    <row r="265" spans="1:108" ht="11.25" hidden="1" customHeight="1" outlineLevel="1">
      <c r="A265" s="369" t="s">
        <v>247</v>
      </c>
      <c r="B265" s="363"/>
      <c r="C265" s="548"/>
      <c r="D265" s="363"/>
      <c r="E265" s="548"/>
      <c r="F265" s="363"/>
      <c r="G265" s="548"/>
      <c r="H265" s="363"/>
      <c r="I265" s="548"/>
      <c r="J265" s="363"/>
      <c r="K265" s="548"/>
      <c r="L265" s="363"/>
      <c r="M265" s="548"/>
      <c r="N265" s="363"/>
      <c r="O265" s="401"/>
      <c r="P265" s="363"/>
      <c r="Q265" s="401"/>
      <c r="R265" s="363"/>
      <c r="S265" s="378"/>
      <c r="T265" s="388"/>
      <c r="U265" s="388"/>
      <c r="V265" s="453"/>
      <c r="W265" s="401"/>
      <c r="X265" s="364"/>
      <c r="Y265" s="378"/>
      <c r="Z265" s="388"/>
      <c r="AA265" s="388"/>
      <c r="AB265" s="453"/>
      <c r="AC265" s="401"/>
      <c r="AD265" s="357"/>
      <c r="AE265" s="378">
        <f>AE264/Y264-1</f>
        <v>0.18907563025210083</v>
      </c>
      <c r="AF265" s="388">
        <f>AF264/Z264-1</f>
        <v>-0.21587290478356724</v>
      </c>
      <c r="AG265" s="388">
        <f>AG264/AA264-1</f>
        <v>9.4856028794241265E-2</v>
      </c>
      <c r="AH265" s="453">
        <f>AH264/AB264-1</f>
        <v>-0.39779849837212933</v>
      </c>
      <c r="AI265" s="401">
        <f>AI264/AC264-1</f>
        <v>-0.13768115942029002</v>
      </c>
      <c r="AJ265" s="357"/>
      <c r="AK265" s="401">
        <f>AK264/AE264-1</f>
        <v>-0.58303886925795045</v>
      </c>
      <c r="CR265"/>
      <c r="CX265"/>
      <c r="DD265"/>
    </row>
    <row r="266" spans="1:108" ht="11.25" hidden="1" customHeight="1" outlineLevel="1">
      <c r="A266" s="370" t="s">
        <v>29</v>
      </c>
      <c r="B266" s="363"/>
      <c r="C266" s="555"/>
      <c r="D266" s="556"/>
      <c r="E266" s="555"/>
      <c r="F266" s="556"/>
      <c r="G266" s="555"/>
      <c r="H266" s="556"/>
      <c r="I266" s="555"/>
      <c r="J266" s="556"/>
      <c r="K266" s="555"/>
      <c r="L266" s="556"/>
      <c r="M266" s="402"/>
      <c r="N266" s="556"/>
      <c r="O266" s="402"/>
      <c r="P266" s="556"/>
      <c r="Q266" s="402"/>
      <c r="R266" s="556"/>
      <c r="S266" s="382"/>
      <c r="T266" s="389"/>
      <c r="U266" s="389"/>
      <c r="V266" s="648"/>
      <c r="W266" s="402"/>
      <c r="X266" s="557"/>
      <c r="Y266" s="382">
        <f>Y262+Y264</f>
        <v>107.64700000000001</v>
      </c>
      <c r="Z266" s="389">
        <f>Z262+Z264</f>
        <v>125.76400000000001</v>
      </c>
      <c r="AA266" s="389">
        <f>AA262+AA264</f>
        <v>118.482</v>
      </c>
      <c r="AB266" s="648">
        <f>AB262+AB264</f>
        <v>171.50699999999995</v>
      </c>
      <c r="AC266" s="402">
        <f>AC262+AC264</f>
        <v>523.4</v>
      </c>
      <c r="AD266" s="687"/>
      <c r="AE266" s="382">
        <f>AE262+AE264</f>
        <v>112.11799999999999</v>
      </c>
      <c r="AF266" s="389">
        <f>AF262+AF264</f>
        <v>163.76999999999998</v>
      </c>
      <c r="AG266" s="389">
        <f>AG262+AG264</f>
        <v>112.52300000000001</v>
      </c>
      <c r="AH266" s="648">
        <f>AH262+AH264</f>
        <v>139.58900000000003</v>
      </c>
      <c r="AI266" s="402">
        <f>AI262+AI264</f>
        <v>528.00000000000011</v>
      </c>
      <c r="AJ266" s="687"/>
      <c r="AK266" s="402">
        <f>AK262+AK264</f>
        <v>114.6</v>
      </c>
      <c r="CR266"/>
      <c r="CX266"/>
      <c r="DD266"/>
    </row>
    <row r="267" spans="1:108" ht="11.25" hidden="1" customHeight="1" outlineLevel="1">
      <c r="A267" s="369" t="s">
        <v>247</v>
      </c>
      <c r="B267" s="363"/>
      <c r="C267" s="548"/>
      <c r="D267" s="363"/>
      <c r="E267" s="548"/>
      <c r="F267" s="363"/>
      <c r="G267" s="548"/>
      <c r="H267" s="363"/>
      <c r="I267" s="548"/>
      <c r="J267" s="363"/>
      <c r="K267" s="548"/>
      <c r="L267" s="363"/>
      <c r="M267" s="401"/>
      <c r="N267" s="363"/>
      <c r="O267" s="401"/>
      <c r="P267" s="363"/>
      <c r="Q267" s="401"/>
      <c r="R267" s="363"/>
      <c r="S267" s="653"/>
      <c r="T267" s="654"/>
      <c r="U267" s="654"/>
      <c r="V267" s="655"/>
      <c r="W267" s="401"/>
      <c r="X267" s="364"/>
      <c r="Y267" s="653"/>
      <c r="Z267" s="388"/>
      <c r="AA267" s="654"/>
      <c r="AB267" s="655"/>
      <c r="AC267" s="401"/>
      <c r="AD267" s="357"/>
      <c r="AE267" s="378">
        <f>AE266/Y266-1</f>
        <v>4.1533902477542295E-2</v>
      </c>
      <c r="AF267" s="388">
        <f>AF266/Z266-1</f>
        <v>0.30220094780700335</v>
      </c>
      <c r="AG267" s="388">
        <f>AG266/AA266-1</f>
        <v>-5.029455951114925E-2</v>
      </c>
      <c r="AH267" s="655">
        <f>AH266/AB266-1</f>
        <v>-0.18610319112339402</v>
      </c>
      <c r="AI267" s="401">
        <f>AI266/AC266-1</f>
        <v>8.7886893389379495E-3</v>
      </c>
      <c r="AJ267" s="357"/>
      <c r="AK267" s="401">
        <f>AK266/AE266-1</f>
        <v>2.2137390963092418E-2</v>
      </c>
      <c r="CR267"/>
      <c r="CX267"/>
      <c r="DD267"/>
    </row>
    <row r="268" spans="1:108" ht="11.25" hidden="1" customHeight="1" outlineLevel="1">
      <c r="A268" s="369" t="s">
        <v>248</v>
      </c>
      <c r="B268" s="363"/>
      <c r="C268" s="548"/>
      <c r="D268" s="363"/>
      <c r="E268" s="548"/>
      <c r="F268" s="363"/>
      <c r="G268" s="548"/>
      <c r="H268" s="363"/>
      <c r="I268" s="548"/>
      <c r="J268" s="363"/>
      <c r="K268" s="548"/>
      <c r="L268" s="363"/>
      <c r="M268" s="406"/>
      <c r="N268" s="363"/>
      <c r="O268" s="406"/>
      <c r="P268" s="363"/>
      <c r="Q268" s="406"/>
      <c r="R268" s="363"/>
      <c r="S268" s="656"/>
      <c r="T268" s="657"/>
      <c r="U268" s="657"/>
      <c r="V268" s="658"/>
      <c r="W268" s="406"/>
      <c r="X268" s="364"/>
      <c r="Y268" s="656"/>
      <c r="Z268" s="391"/>
      <c r="AA268" s="657"/>
      <c r="AB268" s="658"/>
      <c r="AC268" s="406"/>
      <c r="AD268" s="357"/>
      <c r="AE268" s="380">
        <f>AE267-AE269</f>
        <v>-5.6936096686391671E-2</v>
      </c>
      <c r="AF268" s="391">
        <f>AF267-AF269</f>
        <v>0.17974937183931786</v>
      </c>
      <c r="AG268" s="391">
        <f>AG267-AG269</f>
        <v>-9.5027092722945128E-2</v>
      </c>
      <c r="AH268" s="658">
        <f>AH267-AH269</f>
        <v>-0.15986519500661744</v>
      </c>
      <c r="AI268" s="406">
        <f>AI267-AI269</f>
        <v>-4.2414978983568739E-2</v>
      </c>
      <c r="AJ268" s="357"/>
      <c r="AK268" s="406">
        <f>AK267-AK269</f>
        <v>7.565243761037474E-2</v>
      </c>
      <c r="CR268"/>
      <c r="CX268"/>
      <c r="DD268"/>
    </row>
    <row r="269" spans="1:108" ht="11.25" hidden="1" customHeight="1" outlineLevel="1">
      <c r="A269" s="420" t="s">
        <v>249</v>
      </c>
      <c r="B269" s="366"/>
      <c r="C269" s="550"/>
      <c r="D269" s="366"/>
      <c r="E269" s="550"/>
      <c r="F269" s="366"/>
      <c r="G269" s="550"/>
      <c r="H269" s="366"/>
      <c r="I269" s="550"/>
      <c r="J269" s="366"/>
      <c r="K269" s="550"/>
      <c r="L269" s="366"/>
      <c r="M269" s="407"/>
      <c r="N269" s="366"/>
      <c r="O269" s="407"/>
      <c r="P269" s="366"/>
      <c r="Q269" s="407"/>
      <c r="R269" s="366"/>
      <c r="S269" s="379"/>
      <c r="T269" s="390"/>
      <c r="U269" s="390"/>
      <c r="V269" s="414"/>
      <c r="W269" s="407"/>
      <c r="X269" s="544"/>
      <c r="Y269" s="379"/>
      <c r="Z269" s="392"/>
      <c r="AA269" s="390"/>
      <c r="AB269" s="414"/>
      <c r="AC269" s="407"/>
      <c r="AD269" s="358"/>
      <c r="AE269" s="381">
        <f>10.6/Y266</f>
        <v>9.8469999163933966E-2</v>
      </c>
      <c r="AF269" s="392">
        <f>15.4/Z266</f>
        <v>0.12245157596768549</v>
      </c>
      <c r="AG269" s="392">
        <f>5.3/AA266</f>
        <v>4.4732533211795884E-2</v>
      </c>
      <c r="AH269" s="414">
        <f>((AC266*AI269)-(Y266*AE269)-(Z266*AF269)-(AA266*AG269))/AB266</f>
        <v>-2.6237996116776567E-2</v>
      </c>
      <c r="AI269" s="407">
        <f>26.8/AC266</f>
        <v>5.1203668322506689E-2</v>
      </c>
      <c r="AJ269" s="358"/>
      <c r="AK269" s="407">
        <f>-6/AE266</f>
        <v>-5.3515046647282329E-2</v>
      </c>
      <c r="CR269"/>
      <c r="CX269"/>
      <c r="DD269"/>
    </row>
    <row r="270" spans="1:108" ht="11.25" hidden="1" customHeight="1" outlineLevel="1">
      <c r="A270" s="9"/>
      <c r="B270" s="9"/>
      <c r="C270" s="400"/>
      <c r="D270" s="9"/>
      <c r="E270" s="400"/>
      <c r="F270" s="9"/>
      <c r="G270" s="400"/>
      <c r="H270" s="9"/>
      <c r="I270" s="400"/>
      <c r="J270" s="9"/>
      <c r="K270" s="400"/>
      <c r="L270" s="9"/>
      <c r="M270" s="400"/>
      <c r="N270" s="9"/>
      <c r="O270" s="400"/>
      <c r="P270" s="9"/>
      <c r="Q270" s="400"/>
      <c r="R270" s="9"/>
      <c r="S270" s="9"/>
      <c r="T270" s="9"/>
      <c r="U270" s="9"/>
      <c r="V270" s="9"/>
      <c r="W270" s="400"/>
      <c r="X270" s="366"/>
      <c r="Y270" s="363"/>
      <c r="Z270" s="363"/>
      <c r="AA270" s="363"/>
      <c r="AB270" s="363"/>
      <c r="AD270" s="366"/>
      <c r="AE270" s="624"/>
      <c r="AF270" s="624"/>
      <c r="AG270" s="624"/>
      <c r="AH270" s="624"/>
      <c r="AI270" s="624"/>
      <c r="AJ270" s="366"/>
      <c r="AK270" s="624"/>
      <c r="CR270"/>
      <c r="CX270"/>
      <c r="DD270"/>
    </row>
    <row r="271" spans="1:108" ht="11.25" hidden="1" customHeight="1" outlineLevel="1" thickBot="1">
      <c r="A271" s="73" t="s">
        <v>23</v>
      </c>
      <c r="B271" s="74"/>
      <c r="C271" s="74"/>
      <c r="D271" s="74"/>
      <c r="E271" s="74"/>
      <c r="F271" s="74"/>
      <c r="G271" s="74"/>
      <c r="H271" s="74"/>
      <c r="I271" s="74"/>
      <c r="J271" s="74"/>
      <c r="K271" s="74"/>
      <c r="L271" s="74"/>
      <c r="M271" s="74"/>
      <c r="N271" s="74"/>
      <c r="O271" s="74"/>
      <c r="P271" s="74"/>
      <c r="Q271" s="74"/>
      <c r="R271" s="74"/>
      <c r="S271" s="74"/>
      <c r="T271" s="74"/>
      <c r="U271" s="74"/>
      <c r="V271" s="74"/>
      <c r="W271" s="74"/>
      <c r="X271" s="167"/>
      <c r="Y271" s="639"/>
      <c r="Z271" s="639"/>
      <c r="AA271" s="639"/>
      <c r="AB271" s="639"/>
      <c r="AC271" s="74"/>
      <c r="AD271" s="74"/>
      <c r="AE271" s="639"/>
      <c r="AF271" s="639"/>
      <c r="AG271" s="639"/>
      <c r="AH271" s="639"/>
      <c r="AI271" s="74"/>
      <c r="AJ271" s="74"/>
      <c r="AK271" s="639"/>
      <c r="CR271"/>
      <c r="CX271"/>
      <c r="DD271"/>
    </row>
    <row r="272" spans="1:108" ht="11.25" hidden="1" customHeight="1" outlineLevel="1">
      <c r="A272" s="419" t="s">
        <v>252</v>
      </c>
      <c r="B272" s="360"/>
      <c r="C272" s="404"/>
      <c r="D272" s="360"/>
      <c r="E272" s="404"/>
      <c r="F272" s="360"/>
      <c r="G272" s="404"/>
      <c r="H272" s="360"/>
      <c r="I272" s="404"/>
      <c r="J272" s="360"/>
      <c r="K272" s="404"/>
      <c r="L272" s="360"/>
      <c r="M272" s="404">
        <v>79.751000000000005</v>
      </c>
      <c r="N272" s="360"/>
      <c r="O272" s="404">
        <f>97.059+1.679</f>
        <v>98.738</v>
      </c>
      <c r="P272" s="360"/>
      <c r="Q272" s="404">
        <f>96.457+6.792</f>
        <v>103.249</v>
      </c>
      <c r="R272" s="360"/>
      <c r="S272" s="385">
        <f>24.588+1.857</f>
        <v>26.445</v>
      </c>
      <c r="T272" s="396">
        <f>25.587+1.931</f>
        <v>27.518000000000001</v>
      </c>
      <c r="U272" s="396">
        <f>32.129+3.534</f>
        <v>35.662999999999997</v>
      </c>
      <c r="V272" s="652">
        <f>124.635+7.581-S272-T272-U272</f>
        <v>42.590000000000018</v>
      </c>
      <c r="W272" s="397">
        <f>SUM(S272:V272)</f>
        <v>132.21600000000001</v>
      </c>
      <c r="X272" s="361"/>
      <c r="Y272" s="385">
        <f>34.986+4.556</f>
        <v>39.541999999999994</v>
      </c>
      <c r="Z272" s="396">
        <f>35.467+4.869</f>
        <v>40.335999999999999</v>
      </c>
      <c r="AA272" s="396">
        <f>41.065+4.54</f>
        <v>45.604999999999997</v>
      </c>
      <c r="AB272" s="652">
        <f>162.543+21.788-Y272-Z272-AA272</f>
        <v>58.84800000000002</v>
      </c>
      <c r="AC272" s="397">
        <f>SUM(Y272:AB272)</f>
        <v>184.33099999999999</v>
      </c>
      <c r="AD272" s="356"/>
      <c r="AE272" s="359"/>
      <c r="AF272" s="360"/>
      <c r="AG272" s="360"/>
      <c r="AH272" s="361"/>
      <c r="AI272" s="685"/>
      <c r="AJ272" s="356"/>
      <c r="AK272" s="694"/>
      <c r="CR272"/>
      <c r="CX272"/>
      <c r="DD272"/>
    </row>
    <row r="273" spans="1:108" ht="11.25" hidden="1" customHeight="1" outlineLevel="1">
      <c r="A273" s="369" t="s">
        <v>247</v>
      </c>
      <c r="B273" s="363"/>
      <c r="C273" s="548" t="s">
        <v>270</v>
      </c>
      <c r="D273" s="363"/>
      <c r="E273" s="548" t="s">
        <v>270</v>
      </c>
      <c r="F273" s="363"/>
      <c r="G273" s="548" t="s">
        <v>270</v>
      </c>
      <c r="H273" s="363"/>
      <c r="I273" s="548" t="s">
        <v>270</v>
      </c>
      <c r="J273" s="363"/>
      <c r="K273" s="548" t="s">
        <v>270</v>
      </c>
      <c r="L273" s="363"/>
      <c r="M273" s="548" t="s">
        <v>270</v>
      </c>
      <c r="N273" s="363"/>
      <c r="O273" s="401">
        <f>O272/M272-1</f>
        <v>0.2380785193916064</v>
      </c>
      <c r="P273" s="363"/>
      <c r="Q273" s="401">
        <f>Q272/O272-1</f>
        <v>4.5686564443274014E-2</v>
      </c>
      <c r="R273" s="363"/>
      <c r="S273" s="378"/>
      <c r="T273" s="388"/>
      <c r="U273" s="388"/>
      <c r="V273" s="453"/>
      <c r="W273" s="401">
        <f>W272/Q272-1</f>
        <v>0.28055477534891393</v>
      </c>
      <c r="X273" s="364"/>
      <c r="Y273" s="378">
        <f>Y272/S272-1</f>
        <v>0.49525430138022286</v>
      </c>
      <c r="Z273" s="388">
        <f>Z272/T272-1</f>
        <v>0.46580420088669228</v>
      </c>
      <c r="AA273" s="388">
        <f>AA272/U272-1</f>
        <v>0.27877632279954012</v>
      </c>
      <c r="AB273" s="453">
        <f>AB272/V272-1</f>
        <v>0.38173280112702512</v>
      </c>
      <c r="AC273" s="401">
        <f>AC272/W272-1</f>
        <v>0.39416560779330778</v>
      </c>
      <c r="AD273" s="357"/>
      <c r="AE273" s="362"/>
      <c r="AF273" s="363"/>
      <c r="AG273" s="363"/>
      <c r="AH273" s="364"/>
      <c r="AI273" s="686"/>
      <c r="AJ273" s="357"/>
      <c r="AK273" s="357"/>
      <c r="CR273"/>
      <c r="CX273"/>
      <c r="DD273"/>
    </row>
    <row r="274" spans="1:108" ht="11.25" hidden="1" customHeight="1" outlineLevel="1">
      <c r="A274" s="418" t="s">
        <v>253</v>
      </c>
      <c r="B274" s="363"/>
      <c r="C274" s="405"/>
      <c r="D274" s="363"/>
      <c r="E274" s="405"/>
      <c r="F274" s="363"/>
      <c r="G274" s="405"/>
      <c r="H274" s="363"/>
      <c r="I274" s="405"/>
      <c r="J274" s="363"/>
      <c r="K274" s="405"/>
      <c r="L274" s="363"/>
      <c r="M274" s="405">
        <v>34.179000000000002</v>
      </c>
      <c r="N274" s="363"/>
      <c r="O274" s="405">
        <v>33.884</v>
      </c>
      <c r="P274" s="363"/>
      <c r="Q274" s="405">
        <v>34.107999999999997</v>
      </c>
      <c r="R274" s="363"/>
      <c r="S274" s="386">
        <v>11.412000000000001</v>
      </c>
      <c r="T274" s="399">
        <v>11.595000000000001</v>
      </c>
      <c r="U274" s="399">
        <v>11.352</v>
      </c>
      <c r="V274" s="620">
        <f>47.286-S274-T274-U274</f>
        <v>12.927000000000003</v>
      </c>
      <c r="W274" s="394">
        <f>SUM(S274:V274)</f>
        <v>47.286000000000001</v>
      </c>
      <c r="X274" s="364"/>
      <c r="Y274" s="386">
        <v>12.401</v>
      </c>
      <c r="Z274" s="399">
        <v>12.964</v>
      </c>
      <c r="AA274" s="399">
        <v>14.364000000000001</v>
      </c>
      <c r="AB274" s="620">
        <f>59.656-Y274-Z274-AA274</f>
        <v>19.926999999999996</v>
      </c>
      <c r="AC274" s="394">
        <f>SUM(Y274:AB274)</f>
        <v>59.655999999999992</v>
      </c>
      <c r="AD274" s="357"/>
      <c r="AE274" s="362"/>
      <c r="AF274" s="363"/>
      <c r="AG274" s="363"/>
      <c r="AH274" s="364"/>
      <c r="AI274" s="686"/>
      <c r="AJ274" s="357"/>
      <c r="AK274" s="357"/>
      <c r="CR274"/>
      <c r="CX274"/>
      <c r="DD274"/>
    </row>
    <row r="275" spans="1:108" ht="11.25" hidden="1" customHeight="1" outlineLevel="1">
      <c r="A275" s="369" t="s">
        <v>247</v>
      </c>
      <c r="B275" s="363"/>
      <c r="C275" s="548" t="s">
        <v>270</v>
      </c>
      <c r="D275" s="363"/>
      <c r="E275" s="548" t="s">
        <v>270</v>
      </c>
      <c r="F275" s="363"/>
      <c r="G275" s="548" t="s">
        <v>270</v>
      </c>
      <c r="H275" s="363"/>
      <c r="I275" s="548" t="s">
        <v>270</v>
      </c>
      <c r="J275" s="363"/>
      <c r="K275" s="548" t="s">
        <v>270</v>
      </c>
      <c r="L275" s="363"/>
      <c r="M275" s="548" t="s">
        <v>270</v>
      </c>
      <c r="N275" s="363"/>
      <c r="O275" s="401">
        <f>O274/M274-1</f>
        <v>-8.6310307498757011E-3</v>
      </c>
      <c r="P275" s="363"/>
      <c r="Q275" s="401">
        <f>Q274/O274-1</f>
        <v>6.6107897532758919E-3</v>
      </c>
      <c r="R275" s="363"/>
      <c r="S275" s="378"/>
      <c r="T275" s="388"/>
      <c r="U275" s="388"/>
      <c r="V275" s="453"/>
      <c r="W275" s="401">
        <f>W274/Q274-1</f>
        <v>0.38636097103318878</v>
      </c>
      <c r="X275" s="364"/>
      <c r="Y275" s="378">
        <f>Y274/S274-1</f>
        <v>8.666316158429721E-2</v>
      </c>
      <c r="Z275" s="388">
        <f>Z274/T274-1</f>
        <v>0.11806813281586881</v>
      </c>
      <c r="AA275" s="388">
        <f>AA274/U274-1</f>
        <v>0.26532769556025371</v>
      </c>
      <c r="AB275" s="453">
        <f>AB274/V274-1</f>
        <v>0.5415022820453308</v>
      </c>
      <c r="AC275" s="401">
        <f>AC274/W274-1</f>
        <v>0.26159962779681067</v>
      </c>
      <c r="AD275" s="357"/>
      <c r="AE275" s="362"/>
      <c r="AF275" s="363"/>
      <c r="AG275" s="363"/>
      <c r="AH275" s="364"/>
      <c r="AI275" s="686"/>
      <c r="AJ275" s="357"/>
      <c r="AK275" s="357"/>
      <c r="CR275"/>
      <c r="CX275"/>
      <c r="DD275"/>
    </row>
    <row r="276" spans="1:108" ht="11.25" hidden="1" customHeight="1" outlineLevel="1">
      <c r="A276" s="370" t="s">
        <v>29</v>
      </c>
      <c r="B276" s="363"/>
      <c r="C276" s="1145">
        <v>0</v>
      </c>
      <c r="D276" s="556"/>
      <c r="E276" s="1145">
        <v>0</v>
      </c>
      <c r="F276" s="556"/>
      <c r="G276" s="1145">
        <v>0</v>
      </c>
      <c r="H276" s="556"/>
      <c r="I276" s="1145">
        <v>0</v>
      </c>
      <c r="J276" s="556"/>
      <c r="K276" s="1145">
        <v>104.29</v>
      </c>
      <c r="L276" s="556"/>
      <c r="M276" s="402">
        <f>M272+M274</f>
        <v>113.93</v>
      </c>
      <c r="N276" s="556"/>
      <c r="O276" s="402">
        <f>O272+O274</f>
        <v>132.62200000000001</v>
      </c>
      <c r="P276" s="556"/>
      <c r="Q276" s="402">
        <f>Q272+Q274</f>
        <v>137.357</v>
      </c>
      <c r="R276" s="556"/>
      <c r="S276" s="382">
        <f>S272+S274</f>
        <v>37.856999999999999</v>
      </c>
      <c r="T276" s="389">
        <f>T272+T274</f>
        <v>39.113</v>
      </c>
      <c r="U276" s="389">
        <f>U272+U274</f>
        <v>47.015000000000001</v>
      </c>
      <c r="V276" s="648">
        <f>V272+V274</f>
        <v>55.517000000000024</v>
      </c>
      <c r="W276" s="402">
        <f>W272+W274</f>
        <v>179.50200000000001</v>
      </c>
      <c r="X276" s="557"/>
      <c r="Y276" s="382">
        <f>Y272+Y274</f>
        <v>51.942999999999998</v>
      </c>
      <c r="Z276" s="389">
        <f>Z272+Z274</f>
        <v>53.3</v>
      </c>
      <c r="AA276" s="389">
        <f>AA272+AA274</f>
        <v>59.968999999999994</v>
      </c>
      <c r="AB276" s="648">
        <f>AB272+AB274</f>
        <v>78.77500000000002</v>
      </c>
      <c r="AC276" s="402">
        <f>AC272+AC274</f>
        <v>243.98699999999997</v>
      </c>
      <c r="AD276" s="687"/>
      <c r="AE276" s="368"/>
      <c r="AF276" s="556"/>
      <c r="AG276" s="556"/>
      <c r="AH276" s="557"/>
      <c r="AI276" s="686"/>
      <c r="AJ276" s="687"/>
      <c r="AK276" s="687"/>
      <c r="CR276"/>
      <c r="CX276"/>
      <c r="DD276"/>
    </row>
    <row r="277" spans="1:108" ht="11.25" hidden="1" customHeight="1" outlineLevel="1">
      <c r="A277" s="369" t="s">
        <v>247</v>
      </c>
      <c r="B277" s="363"/>
      <c r="C277" s="548"/>
      <c r="D277" s="363"/>
      <c r="E277" s="548" t="s">
        <v>270</v>
      </c>
      <c r="F277" s="363"/>
      <c r="G277" s="548" t="s">
        <v>270</v>
      </c>
      <c r="H277" s="363"/>
      <c r="I277" s="548" t="s">
        <v>270</v>
      </c>
      <c r="J277" s="363"/>
      <c r="K277" s="548" t="s">
        <v>270</v>
      </c>
      <c r="L277" s="363"/>
      <c r="M277" s="401">
        <f>M276/K276-1</f>
        <v>9.2434557483938917E-2</v>
      </c>
      <c r="N277" s="363"/>
      <c r="O277" s="401">
        <f>O276/M276-1</f>
        <v>0.16406565434916187</v>
      </c>
      <c r="P277" s="363"/>
      <c r="Q277" s="401">
        <f>Q276/O276-1</f>
        <v>3.5702975373618218E-2</v>
      </c>
      <c r="R277" s="363"/>
      <c r="S277" s="653">
        <v>0.16400000000000001</v>
      </c>
      <c r="T277" s="654">
        <v>0.14799999999999999</v>
      </c>
      <c r="U277" s="654">
        <v>0.38500000000000001</v>
      </c>
      <c r="V277" s="655" t="s">
        <v>26</v>
      </c>
      <c r="W277" s="401">
        <f>W276/Q276-1</f>
        <v>0.30682819222900926</v>
      </c>
      <c r="X277" s="364"/>
      <c r="Y277" s="378">
        <f>Y276/S276-1</f>
        <v>0.37208442296008659</v>
      </c>
      <c r="Z277" s="388">
        <f>Z276/T276-1</f>
        <v>0.36271827781044652</v>
      </c>
      <c r="AA277" s="388">
        <f>AA276/U276-1</f>
        <v>0.27552908646176744</v>
      </c>
      <c r="AB277" s="655" t="s">
        <v>26</v>
      </c>
      <c r="AC277" s="401">
        <f>AC276/W276-1</f>
        <v>0.35924390814587004</v>
      </c>
      <c r="AD277" s="357"/>
      <c r="AE277" s="362"/>
      <c r="AF277" s="363"/>
      <c r="AG277" s="363"/>
      <c r="AH277" s="364"/>
      <c r="AI277" s="686"/>
      <c r="AJ277" s="357"/>
      <c r="AK277" s="357"/>
      <c r="CR277"/>
      <c r="CX277"/>
      <c r="DD277"/>
    </row>
    <row r="278" spans="1:108" ht="11.25" hidden="1" customHeight="1" outlineLevel="1">
      <c r="A278" s="369" t="s">
        <v>248</v>
      </c>
      <c r="B278" s="363"/>
      <c r="C278" s="548"/>
      <c r="D278" s="363"/>
      <c r="E278" s="548" t="s">
        <v>26</v>
      </c>
      <c r="F278" s="363"/>
      <c r="G278" s="548" t="s">
        <v>26</v>
      </c>
      <c r="H278" s="363"/>
      <c r="I278" s="548" t="s">
        <v>26</v>
      </c>
      <c r="J278" s="363"/>
      <c r="K278" s="548" t="s">
        <v>26</v>
      </c>
      <c r="L278" s="363"/>
      <c r="M278" s="406">
        <f>M277-M279</f>
        <v>-3.1258989356601874E-2</v>
      </c>
      <c r="N278" s="363"/>
      <c r="O278" s="406">
        <f>O277-O279</f>
        <v>0.10174668656192409</v>
      </c>
      <c r="P278" s="363"/>
      <c r="Q278" s="406">
        <f>Q277-Q279</f>
        <v>3.5702975373618218E-2</v>
      </c>
      <c r="R278" s="363"/>
      <c r="S278" s="656">
        <v>0.23699999999999999</v>
      </c>
      <c r="T278" s="657">
        <v>0.153</v>
      </c>
      <c r="U278" s="657">
        <v>0.36099999999999999</v>
      </c>
      <c r="V278" s="658" t="s">
        <v>26</v>
      </c>
      <c r="W278" s="406">
        <f>W277-W279</f>
        <v>0.30682819222900926</v>
      </c>
      <c r="X278" s="364"/>
      <c r="Y278" s="656">
        <v>0.30599999999999999</v>
      </c>
      <c r="Z278" s="657">
        <v>0.33</v>
      </c>
      <c r="AA278" s="657">
        <v>0.22900000000000001</v>
      </c>
      <c r="AB278" s="658" t="s">
        <v>26</v>
      </c>
      <c r="AC278" s="697">
        <v>0.3</v>
      </c>
      <c r="AD278" s="357"/>
      <c r="AE278" s="362"/>
      <c r="AF278" s="363"/>
      <c r="AG278" s="363"/>
      <c r="AH278" s="364"/>
      <c r="AI278" s="686"/>
      <c r="AJ278" s="357"/>
      <c r="AK278" s="357"/>
      <c r="CR278"/>
      <c r="CX278"/>
      <c r="DD278"/>
    </row>
    <row r="279" spans="1:108" ht="11.25" hidden="1" customHeight="1" outlineLevel="1">
      <c r="A279" s="420" t="s">
        <v>249</v>
      </c>
      <c r="B279" s="366"/>
      <c r="C279" s="550"/>
      <c r="D279" s="366"/>
      <c r="E279" s="550" t="s">
        <v>26</v>
      </c>
      <c r="F279" s="366"/>
      <c r="G279" s="550" t="s">
        <v>26</v>
      </c>
      <c r="H279" s="366"/>
      <c r="I279" s="550" t="s">
        <v>26</v>
      </c>
      <c r="J279" s="366"/>
      <c r="K279" s="550" t="s">
        <v>26</v>
      </c>
      <c r="L279" s="366"/>
      <c r="M279" s="407">
        <f>12.9/K276</f>
        <v>0.12369354684054079</v>
      </c>
      <c r="N279" s="366"/>
      <c r="O279" s="407">
        <f>7.1/M276</f>
        <v>6.2318967787237771E-2</v>
      </c>
      <c r="P279" s="366"/>
      <c r="Q279" s="407">
        <v>0</v>
      </c>
      <c r="R279" s="366"/>
      <c r="S279" s="379">
        <f>S277-S278</f>
        <v>-7.2999999999999982E-2</v>
      </c>
      <c r="T279" s="390">
        <f>T277-T278</f>
        <v>-5.0000000000000044E-3</v>
      </c>
      <c r="U279" s="390">
        <f>U277-U278</f>
        <v>2.4000000000000021E-2</v>
      </c>
      <c r="V279" s="414" t="s">
        <v>26</v>
      </c>
      <c r="W279" s="407">
        <v>0</v>
      </c>
      <c r="X279" s="544"/>
      <c r="Y279" s="379">
        <f>Y277-Y278</f>
        <v>6.6084422960086597E-2</v>
      </c>
      <c r="Z279" s="390">
        <f>Z277-Z278</f>
        <v>3.2718277810446506E-2</v>
      </c>
      <c r="AA279" s="390">
        <f>AA277-AA278</f>
        <v>4.6529086461767427E-2</v>
      </c>
      <c r="AB279" s="414" t="s">
        <v>26</v>
      </c>
      <c r="AC279" s="403">
        <f>AC277-AC278</f>
        <v>5.924390814587005E-2</v>
      </c>
      <c r="AD279" s="358"/>
      <c r="AE279" s="365"/>
      <c r="AF279" s="366"/>
      <c r="AG279" s="366"/>
      <c r="AH279" s="544"/>
      <c r="AI279" s="688"/>
      <c r="AJ279" s="358"/>
      <c r="AK279" s="358"/>
      <c r="CR279"/>
      <c r="CX279"/>
      <c r="DD279"/>
    </row>
    <row r="280" spans="1:108" ht="11.25" hidden="1" customHeight="1" outlineLevel="1">
      <c r="A280" s="421"/>
      <c r="B280" s="363"/>
      <c r="C280" s="363"/>
      <c r="D280" s="363"/>
      <c r="E280" s="363"/>
      <c r="F280" s="363"/>
      <c r="G280" s="363"/>
      <c r="H280" s="363"/>
      <c r="I280" s="363"/>
      <c r="J280" s="363"/>
      <c r="K280" s="363"/>
      <c r="L280" s="363"/>
      <c r="M280" s="363"/>
      <c r="N280" s="363"/>
      <c r="O280" s="363"/>
      <c r="P280" s="363"/>
      <c r="Q280" s="363"/>
      <c r="R280" s="363"/>
      <c r="S280" s="363"/>
      <c r="T280" s="363"/>
      <c r="U280" s="363"/>
      <c r="V280" s="363"/>
      <c r="W280" s="363"/>
      <c r="X280" s="374"/>
      <c r="Y280" s="363"/>
      <c r="Z280" s="363"/>
      <c r="AA280" s="363"/>
      <c r="AB280" s="363"/>
      <c r="AD280" s="374"/>
      <c r="AE280" s="363"/>
      <c r="AF280" s="363"/>
      <c r="AG280" s="363"/>
      <c r="AH280" s="363"/>
      <c r="AJ280" s="374"/>
      <c r="AK280" s="363"/>
      <c r="CR280"/>
      <c r="CX280"/>
      <c r="DD280"/>
    </row>
    <row r="281" spans="1:108" ht="11.25" hidden="1" customHeight="1" outlineLevel="1" thickBot="1">
      <c r="A281" s="73" t="s">
        <v>25</v>
      </c>
      <c r="B281" s="74"/>
      <c r="C281" s="74"/>
      <c r="D281" s="74"/>
      <c r="E281" s="74"/>
      <c r="F281" s="74"/>
      <c r="G281" s="74"/>
      <c r="H281" s="74"/>
      <c r="I281" s="74"/>
      <c r="J281" s="74"/>
      <c r="K281" s="74"/>
      <c r="L281" s="74"/>
      <c r="M281" s="74"/>
      <c r="N281" s="74"/>
      <c r="O281" s="74"/>
      <c r="P281" s="74"/>
      <c r="Q281" s="74"/>
      <c r="R281" s="74"/>
      <c r="S281" s="74"/>
      <c r="T281" s="74"/>
      <c r="U281" s="74"/>
      <c r="V281" s="74"/>
      <c r="W281" s="74"/>
      <c r="X281" s="167"/>
      <c r="Y281" s="639"/>
      <c r="Z281" s="639"/>
      <c r="AA281" s="639"/>
      <c r="AB281" s="639"/>
      <c r="AC281" s="74"/>
      <c r="AD281" s="74"/>
      <c r="AE281" s="639"/>
      <c r="AF281" s="639"/>
      <c r="AG281" s="639"/>
      <c r="AH281" s="639"/>
      <c r="AI281" s="74"/>
      <c r="AJ281" s="74"/>
      <c r="AK281" s="639"/>
      <c r="CR281"/>
      <c r="CX281"/>
      <c r="DD281"/>
    </row>
    <row r="282" spans="1:108" ht="11.25" hidden="1" customHeight="1" outlineLevel="1">
      <c r="A282" s="419" t="s">
        <v>252</v>
      </c>
      <c r="B282" s="360"/>
      <c r="C282" s="404"/>
      <c r="D282" s="360"/>
      <c r="E282" s="404"/>
      <c r="F282" s="360"/>
      <c r="G282" s="404"/>
      <c r="H282" s="360"/>
      <c r="I282" s="404"/>
      <c r="J282" s="360"/>
      <c r="K282" s="404"/>
      <c r="L282" s="360"/>
      <c r="M282" s="404">
        <f>105.008+12.867</f>
        <v>117.875</v>
      </c>
      <c r="N282" s="360"/>
      <c r="O282" s="404">
        <f>107.369+12.839</f>
        <v>120.208</v>
      </c>
      <c r="P282" s="360"/>
      <c r="Q282" s="404">
        <f>111.323+17.37</f>
        <v>128.69299999999998</v>
      </c>
      <c r="R282" s="360"/>
      <c r="S282" s="385">
        <f>28.95+1.371</f>
        <v>30.320999999999998</v>
      </c>
      <c r="T282" s="396">
        <f>30.651+2.045</f>
        <v>32.695999999999998</v>
      </c>
      <c r="U282" s="396">
        <f>26.381+2.175</f>
        <v>28.556000000000001</v>
      </c>
      <c r="V282" s="652">
        <f>120.577+9.426-S282-T282-U282</f>
        <v>38.429999999999993</v>
      </c>
      <c r="W282" s="397">
        <f>SUM(S282:V282)</f>
        <v>130.00299999999999</v>
      </c>
      <c r="X282" s="361"/>
      <c r="Y282" s="385">
        <f>26.893+3.505</f>
        <v>30.398</v>
      </c>
      <c r="Z282" s="396">
        <f>28.38+4.153</f>
        <v>32.533000000000001</v>
      </c>
      <c r="AA282" s="396">
        <f>31.244+5.328</f>
        <v>36.572000000000003</v>
      </c>
      <c r="AB282" s="652">
        <f>129.857+30.672-Y282-Z282-AA282</f>
        <v>61.025999999999996</v>
      </c>
      <c r="AC282" s="397">
        <f>SUM(Y282:AB282)</f>
        <v>160.529</v>
      </c>
      <c r="AD282" s="356"/>
      <c r="AE282" s="359"/>
      <c r="AF282" s="360"/>
      <c r="AG282" s="360"/>
      <c r="AH282" s="361"/>
      <c r="AI282" s="685"/>
      <c r="AJ282" s="356"/>
      <c r="AK282" s="694"/>
      <c r="CR282"/>
      <c r="CX282"/>
      <c r="DD282"/>
    </row>
    <row r="283" spans="1:108" ht="11.25" hidden="1" customHeight="1" outlineLevel="1">
      <c r="A283" s="369" t="s">
        <v>247</v>
      </c>
      <c r="B283" s="363"/>
      <c r="C283" s="548" t="s">
        <v>270</v>
      </c>
      <c r="D283" s="363"/>
      <c r="E283" s="548" t="s">
        <v>270</v>
      </c>
      <c r="F283" s="363"/>
      <c r="G283" s="548" t="s">
        <v>270</v>
      </c>
      <c r="H283" s="363"/>
      <c r="I283" s="548" t="s">
        <v>270</v>
      </c>
      <c r="J283" s="363"/>
      <c r="K283" s="548" t="s">
        <v>270</v>
      </c>
      <c r="L283" s="363"/>
      <c r="M283" s="548" t="s">
        <v>270</v>
      </c>
      <c r="N283" s="363"/>
      <c r="O283" s="401">
        <f>O282/M282-1</f>
        <v>1.9792152704135813E-2</v>
      </c>
      <c r="P283" s="363"/>
      <c r="Q283" s="401">
        <f>Q282/O282-1</f>
        <v>7.0585984293890514E-2</v>
      </c>
      <c r="R283" s="363"/>
      <c r="S283" s="378"/>
      <c r="T283" s="388"/>
      <c r="U283" s="388"/>
      <c r="V283" s="453"/>
      <c r="W283" s="401">
        <f>W282/Q282-1</f>
        <v>1.0179263829423579E-2</v>
      </c>
      <c r="X283" s="364"/>
      <c r="Y283" s="378">
        <f>Y282/S282-1</f>
        <v>2.5394940800105292E-3</v>
      </c>
      <c r="Z283" s="388">
        <f>Z282/T282-1</f>
        <v>-4.9853193051137001E-3</v>
      </c>
      <c r="AA283" s="388">
        <f>AA282/U282-1</f>
        <v>0.28071158425549791</v>
      </c>
      <c r="AB283" s="453">
        <f>AB282/V282-1</f>
        <v>0.5879781420765029</v>
      </c>
      <c r="AC283" s="401">
        <f>AC282/W282-1</f>
        <v>0.23480996592386338</v>
      </c>
      <c r="AD283" s="357"/>
      <c r="AE283" s="362"/>
      <c r="AF283" s="363"/>
      <c r="AG283" s="363"/>
      <c r="AH283" s="364"/>
      <c r="AI283" s="686"/>
      <c r="AJ283" s="357"/>
      <c r="AK283" s="357"/>
      <c r="CR283"/>
      <c r="CX283"/>
      <c r="DD283"/>
    </row>
    <row r="284" spans="1:108" ht="11.25" hidden="1" customHeight="1" outlineLevel="1">
      <c r="A284" s="418" t="s">
        <v>253</v>
      </c>
      <c r="B284" s="363"/>
      <c r="C284" s="405"/>
      <c r="D284" s="363"/>
      <c r="E284" s="405"/>
      <c r="F284" s="363"/>
      <c r="G284" s="405"/>
      <c r="H284" s="363"/>
      <c r="I284" s="405"/>
      <c r="J284" s="363"/>
      <c r="K284" s="405"/>
      <c r="L284" s="363"/>
      <c r="M284" s="405">
        <v>27.603000000000002</v>
      </c>
      <c r="N284" s="363"/>
      <c r="O284" s="405">
        <v>30.195</v>
      </c>
      <c r="P284" s="363"/>
      <c r="Q284" s="405">
        <v>30.594000000000001</v>
      </c>
      <c r="R284" s="363"/>
      <c r="S284" s="386">
        <v>6.5640000000000001</v>
      </c>
      <c r="T284" s="399">
        <v>6.9009999999999998</v>
      </c>
      <c r="U284" s="399">
        <v>7.4870000000000001</v>
      </c>
      <c r="V284" s="620">
        <f>28.556-S284-T284-U284</f>
        <v>7.604000000000001</v>
      </c>
      <c r="W284" s="394">
        <f>SUM(S284:V284)</f>
        <v>28.555999999999997</v>
      </c>
      <c r="X284" s="364"/>
      <c r="Y284" s="386">
        <v>8.5120000000000005</v>
      </c>
      <c r="Z284" s="399">
        <v>8.0169999999999995</v>
      </c>
      <c r="AA284" s="399">
        <v>9.7230000000000008</v>
      </c>
      <c r="AB284" s="620">
        <f>27.423-Y284-Z284-AA284</f>
        <v>1.1709999999999976</v>
      </c>
      <c r="AC284" s="394">
        <f>SUM(Y284:AB284)</f>
        <v>27.423000000000002</v>
      </c>
      <c r="AD284" s="357"/>
      <c r="AE284" s="362"/>
      <c r="AF284" s="363"/>
      <c r="AG284" s="363"/>
      <c r="AH284" s="364"/>
      <c r="AI284" s="686"/>
      <c r="AJ284" s="357"/>
      <c r="AK284" s="357"/>
      <c r="CR284"/>
      <c r="CX284"/>
      <c r="DD284"/>
    </row>
    <row r="285" spans="1:108" ht="11.25" hidden="1" customHeight="1" outlineLevel="1">
      <c r="A285" s="369" t="s">
        <v>247</v>
      </c>
      <c r="B285" s="363"/>
      <c r="C285" s="548" t="s">
        <v>270</v>
      </c>
      <c r="D285" s="363"/>
      <c r="E285" s="548" t="s">
        <v>270</v>
      </c>
      <c r="F285" s="363"/>
      <c r="G285" s="548" t="s">
        <v>270</v>
      </c>
      <c r="H285" s="363"/>
      <c r="I285" s="548" t="s">
        <v>270</v>
      </c>
      <c r="J285" s="363"/>
      <c r="K285" s="548" t="s">
        <v>270</v>
      </c>
      <c r="L285" s="363"/>
      <c r="M285" s="548" t="s">
        <v>270</v>
      </c>
      <c r="N285" s="363"/>
      <c r="O285" s="401">
        <f>O284/M284-1</f>
        <v>9.3902836648190435E-2</v>
      </c>
      <c r="P285" s="363"/>
      <c r="Q285" s="401">
        <f>Q284/O284-1</f>
        <v>1.32141082960755E-2</v>
      </c>
      <c r="R285" s="363"/>
      <c r="S285" s="378"/>
      <c r="T285" s="388"/>
      <c r="U285" s="388"/>
      <c r="V285" s="453"/>
      <c r="W285" s="401">
        <f>W284/Q284-1</f>
        <v>-6.6614368830489767E-2</v>
      </c>
      <c r="X285" s="364"/>
      <c r="Y285" s="378">
        <f>Y284/S284-1</f>
        <v>0.29677026203534429</v>
      </c>
      <c r="Z285" s="388">
        <f>Z284/T284-1</f>
        <v>0.16171569337777125</v>
      </c>
      <c r="AA285" s="388">
        <f>AA284/U284-1</f>
        <v>0.29865099505810089</v>
      </c>
      <c r="AB285" s="453">
        <f>AB284/V284-1</f>
        <v>-0.84600210415570787</v>
      </c>
      <c r="AC285" s="401">
        <f>AC284/W284-1</f>
        <v>-3.9676425269645432E-2</v>
      </c>
      <c r="AD285" s="357"/>
      <c r="AE285" s="362"/>
      <c r="AF285" s="363"/>
      <c r="AG285" s="363"/>
      <c r="AH285" s="364"/>
      <c r="AI285" s="686"/>
      <c r="AJ285" s="357"/>
      <c r="AK285" s="357"/>
      <c r="CR285"/>
      <c r="CX285"/>
      <c r="DD285"/>
    </row>
    <row r="286" spans="1:108" ht="11.25" hidden="1" customHeight="1" outlineLevel="1">
      <c r="A286" s="418" t="s">
        <v>313</v>
      </c>
      <c r="B286" s="363"/>
      <c r="C286" s="405"/>
      <c r="D286" s="363"/>
      <c r="E286" s="405"/>
      <c r="F286" s="363"/>
      <c r="G286" s="405"/>
      <c r="H286" s="363"/>
      <c r="I286" s="405"/>
      <c r="J286" s="363"/>
      <c r="K286" s="405"/>
      <c r="L286" s="363"/>
      <c r="M286" s="405">
        <f>146.749-M282-M284</f>
        <v>1.2709999999999937</v>
      </c>
      <c r="N286" s="363"/>
      <c r="O286" s="405">
        <v>2.1890000000000001</v>
      </c>
      <c r="P286" s="363"/>
      <c r="Q286" s="405">
        <v>2.0680000000000001</v>
      </c>
      <c r="R286" s="363"/>
      <c r="S286" s="386">
        <v>0.64400000000000002</v>
      </c>
      <c r="T286" s="399">
        <v>0.23300000000000001</v>
      </c>
      <c r="U286" s="399">
        <v>0.25800000000000001</v>
      </c>
      <c r="V286" s="620">
        <f>1.185-S286-T286-U286</f>
        <v>5.0000000000000044E-2</v>
      </c>
      <c r="W286" s="394">
        <f>SUM(S286:V286)</f>
        <v>1.1850000000000001</v>
      </c>
      <c r="X286" s="364"/>
      <c r="Y286" s="386">
        <v>0.152</v>
      </c>
      <c r="Z286" s="399">
        <v>7.8E-2</v>
      </c>
      <c r="AA286" s="399">
        <v>0.191</v>
      </c>
      <c r="AB286" s="620">
        <f>0.652-Y286-Z286-AA286</f>
        <v>0.23099999999999998</v>
      </c>
      <c r="AC286" s="394">
        <f>SUM(Y286:AB286)</f>
        <v>0.65199999999999991</v>
      </c>
      <c r="AD286" s="357"/>
      <c r="AE286" s="362"/>
      <c r="AF286" s="363"/>
      <c r="AG286" s="363"/>
      <c r="AH286" s="364"/>
      <c r="AI286" s="686"/>
      <c r="AJ286" s="357"/>
      <c r="AK286" s="357"/>
      <c r="CR286"/>
      <c r="CX286"/>
      <c r="DD286"/>
    </row>
    <row r="287" spans="1:108" ht="11.25" hidden="1" customHeight="1" outlineLevel="1">
      <c r="A287" s="369" t="s">
        <v>247</v>
      </c>
      <c r="B287" s="363"/>
      <c r="C287" s="548" t="s">
        <v>270</v>
      </c>
      <c r="D287" s="363"/>
      <c r="E287" s="548" t="s">
        <v>270</v>
      </c>
      <c r="F287" s="363"/>
      <c r="G287" s="548" t="s">
        <v>270</v>
      </c>
      <c r="H287" s="363"/>
      <c r="I287" s="548" t="s">
        <v>270</v>
      </c>
      <c r="J287" s="363"/>
      <c r="K287" s="548" t="s">
        <v>270</v>
      </c>
      <c r="L287" s="363"/>
      <c r="M287" s="548" t="s">
        <v>270</v>
      </c>
      <c r="N287" s="363"/>
      <c r="O287" s="548">
        <f>IF(ISERROR(O286/M286-1),"NM",O286/M286-1)</f>
        <v>0.72226593233675129</v>
      </c>
      <c r="P287" s="363"/>
      <c r="Q287" s="401">
        <f>Q286/O286-1</f>
        <v>-5.5276381909547756E-2</v>
      </c>
      <c r="R287" s="363"/>
      <c r="S287" s="378"/>
      <c r="T287" s="388"/>
      <c r="U287" s="388"/>
      <c r="V287" s="453"/>
      <c r="W287" s="401">
        <f>W286/Q286-1</f>
        <v>-0.42698259187620891</v>
      </c>
      <c r="X287" s="364"/>
      <c r="Y287" s="378">
        <f>Y286/S286-1</f>
        <v>-0.7639751552795031</v>
      </c>
      <c r="Z287" s="388">
        <f>Z286/T286-1</f>
        <v>-0.66523605150214593</v>
      </c>
      <c r="AA287" s="388">
        <f>AA286/U286-1</f>
        <v>-0.25968992248062017</v>
      </c>
      <c r="AB287" s="453">
        <f>AB286/V286-1</f>
        <v>3.6199999999999957</v>
      </c>
      <c r="AC287" s="401">
        <f>AC286/W286-1</f>
        <v>-0.44978902953586508</v>
      </c>
      <c r="AD287" s="357"/>
      <c r="AE287" s="362"/>
      <c r="AF287" s="363"/>
      <c r="AG287" s="363"/>
      <c r="AH287" s="364"/>
      <c r="AI287" s="686"/>
      <c r="AJ287" s="357"/>
      <c r="AK287" s="357"/>
      <c r="CR287"/>
      <c r="CX287"/>
      <c r="DD287"/>
    </row>
    <row r="288" spans="1:108" ht="11.25" hidden="1" customHeight="1" outlineLevel="1">
      <c r="A288" s="370" t="s">
        <v>29</v>
      </c>
      <c r="B288" s="363"/>
      <c r="C288" s="1145">
        <v>42.207000000000001</v>
      </c>
      <c r="D288" s="556"/>
      <c r="E288" s="1145">
        <v>64.69</v>
      </c>
      <c r="F288" s="556"/>
      <c r="G288" s="1145">
        <v>76.602000000000004</v>
      </c>
      <c r="H288" s="556"/>
      <c r="I288" s="1145">
        <v>92.691000000000003</v>
      </c>
      <c r="J288" s="556"/>
      <c r="K288" s="1145">
        <v>116.36799999999999</v>
      </c>
      <c r="L288" s="556"/>
      <c r="M288" s="402">
        <f>M282+M284+M286</f>
        <v>146.749</v>
      </c>
      <c r="N288" s="556"/>
      <c r="O288" s="402">
        <f>O282+O284+O286</f>
        <v>152.59199999999998</v>
      </c>
      <c r="P288" s="556"/>
      <c r="Q288" s="402">
        <f>Q282+Q284+Q286</f>
        <v>161.35499999999999</v>
      </c>
      <c r="R288" s="556"/>
      <c r="S288" s="382">
        <f>S282+S284+S286</f>
        <v>37.528999999999996</v>
      </c>
      <c r="T288" s="389">
        <f>T282+T284+T286</f>
        <v>39.829999999999991</v>
      </c>
      <c r="U288" s="389">
        <f>U282+U284+U286</f>
        <v>36.301000000000002</v>
      </c>
      <c r="V288" s="648">
        <f>V282+V284+V286</f>
        <v>46.083999999999989</v>
      </c>
      <c r="W288" s="402">
        <f>W282+W284+W286</f>
        <v>159.74399999999997</v>
      </c>
      <c r="X288" s="364"/>
      <c r="Y288" s="382">
        <f>Y282+Y284+Y286</f>
        <v>39.061999999999998</v>
      </c>
      <c r="Z288" s="389">
        <f>Z282+Z284+Z286</f>
        <v>40.628</v>
      </c>
      <c r="AA288" s="389">
        <f>AA282+AA284+AA286</f>
        <v>46.486000000000004</v>
      </c>
      <c r="AB288" s="648">
        <f>AB282+AB284+AB286</f>
        <v>62.427999999999997</v>
      </c>
      <c r="AC288" s="402">
        <f>AC282+AC284+AC286</f>
        <v>188.60399999999998</v>
      </c>
      <c r="AD288" s="357"/>
      <c r="AE288" s="362"/>
      <c r="AF288" s="363"/>
      <c r="AG288" s="363"/>
      <c r="AH288" s="364"/>
      <c r="AI288" s="686"/>
      <c r="AJ288" s="357"/>
      <c r="AK288" s="357"/>
      <c r="CR288"/>
      <c r="CX288"/>
      <c r="DD288"/>
    </row>
    <row r="289" spans="1:113" ht="11.25" hidden="1" customHeight="1" outlineLevel="1">
      <c r="A289" s="369" t="s">
        <v>247</v>
      </c>
      <c r="B289" s="363"/>
      <c r="C289" s="401"/>
      <c r="D289" s="363"/>
      <c r="E289" s="401">
        <f>E288/C288-1</f>
        <v>0.53268415191792817</v>
      </c>
      <c r="F289" s="363"/>
      <c r="G289" s="401">
        <f>G288/E288-1</f>
        <v>0.18413974339155992</v>
      </c>
      <c r="H289" s="363"/>
      <c r="I289" s="401">
        <f>I288/G288-1</f>
        <v>0.21003368058275229</v>
      </c>
      <c r="J289" s="363"/>
      <c r="K289" s="401">
        <f>K288/I288-1</f>
        <v>0.25544011824233204</v>
      </c>
      <c r="L289" s="363"/>
      <c r="M289" s="401">
        <f>M288/K288-1</f>
        <v>0.26107692836518637</v>
      </c>
      <c r="N289" s="363"/>
      <c r="O289" s="401">
        <f>O288/M288-1</f>
        <v>3.9816284949130809E-2</v>
      </c>
      <c r="P289" s="363"/>
      <c r="Q289" s="401">
        <f>Q288/O288-1</f>
        <v>5.7427650204466829E-2</v>
      </c>
      <c r="R289" s="363"/>
      <c r="S289" s="653">
        <v>-0.12</v>
      </c>
      <c r="T289" s="654">
        <v>6.6000000000000003E-2</v>
      </c>
      <c r="U289" s="654">
        <v>-1.7999999999999999E-2</v>
      </c>
      <c r="V289" s="655" t="s">
        <v>26</v>
      </c>
      <c r="W289" s="401">
        <f>W288/Q288-1</f>
        <v>-9.9841963372688802E-3</v>
      </c>
      <c r="X289" s="364"/>
      <c r="Y289" s="378">
        <f>Y288/S288-1</f>
        <v>4.0848410562498438E-2</v>
      </c>
      <c r="Z289" s="388">
        <f>Z288/T288-1</f>
        <v>2.0035149384886042E-2</v>
      </c>
      <c r="AA289" s="388">
        <f>AA288/U288-1</f>
        <v>0.2805707831740174</v>
      </c>
      <c r="AB289" s="453">
        <f>AB288/V288-1</f>
        <v>0.35465671382692499</v>
      </c>
      <c r="AC289" s="401">
        <f>AC288/W288-1</f>
        <v>0.18066406250000022</v>
      </c>
      <c r="AD289" s="357"/>
      <c r="AE289" s="362"/>
      <c r="AF289" s="363"/>
      <c r="AG289" s="363"/>
      <c r="AH289" s="364"/>
      <c r="AI289" s="686"/>
      <c r="AJ289" s="357"/>
      <c r="AK289" s="357"/>
      <c r="CR289"/>
      <c r="CX289"/>
      <c r="DD289"/>
    </row>
    <row r="290" spans="1:113" ht="11.25" hidden="1" customHeight="1" outlineLevel="1">
      <c r="A290" s="369" t="s">
        <v>248</v>
      </c>
      <c r="B290" s="363"/>
      <c r="C290" s="406"/>
      <c r="D290" s="363"/>
      <c r="E290" s="552" t="s">
        <v>26</v>
      </c>
      <c r="F290" s="363"/>
      <c r="G290" s="552" t="s">
        <v>26</v>
      </c>
      <c r="H290" s="363"/>
      <c r="I290" s="552" t="s">
        <v>26</v>
      </c>
      <c r="J290" s="363"/>
      <c r="K290" s="552" t="s">
        <v>26</v>
      </c>
      <c r="L290" s="363"/>
      <c r="M290" s="406">
        <f>M289-M291</f>
        <v>0.10897325725285309</v>
      </c>
      <c r="N290" s="363"/>
      <c r="O290" s="406">
        <f>O289-O291</f>
        <v>-3.0371586859194985E-2</v>
      </c>
      <c r="P290" s="363"/>
      <c r="Q290" s="406">
        <f>Q289-Q291</f>
        <v>5.7427650204466829E-2</v>
      </c>
      <c r="R290" s="363"/>
      <c r="S290" s="656">
        <v>-0.05</v>
      </c>
      <c r="T290" s="657">
        <v>7.0999999999999994E-2</v>
      </c>
      <c r="U290" s="657">
        <v>-4.1000000000000002E-2</v>
      </c>
      <c r="V290" s="658" t="s">
        <v>26</v>
      </c>
      <c r="W290" s="406">
        <f>W289-W291</f>
        <v>-9.9841963372688802E-3</v>
      </c>
      <c r="X290" s="364"/>
      <c r="Y290" s="656">
        <v>-1.4999999999999999E-2</v>
      </c>
      <c r="Z290" s="657">
        <v>-2.4E-2</v>
      </c>
      <c r="AA290" s="657">
        <v>0.219</v>
      </c>
      <c r="AB290" s="658" t="s">
        <v>26</v>
      </c>
      <c r="AC290" s="697">
        <v>0.107</v>
      </c>
      <c r="AD290" s="357"/>
      <c r="AE290" s="362"/>
      <c r="AF290" s="363"/>
      <c r="AG290" s="363"/>
      <c r="AH290" s="364"/>
      <c r="AI290" s="686"/>
      <c r="AJ290" s="357"/>
      <c r="AK290" s="357"/>
      <c r="CR290"/>
      <c r="CX290"/>
      <c r="DD290"/>
    </row>
    <row r="291" spans="1:113" ht="11.25" hidden="1" customHeight="1" outlineLevel="1">
      <c r="A291" s="420" t="s">
        <v>249</v>
      </c>
      <c r="B291" s="366"/>
      <c r="C291" s="407"/>
      <c r="D291" s="366"/>
      <c r="E291" s="553" t="s">
        <v>26</v>
      </c>
      <c r="F291" s="366"/>
      <c r="G291" s="553" t="s">
        <v>26</v>
      </c>
      <c r="H291" s="366"/>
      <c r="I291" s="553" t="s">
        <v>26</v>
      </c>
      <c r="J291" s="366"/>
      <c r="K291" s="553" t="s">
        <v>26</v>
      </c>
      <c r="L291" s="366"/>
      <c r="M291" s="407">
        <f>17.7/K288</f>
        <v>0.15210367111233328</v>
      </c>
      <c r="N291" s="366"/>
      <c r="O291" s="407">
        <f>10.3/M288</f>
        <v>7.0187871808325794E-2</v>
      </c>
      <c r="P291" s="366"/>
      <c r="Q291" s="407">
        <v>0</v>
      </c>
      <c r="R291" s="366"/>
      <c r="S291" s="379">
        <f>S289-S290</f>
        <v>-6.9999999999999993E-2</v>
      </c>
      <c r="T291" s="390">
        <f>T289-T290</f>
        <v>-4.9999999999999906E-3</v>
      </c>
      <c r="U291" s="390">
        <f>U289-U290</f>
        <v>2.3000000000000003E-2</v>
      </c>
      <c r="V291" s="414" t="s">
        <v>26</v>
      </c>
      <c r="W291" s="407">
        <v>0</v>
      </c>
      <c r="X291" s="544"/>
      <c r="Y291" s="379">
        <f>Y289-Y290</f>
        <v>5.5848410562498438E-2</v>
      </c>
      <c r="Z291" s="390">
        <f>Z289-Z290</f>
        <v>4.4035149384886042E-2</v>
      </c>
      <c r="AA291" s="390">
        <f>AA289-AA290</f>
        <v>6.1570783174017402E-2</v>
      </c>
      <c r="AB291" s="414" t="s">
        <v>26</v>
      </c>
      <c r="AC291" s="403">
        <f>AC289-AC290</f>
        <v>7.3664062500000224E-2</v>
      </c>
      <c r="AD291" s="358"/>
      <c r="AE291" s="365"/>
      <c r="AF291" s="366"/>
      <c r="AG291" s="366"/>
      <c r="AH291" s="544"/>
      <c r="AI291" s="688"/>
      <c r="AJ291" s="358"/>
      <c r="AK291" s="358"/>
      <c r="CR291"/>
      <c r="CX291"/>
      <c r="DD291"/>
    </row>
    <row r="292" spans="1:113" ht="11.25" hidden="1" customHeight="1" outlineLevel="1">
      <c r="A292" s="421"/>
      <c r="B292" s="363"/>
      <c r="C292" s="363"/>
      <c r="D292" s="363"/>
      <c r="E292" s="363"/>
      <c r="F292" s="363"/>
      <c r="G292" s="363"/>
      <c r="H292" s="363"/>
      <c r="I292" s="363"/>
      <c r="J292" s="363"/>
      <c r="K292" s="363"/>
      <c r="L292" s="363"/>
      <c r="M292" s="363"/>
      <c r="N292" s="363"/>
      <c r="O292" s="363"/>
      <c r="P292" s="363"/>
      <c r="Q292" s="363"/>
      <c r="R292" s="363"/>
      <c r="S292" s="363"/>
      <c r="T292" s="363"/>
      <c r="U292" s="363"/>
      <c r="V292" s="363"/>
      <c r="W292" s="363"/>
      <c r="X292" s="374"/>
      <c r="Y292" s="363"/>
      <c r="Z292" s="363"/>
      <c r="AA292" s="363"/>
      <c r="AB292" s="363"/>
      <c r="AD292" s="374"/>
      <c r="AE292" s="363"/>
      <c r="AF292" s="363"/>
      <c r="AG292" s="363"/>
      <c r="AH292" s="363"/>
      <c r="AJ292" s="374"/>
      <c r="AK292" s="363"/>
      <c r="CR292"/>
      <c r="CX292"/>
      <c r="DD292"/>
    </row>
    <row r="293" spans="1:113" ht="11.25" hidden="1" customHeight="1" outlineLevel="1" thickBot="1">
      <c r="A293" s="73" t="s">
        <v>24</v>
      </c>
      <c r="B293" s="74"/>
      <c r="C293" s="74"/>
      <c r="D293" s="74"/>
      <c r="E293" s="74"/>
      <c r="F293" s="74"/>
      <c r="G293" s="74"/>
      <c r="H293" s="74"/>
      <c r="I293" s="74"/>
      <c r="J293" s="74"/>
      <c r="K293" s="74"/>
      <c r="L293" s="74"/>
      <c r="M293" s="74"/>
      <c r="N293" s="74"/>
      <c r="O293" s="74"/>
      <c r="P293" s="74"/>
      <c r="Q293" s="74"/>
      <c r="R293" s="74"/>
      <c r="S293" s="74"/>
      <c r="T293" s="74"/>
      <c r="U293" s="74"/>
      <c r="V293" s="74"/>
      <c r="W293" s="74"/>
      <c r="X293" s="167"/>
      <c r="Y293" s="639"/>
      <c r="Z293" s="639"/>
      <c r="AA293" s="639"/>
      <c r="AB293" s="639"/>
      <c r="AC293" s="689"/>
      <c r="AD293" s="74"/>
      <c r="AE293" s="639"/>
      <c r="AF293" s="639"/>
      <c r="AG293" s="639"/>
      <c r="AH293" s="639"/>
      <c r="AI293" s="689"/>
      <c r="AJ293" s="74"/>
      <c r="AK293" s="639"/>
      <c r="CR293"/>
      <c r="CX293"/>
      <c r="DD293"/>
    </row>
    <row r="294" spans="1:113" ht="11.25" hidden="1" customHeight="1" outlineLevel="1">
      <c r="A294" s="419" t="s">
        <v>252</v>
      </c>
      <c r="B294" s="360"/>
      <c r="C294" s="548"/>
      <c r="D294" s="363"/>
      <c r="E294" s="548"/>
      <c r="F294" s="363"/>
      <c r="G294" s="548"/>
      <c r="H294" s="363"/>
      <c r="I294" s="548"/>
      <c r="J294" s="363"/>
      <c r="K294" s="548"/>
      <c r="L294" s="363"/>
      <c r="M294" s="548"/>
      <c r="N294" s="360"/>
      <c r="O294" s="548"/>
      <c r="P294" s="360"/>
      <c r="Q294" s="404">
        <f>57.023+8.56</f>
        <v>65.582999999999998</v>
      </c>
      <c r="R294" s="360"/>
      <c r="S294" s="385">
        <f>15.389+2.543</f>
        <v>17.931999999999999</v>
      </c>
      <c r="T294" s="396">
        <f>18.312+1.4</f>
        <v>19.712</v>
      </c>
      <c r="U294" s="396">
        <f>18.694+1.524</f>
        <v>20.218</v>
      </c>
      <c r="V294" s="652">
        <f>80.985+7.979-S294-T294-U294</f>
        <v>31.101999999999993</v>
      </c>
      <c r="W294" s="397">
        <f>SUM(S294:V294)</f>
        <v>88.963999999999984</v>
      </c>
      <c r="X294" s="361"/>
      <c r="Y294" s="385">
        <f>15.434+1.67</f>
        <v>17.103999999999999</v>
      </c>
      <c r="Z294" s="396">
        <f>23.905+2.054</f>
        <v>25.959</v>
      </c>
      <c r="AA294" s="396">
        <f>22.047+1.723</f>
        <v>23.77</v>
      </c>
      <c r="AB294" s="652">
        <f>93.228+8.815-Y294-Z294-AA1701-AA294</f>
        <v>35.209999999999994</v>
      </c>
      <c r="AC294" s="397">
        <f>SUM(Y294:AB294)</f>
        <v>102.04299999999999</v>
      </c>
      <c r="AD294" s="356"/>
      <c r="AE294" s="359"/>
      <c r="AF294" s="360"/>
      <c r="AG294" s="360"/>
      <c r="AH294" s="360"/>
      <c r="AI294" s="685"/>
      <c r="AJ294" s="356"/>
      <c r="AK294" s="694"/>
      <c r="CR294"/>
      <c r="CX294"/>
      <c r="DD294"/>
    </row>
    <row r="295" spans="1:113" ht="11.25" hidden="1" customHeight="1" outlineLevel="1">
      <c r="A295" s="369" t="s">
        <v>247</v>
      </c>
      <c r="B295" s="363"/>
      <c r="C295" s="548" t="s">
        <v>270</v>
      </c>
      <c r="D295" s="363"/>
      <c r="E295" s="548" t="s">
        <v>270</v>
      </c>
      <c r="F295" s="363"/>
      <c r="G295" s="548" t="s">
        <v>270</v>
      </c>
      <c r="H295" s="363"/>
      <c r="I295" s="548" t="s">
        <v>270</v>
      </c>
      <c r="J295" s="363"/>
      <c r="K295" s="548" t="s">
        <v>270</v>
      </c>
      <c r="L295" s="363"/>
      <c r="M295" s="548" t="s">
        <v>270</v>
      </c>
      <c r="N295" s="363"/>
      <c r="O295" s="548" t="s">
        <v>270</v>
      </c>
      <c r="P295" s="363"/>
      <c r="Q295" s="548" t="str">
        <f>IF(ISERROR(Q294/O294-1),"NM",Q294/O294-1)</f>
        <v>NM</v>
      </c>
      <c r="R295" s="363"/>
      <c r="S295" s="378"/>
      <c r="T295" s="388"/>
      <c r="U295" s="388"/>
      <c r="V295" s="453"/>
      <c r="W295" s="401">
        <f>W294/Q294-1</f>
        <v>0.35651007120747735</v>
      </c>
      <c r="X295" s="364"/>
      <c r="Y295" s="378">
        <f>Y294/S294-1</f>
        <v>-4.6174436761097448E-2</v>
      </c>
      <c r="Z295" s="388">
        <f>Z294/T294-1</f>
        <v>0.31691355519480524</v>
      </c>
      <c r="AA295" s="388">
        <f>AA294/U294-1</f>
        <v>0.17568503313878714</v>
      </c>
      <c r="AB295" s="453">
        <f>AB294/V294-1</f>
        <v>0.13208153816474821</v>
      </c>
      <c r="AC295" s="401">
        <f>AC294/W294-1</f>
        <v>0.14701452272829463</v>
      </c>
      <c r="AD295" s="357"/>
      <c r="AE295" s="362"/>
      <c r="AF295" s="363"/>
      <c r="AG295" s="363"/>
      <c r="AH295" s="363"/>
      <c r="AI295" s="686"/>
      <c r="AJ295" s="357"/>
      <c r="AK295" s="357"/>
      <c r="CR295"/>
      <c r="CX295"/>
      <c r="DD295"/>
    </row>
    <row r="296" spans="1:113" ht="11.25" hidden="1" customHeight="1" outlineLevel="1">
      <c r="A296" s="418" t="s">
        <v>253</v>
      </c>
      <c r="B296" s="363"/>
      <c r="C296" s="548"/>
      <c r="D296" s="363"/>
      <c r="E296" s="548"/>
      <c r="F296" s="363"/>
      <c r="G296" s="548"/>
      <c r="H296" s="363"/>
      <c r="I296" s="548"/>
      <c r="J296" s="363"/>
      <c r="K296" s="548"/>
      <c r="L296" s="363"/>
      <c r="M296" s="548"/>
      <c r="N296" s="363"/>
      <c r="O296" s="548"/>
      <c r="P296" s="363"/>
      <c r="Q296" s="405">
        <v>13.118</v>
      </c>
      <c r="R296" s="363"/>
      <c r="S296" s="386">
        <v>3.3660000000000001</v>
      </c>
      <c r="T296" s="399">
        <v>3.8460000000000001</v>
      </c>
      <c r="U296" s="399">
        <v>4.2990000000000004</v>
      </c>
      <c r="V296" s="620">
        <f>16.566-S296-T296-U296</f>
        <v>5.0549999999999988</v>
      </c>
      <c r="W296" s="394">
        <f>SUM(S296:V296)</f>
        <v>16.565999999999999</v>
      </c>
      <c r="X296" s="364"/>
      <c r="Y296" s="386">
        <v>4.6440000000000001</v>
      </c>
      <c r="Z296" s="399">
        <v>4.3159999999999998</v>
      </c>
      <c r="AA296" s="399">
        <v>4.9119999999999999</v>
      </c>
      <c r="AB296" s="620">
        <f>20.45-Y296-Z296-AA296</f>
        <v>6.5779999999999985</v>
      </c>
      <c r="AC296" s="394">
        <f>SUM(Y296:AB296)</f>
        <v>20.45</v>
      </c>
      <c r="AD296" s="357"/>
      <c r="AE296" s="362"/>
      <c r="AF296" s="363"/>
      <c r="AG296" s="363"/>
      <c r="AH296" s="363"/>
      <c r="AI296" s="686"/>
      <c r="AJ296" s="357"/>
      <c r="AK296" s="357"/>
      <c r="CR296"/>
      <c r="CX296"/>
      <c r="DD296"/>
    </row>
    <row r="297" spans="1:113" ht="11.25" hidden="1" customHeight="1" outlineLevel="1">
      <c r="A297" s="369" t="s">
        <v>247</v>
      </c>
      <c r="B297" s="363"/>
      <c r="C297" s="548" t="s">
        <v>270</v>
      </c>
      <c r="D297" s="363"/>
      <c r="E297" s="548" t="s">
        <v>270</v>
      </c>
      <c r="F297" s="363"/>
      <c r="G297" s="548" t="s">
        <v>270</v>
      </c>
      <c r="H297" s="363"/>
      <c r="I297" s="548" t="s">
        <v>270</v>
      </c>
      <c r="J297" s="363"/>
      <c r="K297" s="548" t="s">
        <v>270</v>
      </c>
      <c r="L297" s="363"/>
      <c r="M297" s="548" t="s">
        <v>270</v>
      </c>
      <c r="N297" s="363"/>
      <c r="O297" s="548" t="s">
        <v>270</v>
      </c>
      <c r="P297" s="363"/>
      <c r="Q297" s="548" t="str">
        <f>IF(ISERROR(Q296/O296-1),"NM",Q296/O296-1)</f>
        <v>NM</v>
      </c>
      <c r="R297" s="363"/>
      <c r="S297" s="378"/>
      <c r="T297" s="388"/>
      <c r="U297" s="388"/>
      <c r="V297" s="453"/>
      <c r="W297" s="401">
        <f>W296/Q296-1</f>
        <v>0.26284494587589569</v>
      </c>
      <c r="X297" s="364"/>
      <c r="Y297" s="378">
        <f>Y296/S296-1</f>
        <v>0.3796791443850267</v>
      </c>
      <c r="Z297" s="388">
        <f>Z296/T296-1</f>
        <v>0.12220488819552777</v>
      </c>
      <c r="AA297" s="388">
        <f>AA296/U296-1</f>
        <v>0.14259130030239575</v>
      </c>
      <c r="AB297" s="453">
        <f>AB296/V296-1</f>
        <v>0.30128585558852627</v>
      </c>
      <c r="AC297" s="401">
        <f>AC296/W296-1</f>
        <v>0.2344561149342026</v>
      </c>
      <c r="AD297" s="357"/>
      <c r="AE297" s="362"/>
      <c r="AF297" s="363"/>
      <c r="AG297" s="363"/>
      <c r="AH297" s="363"/>
      <c r="AI297" s="686"/>
      <c r="AJ297" s="357"/>
      <c r="AK297" s="357"/>
      <c r="CR297"/>
      <c r="CX297"/>
      <c r="DD297"/>
    </row>
    <row r="298" spans="1:113" ht="11.25" hidden="1" customHeight="1" outlineLevel="1">
      <c r="A298" s="370" t="s">
        <v>29</v>
      </c>
      <c r="B298" s="363"/>
      <c r="C298" s="1145">
        <v>0</v>
      </c>
      <c r="D298" s="556"/>
      <c r="E298" s="1145">
        <v>0</v>
      </c>
      <c r="F298" s="556"/>
      <c r="G298" s="1145">
        <v>0</v>
      </c>
      <c r="H298" s="556"/>
      <c r="I298" s="1145">
        <v>0</v>
      </c>
      <c r="J298" s="556"/>
      <c r="K298" s="1145">
        <v>0</v>
      </c>
      <c r="L298" s="556"/>
      <c r="M298" s="1145">
        <v>0</v>
      </c>
      <c r="N298" s="556"/>
      <c r="O298" s="1145">
        <v>0</v>
      </c>
      <c r="P298" s="556"/>
      <c r="Q298" s="402">
        <f>Q294+Q296</f>
        <v>78.700999999999993</v>
      </c>
      <c r="R298" s="556"/>
      <c r="S298" s="382">
        <f>S294+S296</f>
        <v>21.297999999999998</v>
      </c>
      <c r="T298" s="389">
        <f>T294+T296</f>
        <v>23.558</v>
      </c>
      <c r="U298" s="389">
        <f>U294+U296</f>
        <v>24.516999999999999</v>
      </c>
      <c r="V298" s="648">
        <f>V294+V296</f>
        <v>36.156999999999989</v>
      </c>
      <c r="W298" s="402">
        <f>W294+W296</f>
        <v>105.52999999999999</v>
      </c>
      <c r="X298" s="364"/>
      <c r="Y298" s="382">
        <f>Y294+Y296</f>
        <v>21.747999999999998</v>
      </c>
      <c r="Z298" s="389">
        <f>Z294+Z296</f>
        <v>30.274999999999999</v>
      </c>
      <c r="AA298" s="389">
        <f>AA294+AA296</f>
        <v>28.681999999999999</v>
      </c>
      <c r="AB298" s="648">
        <f>AB294+AB296</f>
        <v>41.78799999999999</v>
      </c>
      <c r="AC298" s="402">
        <f>AC294+AC296</f>
        <v>122.49299999999999</v>
      </c>
      <c r="AD298" s="357"/>
      <c r="AE298" s="362"/>
      <c r="AF298" s="363"/>
      <c r="AG298" s="363"/>
      <c r="AH298" s="363"/>
      <c r="AI298" s="686"/>
      <c r="AJ298" s="357"/>
      <c r="AK298" s="357"/>
      <c r="CR298"/>
      <c r="CX298"/>
      <c r="DD298"/>
    </row>
    <row r="299" spans="1:113" ht="11.25" hidden="1" customHeight="1" outlineLevel="1">
      <c r="A299" s="369" t="s">
        <v>247</v>
      </c>
      <c r="B299" s="363"/>
      <c r="C299" s="548" t="s">
        <v>270</v>
      </c>
      <c r="D299" s="363"/>
      <c r="E299" s="548" t="s">
        <v>270</v>
      </c>
      <c r="F299" s="363"/>
      <c r="G299" s="548" t="s">
        <v>270</v>
      </c>
      <c r="H299" s="363"/>
      <c r="I299" s="548" t="s">
        <v>270</v>
      </c>
      <c r="J299" s="363"/>
      <c r="K299" s="548" t="s">
        <v>270</v>
      </c>
      <c r="L299" s="363"/>
      <c r="M299" s="548" t="s">
        <v>270</v>
      </c>
      <c r="N299" s="363"/>
      <c r="O299" s="548" t="s">
        <v>270</v>
      </c>
      <c r="P299" s="363"/>
      <c r="Q299" s="548" t="str">
        <f>IF(ISERROR(Q298/O298-1),"NM",Q298/O298-1)</f>
        <v>NM</v>
      </c>
      <c r="R299" s="363"/>
      <c r="S299" s="410" t="s">
        <v>26</v>
      </c>
      <c r="T299" s="411" t="s">
        <v>26</v>
      </c>
      <c r="U299" s="654">
        <v>0.52400000000000002</v>
      </c>
      <c r="V299" s="655" t="s">
        <v>26</v>
      </c>
      <c r="W299" s="401">
        <f>W298/Q298-1</f>
        <v>0.34089782849010808</v>
      </c>
      <c r="X299" s="364"/>
      <c r="Y299" s="378">
        <f>Y298/S298-1</f>
        <v>2.112874448304991E-2</v>
      </c>
      <c r="Z299" s="388">
        <f>Z298/T298-1</f>
        <v>0.28512607182273531</v>
      </c>
      <c r="AA299" s="388">
        <f>AA298/U298-1</f>
        <v>0.16988212260880209</v>
      </c>
      <c r="AB299" s="453">
        <f>AB298/V298-1</f>
        <v>0.15573747821998518</v>
      </c>
      <c r="AC299" s="401">
        <f>AC298/W298-1</f>
        <v>0.16074102151047098</v>
      </c>
      <c r="AD299" s="357"/>
      <c r="AE299" s="362"/>
      <c r="AF299" s="363"/>
      <c r="AG299" s="363"/>
      <c r="AH299" s="363"/>
      <c r="AI299" s="686"/>
      <c r="AJ299" s="357"/>
      <c r="AK299" s="357"/>
      <c r="CR299"/>
      <c r="CX299"/>
      <c r="DD299"/>
    </row>
    <row r="300" spans="1:113" ht="11.25" hidden="1" customHeight="1" outlineLevel="1">
      <c r="A300" s="369" t="s">
        <v>248</v>
      </c>
      <c r="B300" s="363"/>
      <c r="C300" s="406"/>
      <c r="D300" s="363"/>
      <c r="E300" s="552" t="s">
        <v>26</v>
      </c>
      <c r="F300" s="363"/>
      <c r="G300" s="552" t="s">
        <v>26</v>
      </c>
      <c r="H300" s="363"/>
      <c r="I300" s="552" t="s">
        <v>26</v>
      </c>
      <c r="J300" s="363"/>
      <c r="K300" s="552" t="s">
        <v>26</v>
      </c>
      <c r="L300" s="363"/>
      <c r="M300" s="552" t="s">
        <v>26</v>
      </c>
      <c r="N300" s="363"/>
      <c r="O300" s="552" t="s">
        <v>26</v>
      </c>
      <c r="P300" s="363"/>
      <c r="Q300" s="549" t="s">
        <v>270</v>
      </c>
      <c r="R300" s="363"/>
      <c r="S300" s="659" t="s">
        <v>26</v>
      </c>
      <c r="T300" s="660" t="s">
        <v>26</v>
      </c>
      <c r="U300" s="657">
        <v>0.47</v>
      </c>
      <c r="V300" s="658" t="s">
        <v>26</v>
      </c>
      <c r="W300" s="406">
        <f>W299-W301</f>
        <v>0.32056771832632364</v>
      </c>
      <c r="X300" s="364"/>
      <c r="Y300" s="703">
        <v>-2.7E-2</v>
      </c>
      <c r="Z300" s="704">
        <v>0.24099999999999999</v>
      </c>
      <c r="AA300" s="657">
        <v>0.11899999999999999</v>
      </c>
      <c r="AB300" s="658" t="s">
        <v>26</v>
      </c>
      <c r="AC300" s="697">
        <v>0.107</v>
      </c>
      <c r="AD300" s="357"/>
      <c r="AE300" s="362"/>
      <c r="AF300" s="363"/>
      <c r="AG300" s="363"/>
      <c r="AH300" s="363"/>
      <c r="AI300" s="686"/>
      <c r="AJ300" s="357"/>
      <c r="AK300" s="357"/>
      <c r="CR300"/>
      <c r="CX300"/>
      <c r="DD300"/>
    </row>
    <row r="301" spans="1:113" ht="11.25" hidden="1" customHeight="1" outlineLevel="1">
      <c r="A301" s="417" t="s">
        <v>249</v>
      </c>
      <c r="B301" s="363"/>
      <c r="C301" s="575"/>
      <c r="D301" s="363"/>
      <c r="E301" s="552" t="s">
        <v>26</v>
      </c>
      <c r="F301" s="363"/>
      <c r="G301" s="552" t="s">
        <v>26</v>
      </c>
      <c r="H301" s="363"/>
      <c r="I301" s="552" t="s">
        <v>26</v>
      </c>
      <c r="J301" s="363"/>
      <c r="K301" s="552" t="s">
        <v>26</v>
      </c>
      <c r="L301" s="363"/>
      <c r="M301" s="552" t="s">
        <v>26</v>
      </c>
      <c r="N301" s="363"/>
      <c r="O301" s="552" t="s">
        <v>26</v>
      </c>
      <c r="P301" s="363"/>
      <c r="Q301" s="548" t="s">
        <v>270</v>
      </c>
      <c r="R301" s="363"/>
      <c r="S301" s="410" t="s">
        <v>26</v>
      </c>
      <c r="T301" s="411" t="s">
        <v>26</v>
      </c>
      <c r="U301" s="388">
        <f>U299-U300</f>
        <v>5.4000000000000048E-2</v>
      </c>
      <c r="V301" s="655" t="s">
        <v>26</v>
      </c>
      <c r="W301" s="575">
        <f>1.6/Q298</f>
        <v>2.0330110163784453E-2</v>
      </c>
      <c r="X301" s="364"/>
      <c r="Y301" s="410">
        <f>Y299-Y300</f>
        <v>4.8128744483049907E-2</v>
      </c>
      <c r="Z301" s="411">
        <f>Z299-Z300</f>
        <v>4.4126071822735313E-2</v>
      </c>
      <c r="AA301" s="388">
        <f>AA299-AA300</f>
        <v>5.0882122608802094E-2</v>
      </c>
      <c r="AB301" s="655" t="s">
        <v>26</v>
      </c>
      <c r="AC301" s="401">
        <f>AC299-AC300</f>
        <v>5.3741021510470985E-2</v>
      </c>
      <c r="AD301" s="357"/>
      <c r="AE301" s="362"/>
      <c r="AF301" s="363"/>
      <c r="AG301" s="363"/>
      <c r="AH301" s="363"/>
      <c r="AI301" s="686"/>
      <c r="AJ301" s="357"/>
      <c r="AK301" s="357"/>
      <c r="CR301"/>
      <c r="CX301"/>
      <c r="DD301"/>
    </row>
    <row r="302" spans="1:113" s="481" customFormat="1" ht="11.25" hidden="1" customHeight="1" outlineLevel="1">
      <c r="A302" s="417"/>
      <c r="B302" s="363"/>
      <c r="C302" s="407"/>
      <c r="D302" s="363"/>
      <c r="E302" s="553"/>
      <c r="F302" s="363"/>
      <c r="G302" s="553"/>
      <c r="H302" s="363"/>
      <c r="I302" s="553"/>
      <c r="J302" s="363"/>
      <c r="K302" s="553"/>
      <c r="L302" s="363"/>
      <c r="M302" s="553"/>
      <c r="N302" s="363"/>
      <c r="O302" s="553"/>
      <c r="P302" s="363"/>
      <c r="Q302" s="550"/>
      <c r="R302" s="363"/>
      <c r="S302" s="412"/>
      <c r="T302" s="413"/>
      <c r="U302" s="390"/>
      <c r="V302" s="414"/>
      <c r="W302" s="407"/>
      <c r="X302" s="364"/>
      <c r="Y302" s="412"/>
      <c r="Z302" s="413"/>
      <c r="AA302" s="390"/>
      <c r="AB302" s="414"/>
      <c r="AC302" s="407"/>
      <c r="AD302" s="357"/>
      <c r="AE302" s="362"/>
      <c r="AF302" s="363"/>
      <c r="AG302" s="363"/>
      <c r="AH302" s="363"/>
      <c r="AI302" s="686"/>
      <c r="AJ302" s="357"/>
      <c r="AK302" s="357"/>
      <c r="AL302" s="21"/>
      <c r="AM302" s="21"/>
      <c r="AN302" s="21"/>
      <c r="AO302" s="21"/>
      <c r="AP302" s="21"/>
      <c r="AQ302" s="21"/>
      <c r="AR302" s="21"/>
      <c r="AS302" s="21"/>
      <c r="AT302" s="21"/>
      <c r="AU302" s="21"/>
      <c r="AV302" s="21"/>
      <c r="AX302" s="21"/>
      <c r="AY302" s="21"/>
      <c r="AZ302" s="21"/>
      <c r="BA302" s="21"/>
      <c r="BB302" s="21"/>
      <c r="BC302" s="21"/>
      <c r="BD302" s="21"/>
      <c r="BE302" s="21"/>
      <c r="BF302" s="21"/>
      <c r="BG302" s="21"/>
      <c r="BH302" s="21"/>
      <c r="BI302" s="21"/>
      <c r="BJ302" s="21"/>
      <c r="BK302" s="21"/>
      <c r="BL302" s="21"/>
      <c r="BM302" s="21"/>
      <c r="BN302" s="21"/>
      <c r="BO302" s="21"/>
      <c r="BP302" s="21"/>
      <c r="BQ302" s="21"/>
      <c r="BR302" s="21"/>
      <c r="BS302"/>
      <c r="BT302" s="21"/>
      <c r="BU302" s="21"/>
      <c r="BV302" s="21"/>
      <c r="BW302" s="21"/>
      <c r="BX302" s="21"/>
      <c r="BY302" s="21"/>
      <c r="BZ302" s="21"/>
      <c r="CA302" s="21"/>
      <c r="CB302" s="21"/>
      <c r="CC302" s="21"/>
      <c r="CD302" s="21"/>
      <c r="CE302" s="21"/>
      <c r="CF302" s="21"/>
      <c r="CG302" s="21"/>
      <c r="CH302" s="21"/>
      <c r="CI302" s="21"/>
      <c r="CJ302" s="21"/>
      <c r="CK302" s="21"/>
      <c r="CL302" s="21"/>
      <c r="CM302" s="21"/>
      <c r="CN302" s="21"/>
      <c r="CO302" s="21"/>
      <c r="CP302" s="21"/>
      <c r="CQ302" s="21"/>
      <c r="CR302" s="21"/>
      <c r="CS302" s="21"/>
      <c r="CT302" s="21"/>
      <c r="CU302" s="21"/>
      <c r="CV302" s="21"/>
      <c r="CW302" s="21"/>
      <c r="CX302" s="21"/>
      <c r="CY302" s="21"/>
      <c r="CZ302" s="21"/>
      <c r="DA302" s="21"/>
      <c r="DB302" s="21"/>
      <c r="DC302" s="21"/>
      <c r="DD302" s="21"/>
      <c r="DE302" s="21"/>
      <c r="DF302" s="21"/>
      <c r="DG302" s="21"/>
      <c r="DH302" s="21"/>
      <c r="DI302" s="21"/>
    </row>
    <row r="303" spans="1:113" ht="11.25" hidden="1" customHeight="1" outlineLevel="1">
      <c r="A303" s="372" t="s">
        <v>17</v>
      </c>
      <c r="B303" s="360"/>
      <c r="C303" s="404">
        <v>0</v>
      </c>
      <c r="D303" s="559"/>
      <c r="E303" s="404">
        <v>0</v>
      </c>
      <c r="F303" s="559"/>
      <c r="G303" s="404">
        <v>0</v>
      </c>
      <c r="H303" s="559"/>
      <c r="I303" s="404">
        <v>0</v>
      </c>
      <c r="J303" s="559"/>
      <c r="K303" s="404">
        <v>0</v>
      </c>
      <c r="L303" s="559"/>
      <c r="M303" s="404">
        <v>0</v>
      </c>
      <c r="N303" s="559"/>
      <c r="O303" s="404">
        <v>-0.79800000000000004</v>
      </c>
      <c r="P303" s="559"/>
      <c r="Q303" s="404">
        <v>-5.16</v>
      </c>
      <c r="R303" s="559"/>
      <c r="S303" s="385">
        <v>-1.8280000000000001</v>
      </c>
      <c r="T303" s="396">
        <v>-2.0179999999999998</v>
      </c>
      <c r="U303" s="396">
        <v>-2.9630000000000001</v>
      </c>
      <c r="V303" s="902">
        <f>-8.942-S303-T303-U303</f>
        <v>-2.133</v>
      </c>
      <c r="W303" s="903">
        <f>SUM(S303:V303)</f>
        <v>-8.9420000000000002</v>
      </c>
      <c r="X303" s="904"/>
      <c r="Y303" s="385">
        <v>-12.864000000000001</v>
      </c>
      <c r="Z303" s="396">
        <v>-11.625</v>
      </c>
      <c r="AA303" s="396">
        <v>-11.86</v>
      </c>
      <c r="AB303" s="902">
        <f>-46.1-Y303-Z303-AA303</f>
        <v>-9.7510000000000048</v>
      </c>
      <c r="AC303" s="903">
        <f>SUM(Y303:AB303)</f>
        <v>-46.100000000000009</v>
      </c>
      <c r="AD303" s="565"/>
      <c r="AE303" s="385">
        <v>-16.311</v>
      </c>
      <c r="AF303" s="396">
        <v>-12.898</v>
      </c>
      <c r="AG303" s="396">
        <v>-11.646000000000001</v>
      </c>
      <c r="AH303" s="902">
        <f>-54.1-AE303-AF303-AG303</f>
        <v>-13.245000000000001</v>
      </c>
      <c r="AI303" s="903">
        <f>SUM(AE303:AH303)</f>
        <v>-54.100000000000009</v>
      </c>
      <c r="AJ303" s="565"/>
      <c r="AK303" s="652">
        <v>-10.7</v>
      </c>
      <c r="CR303"/>
      <c r="CX303"/>
      <c r="DD303"/>
    </row>
    <row r="304" spans="1:113" ht="11.25" hidden="1" customHeight="1" outlineLevel="1">
      <c r="A304" s="901" t="s">
        <v>250</v>
      </c>
      <c r="B304" s="363"/>
      <c r="C304" s="401">
        <f>C303/C306</f>
        <v>0</v>
      </c>
      <c r="D304" s="363"/>
      <c r="E304" s="401">
        <f>E303/E306</f>
        <v>0</v>
      </c>
      <c r="F304" s="363"/>
      <c r="G304" s="401">
        <f>G303/G306</f>
        <v>0</v>
      </c>
      <c r="H304" s="363"/>
      <c r="I304" s="401">
        <f>I303/I306</f>
        <v>0</v>
      </c>
      <c r="J304" s="363"/>
      <c r="K304" s="401">
        <f>K303/K306</f>
        <v>0</v>
      </c>
      <c r="L304" s="363"/>
      <c r="M304" s="401">
        <f>M303/M306</f>
        <v>0</v>
      </c>
      <c r="N304" s="363"/>
      <c r="O304" s="401">
        <f>O303/O306</f>
        <v>-2.8057493249324934E-3</v>
      </c>
      <c r="P304" s="363"/>
      <c r="Q304" s="401">
        <f>Q303/Q306</f>
        <v>-1.3861540403972568E-2</v>
      </c>
      <c r="R304" s="363"/>
      <c r="S304" s="378"/>
      <c r="T304" s="388"/>
      <c r="U304" s="388"/>
      <c r="V304" s="453"/>
      <c r="W304" s="401">
        <f>W303/W306</f>
        <v>-2.0516985824878282E-2</v>
      </c>
      <c r="X304" s="364"/>
      <c r="Y304" s="362"/>
      <c r="Z304" s="363"/>
      <c r="AA304" s="363"/>
      <c r="AB304" s="363"/>
      <c r="AC304" s="686"/>
      <c r="AD304" s="357"/>
      <c r="AE304" s="362"/>
      <c r="AF304" s="363"/>
      <c r="AG304" s="363"/>
      <c r="AH304" s="363"/>
      <c r="AI304" s="686"/>
      <c r="AJ304" s="357"/>
      <c r="AK304" s="357"/>
      <c r="CR304"/>
      <c r="CX304"/>
      <c r="DD304"/>
    </row>
    <row r="305" spans="1:108" ht="11.25" hidden="1" customHeight="1" outlineLevel="1">
      <c r="A305" s="362"/>
      <c r="B305" s="363"/>
      <c r="C305" s="357"/>
      <c r="D305" s="363"/>
      <c r="E305" s="357"/>
      <c r="F305" s="363"/>
      <c r="G305" s="357"/>
      <c r="H305" s="363"/>
      <c r="I305" s="357"/>
      <c r="J305" s="363"/>
      <c r="K305" s="357"/>
      <c r="L305" s="363"/>
      <c r="M305" s="357"/>
      <c r="N305" s="363"/>
      <c r="O305" s="357"/>
      <c r="P305" s="363"/>
      <c r="Q305" s="357"/>
      <c r="R305" s="363"/>
      <c r="S305" s="362"/>
      <c r="T305" s="363"/>
      <c r="U305" s="363"/>
      <c r="V305" s="363"/>
      <c r="W305" s="357"/>
      <c r="X305" s="364"/>
      <c r="Y305" s="365"/>
      <c r="Z305" s="366"/>
      <c r="AA305" s="366"/>
      <c r="AB305" s="366"/>
      <c r="AC305" s="688"/>
      <c r="AD305" s="357"/>
      <c r="AE305" s="365"/>
      <c r="AF305" s="366"/>
      <c r="AG305" s="366"/>
      <c r="AH305" s="366"/>
      <c r="AI305" s="688"/>
      <c r="AJ305" s="357"/>
      <c r="AK305" s="358"/>
      <c r="CR305"/>
      <c r="CX305"/>
      <c r="DD305"/>
    </row>
    <row r="306" spans="1:108" ht="11.25" hidden="1" customHeight="1" outlineLevel="1">
      <c r="A306" s="832" t="s">
        <v>238</v>
      </c>
      <c r="B306" s="833"/>
      <c r="C306" s="836">
        <f>C276+C288+C298+C303</f>
        <v>42.207000000000001</v>
      </c>
      <c r="D306" s="879"/>
      <c r="E306" s="836">
        <f>E276+E288+E298+E303</f>
        <v>64.69</v>
      </c>
      <c r="F306" s="879"/>
      <c r="G306" s="836">
        <f>G276+G288+G298+G303</f>
        <v>76.602000000000004</v>
      </c>
      <c r="H306" s="879"/>
      <c r="I306" s="836">
        <f>I276+I288+I298+I303</f>
        <v>92.691000000000003</v>
      </c>
      <c r="J306" s="879"/>
      <c r="K306" s="836">
        <f>K276+K288+K298+K303</f>
        <v>220.65800000000002</v>
      </c>
      <c r="L306" s="879"/>
      <c r="M306" s="836">
        <f>M276+M288+M298+M303</f>
        <v>260.67899999999997</v>
      </c>
      <c r="N306" s="879"/>
      <c r="O306" s="836">
        <f>O276+O288+O298+O303</f>
        <v>284.416</v>
      </c>
      <c r="P306" s="879"/>
      <c r="Q306" s="836">
        <f>Q276+Q288+Q298+Q303</f>
        <v>372.25299999999999</v>
      </c>
      <c r="R306" s="879"/>
      <c r="S306" s="837">
        <f>S276+S288+S298+S303</f>
        <v>94.855999999999995</v>
      </c>
      <c r="T306" s="838">
        <f>T276+T288+T298+T303</f>
        <v>100.48299999999998</v>
      </c>
      <c r="U306" s="838">
        <f>U276+U288+U298+U303</f>
        <v>104.87</v>
      </c>
      <c r="V306" s="880">
        <f>V276+V288+V298+V303</f>
        <v>135.625</v>
      </c>
      <c r="W306" s="836">
        <f>W276+W288+W298+W303</f>
        <v>435.83399999999995</v>
      </c>
      <c r="X306" s="881"/>
      <c r="Y306" s="882">
        <f>Y248</f>
        <v>207.536</v>
      </c>
      <c r="Z306" s="883">
        <f>Z248</f>
        <v>238.34199999999998</v>
      </c>
      <c r="AA306" s="883">
        <f>AA248</f>
        <v>241.76</v>
      </c>
      <c r="AB306" s="883">
        <f>AB248</f>
        <v>344.76200000000006</v>
      </c>
      <c r="AC306" s="884">
        <f>AC248</f>
        <v>1032.4000000000001</v>
      </c>
      <c r="AD306" s="834"/>
      <c r="AE306" s="882">
        <f>AE248</f>
        <v>238.43599999999998</v>
      </c>
      <c r="AF306" s="883">
        <f>AF248</f>
        <v>311.46499999999992</v>
      </c>
      <c r="AG306" s="883">
        <f>AG248</f>
        <v>242.06400000000002</v>
      </c>
      <c r="AH306" s="883">
        <f>AH248</f>
        <v>315.13499999999999</v>
      </c>
      <c r="AI306" s="884">
        <f>AI248</f>
        <v>1107.1000000000001</v>
      </c>
      <c r="AJ306" s="834"/>
      <c r="AK306" s="884">
        <f>AK248</f>
        <v>230.5</v>
      </c>
      <c r="CR306"/>
      <c r="CX306"/>
      <c r="DD306"/>
    </row>
    <row r="307" spans="1:108" ht="11.25" hidden="1" customHeight="1" outlineLevel="1">
      <c r="A307" s="839" t="s">
        <v>247</v>
      </c>
      <c r="B307" s="840"/>
      <c r="C307" s="843"/>
      <c r="D307" s="840"/>
      <c r="E307" s="843">
        <f>E306/C306-1</f>
        <v>0.53268415191792817</v>
      </c>
      <c r="F307" s="840"/>
      <c r="G307" s="843">
        <f>G306/E306-1</f>
        <v>0.18413974339155992</v>
      </c>
      <c r="H307" s="840"/>
      <c r="I307" s="843">
        <f>I306/G306-1</f>
        <v>0.21003368058275229</v>
      </c>
      <c r="J307" s="840"/>
      <c r="K307" s="843">
        <f>K306/I306-1</f>
        <v>1.3805763234834019</v>
      </c>
      <c r="L307" s="840"/>
      <c r="M307" s="843">
        <f>M306/K306-1</f>
        <v>0.18137117167743733</v>
      </c>
      <c r="N307" s="840"/>
      <c r="O307" s="843">
        <f>O306/M306-1</f>
        <v>9.1058351459074371E-2</v>
      </c>
      <c r="P307" s="840"/>
      <c r="Q307" s="843">
        <f>Q306/O306-1</f>
        <v>0.30883283640864079</v>
      </c>
      <c r="R307" s="840"/>
      <c r="S307" s="885" t="s">
        <v>26</v>
      </c>
      <c r="T307" s="844" t="s">
        <v>26</v>
      </c>
      <c r="U307" s="863">
        <v>0.221</v>
      </c>
      <c r="V307" s="886">
        <v>0.27</v>
      </c>
      <c r="W307" s="843">
        <f>W306/Q306-1</f>
        <v>0.17080050395832935</v>
      </c>
      <c r="X307" s="887"/>
      <c r="Y307" s="845">
        <f>Y306/S306-1</f>
        <v>1.1879058783840772</v>
      </c>
      <c r="Z307" s="846">
        <f>Z306/T306-1</f>
        <v>1.3719634166973522</v>
      </c>
      <c r="AA307" s="846">
        <f>AA306/U306-1</f>
        <v>1.3053304090779059</v>
      </c>
      <c r="AB307" s="846">
        <f>AB306/V306-1</f>
        <v>1.5420239631336408</v>
      </c>
      <c r="AC307" s="843">
        <f>AC306/W306-1</f>
        <v>1.3687917876989868</v>
      </c>
      <c r="AD307" s="841"/>
      <c r="AE307" s="845">
        <f>AE306/Y306-1</f>
        <v>0.14888983116182231</v>
      </c>
      <c r="AF307" s="846">
        <f>AF306/Z306-1</f>
        <v>0.30679863389583018</v>
      </c>
      <c r="AG307" s="846">
        <f>AG306/AA306-1</f>
        <v>1.2574454003972946E-3</v>
      </c>
      <c r="AH307" s="846">
        <f>AH306/AB306-1</f>
        <v>-8.5934644769435353E-2</v>
      </c>
      <c r="AI307" s="843">
        <f>AI306/AC306-1</f>
        <v>7.2355676094536969E-2</v>
      </c>
      <c r="AJ307" s="841"/>
      <c r="AK307" s="843">
        <f>AK306/AE306-1</f>
        <v>-3.3283564562398227E-2</v>
      </c>
      <c r="CR307"/>
      <c r="CX307"/>
      <c r="DD307"/>
    </row>
    <row r="308" spans="1:108" ht="11.25" hidden="1" customHeight="1" outlineLevel="1">
      <c r="A308" s="839" t="s">
        <v>248</v>
      </c>
      <c r="B308" s="840"/>
      <c r="C308" s="740"/>
      <c r="D308" s="840"/>
      <c r="E308" s="888" t="s">
        <v>26</v>
      </c>
      <c r="F308" s="840"/>
      <c r="G308" s="888" t="s">
        <v>26</v>
      </c>
      <c r="H308" s="840"/>
      <c r="I308" s="888" t="s">
        <v>26</v>
      </c>
      <c r="J308" s="840"/>
      <c r="K308" s="888" t="s">
        <v>26</v>
      </c>
      <c r="L308" s="840"/>
      <c r="M308" s="740">
        <f>M307-M309</f>
        <v>4.2695030318411153E-2</v>
      </c>
      <c r="N308" s="840"/>
      <c r="O308" s="740">
        <f>O307-O309</f>
        <v>2.430959148991689E-2</v>
      </c>
      <c r="P308" s="840"/>
      <c r="Q308" s="740">
        <f>Q307</f>
        <v>0.30883283640864079</v>
      </c>
      <c r="R308" s="840"/>
      <c r="S308" s="885" t="s">
        <v>26</v>
      </c>
      <c r="T308" s="844" t="s">
        <v>26</v>
      </c>
      <c r="U308" s="864">
        <v>0.19800000000000001</v>
      </c>
      <c r="V308" s="889">
        <v>0.22</v>
      </c>
      <c r="W308" s="740">
        <f>W307-W309</f>
        <v>0.16650235189508206</v>
      </c>
      <c r="X308" s="887"/>
      <c r="Y308" s="850">
        <f>Y307-Y309</f>
        <v>1.1289058783840773</v>
      </c>
      <c r="Z308" s="846">
        <f>Z307-Z309</f>
        <v>1.3319634166973522</v>
      </c>
      <c r="AA308" s="846">
        <f>AA307-AA309</f>
        <v>1.2553304090779058</v>
      </c>
      <c r="AB308" s="846">
        <f>AB307-AB309</f>
        <v>1.4520239631336409</v>
      </c>
      <c r="AC308" s="740">
        <f>AC307-AC309</f>
        <v>1.2987917876989867</v>
      </c>
      <c r="AD308" s="841"/>
      <c r="AE308" s="850">
        <f>AE307-AE309</f>
        <v>4.9629943720607278E-2</v>
      </c>
      <c r="AF308" s="846">
        <f>AF307-AF309</f>
        <v>0.19393560513883393</v>
      </c>
      <c r="AG308" s="846">
        <f>AG307-AG309</f>
        <v>-5.4996690933156643E-2</v>
      </c>
      <c r="AH308" s="846">
        <f>AH307-AH309</f>
        <v>-2.3282728374937126E-2</v>
      </c>
      <c r="AI308" s="740">
        <f>AI307-AI309</f>
        <v>3.4095311894614462E-2</v>
      </c>
      <c r="AJ308" s="841"/>
      <c r="AK308" s="740">
        <f>AK307-AK309</f>
        <v>4.4724789880722787E-2</v>
      </c>
      <c r="CR308"/>
      <c r="CX308"/>
      <c r="DD308"/>
    </row>
    <row r="309" spans="1:108" ht="11.25" hidden="1" customHeight="1" outlineLevel="1">
      <c r="A309" s="852" t="s">
        <v>249</v>
      </c>
      <c r="B309" s="853"/>
      <c r="C309" s="861"/>
      <c r="D309" s="853"/>
      <c r="E309" s="890" t="s">
        <v>26</v>
      </c>
      <c r="F309" s="853"/>
      <c r="G309" s="890" t="s">
        <v>26</v>
      </c>
      <c r="H309" s="853"/>
      <c r="I309" s="890" t="s">
        <v>26</v>
      </c>
      <c r="J309" s="853"/>
      <c r="K309" s="890" t="s">
        <v>26</v>
      </c>
      <c r="L309" s="853"/>
      <c r="M309" s="861">
        <f>((K276*M279)+(K288*M291))/K306</f>
        <v>0.13867614135902617</v>
      </c>
      <c r="N309" s="853"/>
      <c r="O309" s="861">
        <f>((M276*O279)+(M288*O291))/M306</f>
        <v>6.6748759969157481E-2</v>
      </c>
      <c r="P309" s="853"/>
      <c r="Q309" s="855">
        <v>0</v>
      </c>
      <c r="R309" s="853"/>
      <c r="S309" s="891" t="s">
        <v>26</v>
      </c>
      <c r="T309" s="856" t="s">
        <v>26</v>
      </c>
      <c r="U309" s="859">
        <f>U307-U308</f>
        <v>2.2999999999999993E-2</v>
      </c>
      <c r="V309" s="859">
        <f>V307-V308</f>
        <v>5.0000000000000017E-2</v>
      </c>
      <c r="W309" s="861">
        <f>((Q276*W279)+(Q288*W291)+(Q298*W301))/Q306</f>
        <v>4.298152063247308E-3</v>
      </c>
      <c r="X309" s="892"/>
      <c r="Y309" s="860">
        <f>(16.5%-10.6%)</f>
        <v>5.9000000000000011E-2</v>
      </c>
      <c r="Z309" s="858">
        <f>(21%-17%)</f>
        <v>3.999999999999998E-2</v>
      </c>
      <c r="AA309" s="858">
        <f>(25%-20%)</f>
        <v>4.9999999999999989E-2</v>
      </c>
      <c r="AB309" s="858">
        <f>(35%-26%)</f>
        <v>8.9999999999999969E-2</v>
      </c>
      <c r="AC309" s="855">
        <f>(26%-19%)</f>
        <v>7.0000000000000007E-2</v>
      </c>
      <c r="AD309" s="854"/>
      <c r="AE309" s="860">
        <f>20.6/Y306</f>
        <v>9.9259887441215028E-2</v>
      </c>
      <c r="AF309" s="858">
        <f>26.9/Z306</f>
        <v>0.11286302875699625</v>
      </c>
      <c r="AG309" s="858">
        <f>13.6/AA306</f>
        <v>5.6254136333553938E-2</v>
      </c>
      <c r="AH309" s="893">
        <f>((AC306*AI309)-(Y306*AE309)-(Z306*AF309)-(AA306*AG309))/AB306</f>
        <v>-6.2651916394498228E-2</v>
      </c>
      <c r="AI309" s="855">
        <f>39.5/AC306</f>
        <v>3.8260364199922507E-2</v>
      </c>
      <c r="AJ309" s="854"/>
      <c r="AK309" s="855">
        <f>-18.6/AE306</f>
        <v>-7.8008354443121014E-2</v>
      </c>
      <c r="CR309"/>
      <c r="CX309"/>
      <c r="DD309"/>
    </row>
    <row r="310" spans="1:108" ht="11.25" hidden="1" customHeight="1" outlineLevel="1">
      <c r="A310" s="527" t="s">
        <v>68</v>
      </c>
      <c r="B310" s="353"/>
      <c r="C310" s="629">
        <f>ROUND(C306-IS!C9,3)</f>
        <v>0</v>
      </c>
      <c r="D310" s="585"/>
      <c r="E310" s="629">
        <f>ROUND(E306-IS!E9,3)</f>
        <v>0</v>
      </c>
      <c r="F310" s="585"/>
      <c r="G310" s="629">
        <f>ROUND(G306-IS!G9,3)</f>
        <v>0</v>
      </c>
      <c r="H310" s="585"/>
      <c r="I310" s="629">
        <f>ROUND(I306-IS!I9,3)</f>
        <v>0</v>
      </c>
      <c r="J310" s="585"/>
      <c r="K310" s="629">
        <f>ROUND(K306-IS!K9,3)</f>
        <v>0</v>
      </c>
      <c r="L310" s="585"/>
      <c r="M310" s="629">
        <f>ROUND(M306-IS!M9,3)</f>
        <v>0</v>
      </c>
      <c r="N310" s="585"/>
      <c r="O310" s="629">
        <f>ROUND(O306-IS!O9,3)</f>
        <v>0</v>
      </c>
      <c r="P310" s="585"/>
      <c r="Q310" s="629">
        <f>ROUND(Q306-IS!Q9,3)</f>
        <v>0</v>
      </c>
      <c r="R310" s="585"/>
      <c r="S310" s="629">
        <f>ROUND(S306-IS!S9,3)</f>
        <v>0</v>
      </c>
      <c r="T310" s="629">
        <f>ROUND(T306-IS!T9,3)</f>
        <v>0</v>
      </c>
      <c r="U310" s="629">
        <f>ROUND(U306-IS!U9,3)</f>
        <v>0</v>
      </c>
      <c r="V310" s="629">
        <f>ROUND(V306-IS!V9,3)</f>
        <v>0</v>
      </c>
      <c r="W310" s="629">
        <f>ROUND(W306-IS!W9,3)</f>
        <v>0</v>
      </c>
      <c r="X310" s="425"/>
      <c r="Y310" s="629">
        <f>ROUND(Y306-IS!Y9,3)</f>
        <v>0</v>
      </c>
      <c r="Z310" s="629">
        <f>ROUND(Z306-IS!Z9,3)</f>
        <v>0</v>
      </c>
      <c r="AA310" s="629">
        <f>ROUND(AA306-IS!AA9,3)</f>
        <v>0</v>
      </c>
      <c r="AB310" s="629">
        <f>ROUND(AB306-IS!AB9,3)</f>
        <v>0</v>
      </c>
      <c r="AC310" s="629">
        <f>ROUND(AC306-IS!AC9,3)</f>
        <v>0</v>
      </c>
      <c r="AD310" s="425"/>
      <c r="AE310" s="629">
        <f>ROUND(AE306-IS!AE9,0)</f>
        <v>0</v>
      </c>
      <c r="AF310" s="629">
        <f>ROUND(AF306-IS!AF9,0)</f>
        <v>0</v>
      </c>
      <c r="AG310" s="629">
        <f>ROUND(AG306-IS!AG9,0)</f>
        <v>0</v>
      </c>
      <c r="AH310" s="629">
        <f>ROUND(AH306-IS!AH9,0)</f>
        <v>0</v>
      </c>
      <c r="AI310" s="629">
        <f>ROUND(AI306-IS!AI9,0)</f>
        <v>0</v>
      </c>
      <c r="AJ310" s="425"/>
      <c r="AK310" s="629">
        <f>ROUND(AK306-IS!AK9,0)</f>
        <v>0</v>
      </c>
      <c r="CR310"/>
      <c r="CX310"/>
      <c r="DD310"/>
    </row>
    <row r="311" spans="1:108" ht="11.25" hidden="1" customHeight="1" outlineLevel="1">
      <c r="A311" s="527"/>
      <c r="B311" s="353"/>
      <c r="C311" s="624"/>
      <c r="D311" s="353"/>
      <c r="E311" s="624"/>
      <c r="F311" s="353"/>
      <c r="G311" s="624"/>
      <c r="H311" s="353"/>
      <c r="I311" s="624"/>
      <c r="J311" s="353"/>
      <c r="K311" s="624"/>
      <c r="L311" s="353"/>
      <c r="M311" s="624"/>
      <c r="N311" s="353"/>
      <c r="O311" s="624"/>
      <c r="P311" s="353"/>
      <c r="Q311" s="624"/>
      <c r="R311" s="353"/>
      <c r="S311" s="353"/>
      <c r="T311" s="353"/>
      <c r="U311" s="353"/>
      <c r="V311" s="353"/>
      <c r="W311" s="624"/>
      <c r="X311" s="426"/>
      <c r="Y311" s="353"/>
      <c r="Z311" s="353"/>
      <c r="AA311" s="353"/>
      <c r="AB311" s="353"/>
      <c r="AD311" s="426"/>
      <c r="AE311" s="353"/>
      <c r="AF311" s="353"/>
      <c r="AG311" s="353"/>
      <c r="AH311" s="353"/>
      <c r="AJ311" s="426"/>
      <c r="AK311" s="353"/>
      <c r="CR311"/>
      <c r="CX311"/>
      <c r="DD311"/>
    </row>
    <row r="312" spans="1:108" ht="11.25" hidden="1" customHeight="1" outlineLevel="1">
      <c r="A312" s="443" t="s">
        <v>239</v>
      </c>
      <c r="B312" s="444"/>
      <c r="C312" s="446"/>
      <c r="D312" s="444"/>
      <c r="E312" s="554" t="str">
        <f>E309</f>
        <v>ND</v>
      </c>
      <c r="F312" s="444"/>
      <c r="G312" s="554" t="str">
        <f>G309</f>
        <v>ND</v>
      </c>
      <c r="H312" s="444"/>
      <c r="I312" s="554" t="str">
        <f>I309</f>
        <v>ND</v>
      </c>
      <c r="J312" s="444"/>
      <c r="K312" s="554" t="str">
        <f>K309</f>
        <v>ND</v>
      </c>
      <c r="L312" s="444"/>
      <c r="M312" s="551">
        <f>M309</f>
        <v>0.13867614135902617</v>
      </c>
      <c r="N312" s="444"/>
      <c r="O312" s="551">
        <f>O309</f>
        <v>6.6748759969157481E-2</v>
      </c>
      <c r="P312" s="444"/>
      <c r="Q312" s="551">
        <f>Q309</f>
        <v>0</v>
      </c>
      <c r="R312" s="444"/>
      <c r="S312" s="661" t="str">
        <f>S309</f>
        <v>ND</v>
      </c>
      <c r="T312" s="662" t="str">
        <f>T309</f>
        <v>ND</v>
      </c>
      <c r="U312" s="662">
        <f>U309</f>
        <v>2.2999999999999993E-2</v>
      </c>
      <c r="V312" s="662">
        <f>V309</f>
        <v>5.0000000000000017E-2</v>
      </c>
      <c r="W312" s="551">
        <f>W309</f>
        <v>4.298152063247308E-3</v>
      </c>
      <c r="X312" s="545"/>
      <c r="Y312" s="644">
        <f>Y309</f>
        <v>5.9000000000000011E-2</v>
      </c>
      <c r="Z312" s="445">
        <f>Z309</f>
        <v>3.999999999999998E-2</v>
      </c>
      <c r="AA312" s="445">
        <f>AA309</f>
        <v>4.9999999999999989E-2</v>
      </c>
      <c r="AB312" s="445">
        <f>AB309</f>
        <v>8.9999999999999969E-2</v>
      </c>
      <c r="AC312" s="690">
        <f>AC309</f>
        <v>7.0000000000000007E-2</v>
      </c>
      <c r="AD312" s="446"/>
      <c r="AE312" s="644">
        <f>AE309</f>
        <v>9.9259887441215028E-2</v>
      </c>
      <c r="AF312" s="445">
        <f>AF309</f>
        <v>0.11286302875699625</v>
      </c>
      <c r="AG312" s="445">
        <f>AG309</f>
        <v>5.6254136333553938E-2</v>
      </c>
      <c r="AH312" s="445">
        <f>AH309</f>
        <v>-6.2651916394498228E-2</v>
      </c>
      <c r="AI312" s="690">
        <f>AI309</f>
        <v>3.8260364199922507E-2</v>
      </c>
      <c r="AJ312" s="446"/>
      <c r="AK312" s="447">
        <f>AK309</f>
        <v>-7.8008354443121014E-2</v>
      </c>
      <c r="CR312"/>
      <c r="CX312"/>
      <c r="DD312"/>
    </row>
    <row r="313" spans="1:108" ht="11.25" hidden="1" customHeight="1" outlineLevel="1">
      <c r="A313" s="421"/>
      <c r="B313" s="353"/>
      <c r="C313" s="353"/>
      <c r="D313" s="353"/>
      <c r="E313" s="353"/>
      <c r="F313" s="353"/>
      <c r="G313" s="353"/>
      <c r="H313" s="353"/>
      <c r="I313" s="353"/>
      <c r="J313" s="353"/>
      <c r="K313" s="353"/>
      <c r="L313" s="353"/>
      <c r="M313" s="353"/>
      <c r="N313" s="353"/>
      <c r="O313" s="353"/>
      <c r="P313" s="353"/>
      <c r="Q313" s="353"/>
      <c r="R313" s="353"/>
      <c r="S313" s="353"/>
      <c r="T313" s="353"/>
      <c r="U313" s="353"/>
      <c r="V313" s="353"/>
      <c r="W313" s="353"/>
      <c r="X313" s="425"/>
      <c r="Y313" s="353"/>
      <c r="Z313" s="353"/>
      <c r="AA313" s="353"/>
      <c r="AB313" s="353"/>
      <c r="AD313" s="425"/>
      <c r="AE313" s="353"/>
      <c r="AF313" s="353"/>
      <c r="AG313" s="353"/>
      <c r="AH313" s="353"/>
      <c r="AJ313" s="425"/>
      <c r="AK313" s="353"/>
      <c r="CR313"/>
      <c r="CX313"/>
      <c r="DD313"/>
    </row>
    <row r="314" spans="1:108" ht="11.25" hidden="1" customHeight="1" outlineLevel="1" thickBot="1">
      <c r="A314" s="73" t="s">
        <v>251</v>
      </c>
      <c r="B314" s="74"/>
      <c r="C314" s="75"/>
      <c r="D314" s="74"/>
      <c r="E314" s="75"/>
      <c r="F314" s="74"/>
      <c r="G314" s="75"/>
      <c r="H314" s="74"/>
      <c r="I314" s="75"/>
      <c r="J314" s="74"/>
      <c r="K314" s="75"/>
      <c r="L314" s="74"/>
      <c r="M314" s="75"/>
      <c r="N314" s="74"/>
      <c r="O314" s="75"/>
      <c r="P314" s="74"/>
      <c r="Q314" s="75"/>
      <c r="R314" s="74"/>
      <c r="S314" s="74"/>
      <c r="T314" s="74"/>
      <c r="U314" s="74"/>
      <c r="V314" s="74"/>
      <c r="W314" s="74"/>
      <c r="X314" s="167"/>
      <c r="Y314" s="639"/>
      <c r="Z314" s="639"/>
      <c r="AA314" s="639"/>
      <c r="AB314" s="639"/>
      <c r="AC314" s="74"/>
      <c r="AD314" s="74"/>
      <c r="AE314" s="639"/>
      <c r="AF314" s="639"/>
      <c r="AG314" s="639"/>
      <c r="AH314" s="639"/>
      <c r="AI314" s="74"/>
      <c r="AJ314" s="74"/>
      <c r="AK314" s="639"/>
      <c r="CR314"/>
      <c r="CX314"/>
      <c r="DD314"/>
    </row>
    <row r="315" spans="1:108" ht="11.25" hidden="1" customHeight="1" outlineLevel="1">
      <c r="A315" s="372" t="s">
        <v>23</v>
      </c>
      <c r="B315" s="360"/>
      <c r="C315" s="558">
        <f>C237/C306</f>
        <v>0</v>
      </c>
      <c r="D315" s="360"/>
      <c r="E315" s="558">
        <f>E237/E306</f>
        <v>0</v>
      </c>
      <c r="F315" s="360"/>
      <c r="G315" s="558">
        <f>G237/G306</f>
        <v>0</v>
      </c>
      <c r="H315" s="360"/>
      <c r="I315" s="558">
        <f>I237/I306</f>
        <v>0</v>
      </c>
      <c r="J315" s="360"/>
      <c r="K315" s="558">
        <f>K237/K306</f>
        <v>0.47263185563179216</v>
      </c>
      <c r="L315" s="360"/>
      <c r="M315" s="558">
        <f>M237/M306</f>
        <v>0.43705093237276504</v>
      </c>
      <c r="N315" s="360"/>
      <c r="O315" s="558">
        <f>O237/O306</f>
        <v>0.46629584833483356</v>
      </c>
      <c r="P315" s="360"/>
      <c r="Q315" s="558">
        <f>Q237/Q306</f>
        <v>0.36898829559466279</v>
      </c>
      <c r="R315" s="360"/>
      <c r="S315" s="560">
        <f>S237/S306</f>
        <v>0.39909968794804757</v>
      </c>
      <c r="T315" s="561">
        <f>T237/T306</f>
        <v>0.3892499228725258</v>
      </c>
      <c r="U315" s="561">
        <f>U237/U306</f>
        <v>0.44831696386001713</v>
      </c>
      <c r="V315" s="561">
        <f>V237/V306</f>
        <v>0.40934193548387116</v>
      </c>
      <c r="W315" s="558">
        <f>W237/W306</f>
        <v>0.41185864342846135</v>
      </c>
      <c r="X315" s="361"/>
      <c r="Y315" s="560">
        <f>Y237/Y306</f>
        <v>0.25028428802713742</v>
      </c>
      <c r="Z315" s="561">
        <f>Z237/Z306</f>
        <v>0.22362823170066543</v>
      </c>
      <c r="AA315" s="561">
        <f>AA237/AA306</f>
        <v>0.24805178689609528</v>
      </c>
      <c r="AB315" s="561">
        <f>AB237/AB306</f>
        <v>0.22849095898039809</v>
      </c>
      <c r="AC315" s="558">
        <f>AC237/AC306</f>
        <v>0.23632991088725294</v>
      </c>
      <c r="AD315" s="356"/>
      <c r="AE315" s="359"/>
      <c r="AF315" s="360"/>
      <c r="AG315" s="360"/>
      <c r="AH315" s="361"/>
      <c r="AI315" s="685"/>
      <c r="AJ315" s="356"/>
      <c r="AK315" s="694"/>
      <c r="CR315"/>
      <c r="CX315"/>
      <c r="DD315"/>
    </row>
    <row r="316" spans="1:108" ht="11.25" hidden="1" customHeight="1" outlineLevel="1">
      <c r="A316" s="362" t="s">
        <v>252</v>
      </c>
      <c r="B316" s="363"/>
      <c r="C316" s="401"/>
      <c r="D316" s="363"/>
      <c r="E316" s="401"/>
      <c r="F316" s="363"/>
      <c r="G316" s="401"/>
      <c r="H316" s="363"/>
      <c r="I316" s="401"/>
      <c r="J316" s="363"/>
      <c r="K316" s="401"/>
      <c r="L316" s="363"/>
      <c r="M316" s="401">
        <f>M272/M306</f>
        <v>0.30593565266093553</v>
      </c>
      <c r="N316" s="363"/>
      <c r="O316" s="401">
        <f>O272/O306</f>
        <v>0.34716049729972998</v>
      </c>
      <c r="P316" s="363"/>
      <c r="Q316" s="401">
        <f>Q272/Q306</f>
        <v>0.27736243898638829</v>
      </c>
      <c r="R316" s="363"/>
      <c r="S316" s="378">
        <f>S272/S306</f>
        <v>0.27879100953023533</v>
      </c>
      <c r="T316" s="388">
        <f>T272/T306</f>
        <v>0.27385726938885191</v>
      </c>
      <c r="U316" s="388">
        <f>U272/U306</f>
        <v>0.34006865643177264</v>
      </c>
      <c r="V316" s="388">
        <f>V272/V306</f>
        <v>0.31402764976958536</v>
      </c>
      <c r="W316" s="401">
        <f>W272/W306</f>
        <v>0.30336320709260872</v>
      </c>
      <c r="X316" s="364"/>
      <c r="Y316" s="378">
        <f>Y272/Y306</f>
        <v>0.19053079947575358</v>
      </c>
      <c r="Z316" s="388">
        <f>Z272/Z306</f>
        <v>0.16923580401272123</v>
      </c>
      <c r="AA316" s="388">
        <f>AA272/AA306</f>
        <v>0.18863749172733288</v>
      </c>
      <c r="AB316" s="388">
        <f>AB272/AB306</f>
        <v>0.17069166555478854</v>
      </c>
      <c r="AC316" s="401">
        <f>AC272/AC306</f>
        <v>0.17854610616040292</v>
      </c>
      <c r="AD316" s="357"/>
      <c r="AE316" s="362"/>
      <c r="AF316" s="363"/>
      <c r="AG316" s="363"/>
      <c r="AH316" s="364"/>
      <c r="AI316" s="686"/>
      <c r="AJ316" s="357"/>
      <c r="AK316" s="357"/>
      <c r="CR316"/>
      <c r="CX316"/>
      <c r="DD316"/>
    </row>
    <row r="317" spans="1:108" ht="11.25" hidden="1" customHeight="1" outlineLevel="1">
      <c r="A317" s="362" t="s">
        <v>253</v>
      </c>
      <c r="B317" s="363"/>
      <c r="C317" s="401"/>
      <c r="D317" s="363"/>
      <c r="E317" s="401"/>
      <c r="F317" s="363"/>
      <c r="G317" s="401"/>
      <c r="H317" s="363"/>
      <c r="I317" s="401"/>
      <c r="J317" s="363"/>
      <c r="K317" s="401"/>
      <c r="L317" s="363"/>
      <c r="M317" s="401">
        <f>M274/M306</f>
        <v>0.13111527971182951</v>
      </c>
      <c r="N317" s="363"/>
      <c r="O317" s="401">
        <f>O274/O306</f>
        <v>0.11913535103510352</v>
      </c>
      <c r="P317" s="363"/>
      <c r="Q317" s="401">
        <f>Q274/Q306</f>
        <v>9.1625856608274478E-2</v>
      </c>
      <c r="R317" s="363"/>
      <c r="S317" s="378">
        <f>S274/S306</f>
        <v>0.12030867841781227</v>
      </c>
      <c r="T317" s="388">
        <f>T274/T306</f>
        <v>0.11539265348367389</v>
      </c>
      <c r="U317" s="388">
        <f>U274/U306</f>
        <v>0.1082483074282445</v>
      </c>
      <c r="V317" s="388">
        <f>V274/V306</f>
        <v>9.531428571428574E-2</v>
      </c>
      <c r="W317" s="401">
        <f>W274/W306</f>
        <v>0.10849543633585265</v>
      </c>
      <c r="X317" s="364"/>
      <c r="Y317" s="378">
        <f>Y274/Y306</f>
        <v>5.9753488551383856E-2</v>
      </c>
      <c r="Z317" s="388">
        <f>Z274/Z306</f>
        <v>5.4392427687944223E-2</v>
      </c>
      <c r="AA317" s="388">
        <f>AA274/AA306</f>
        <v>5.9414295168762413E-2</v>
      </c>
      <c r="AB317" s="388">
        <f>AB274/AB306</f>
        <v>5.7799293425609528E-2</v>
      </c>
      <c r="AC317" s="401">
        <f>AC274/AC306</f>
        <v>5.7783804726850047E-2</v>
      </c>
      <c r="AD317" s="357"/>
      <c r="AE317" s="362"/>
      <c r="AF317" s="363"/>
      <c r="AG317" s="363"/>
      <c r="AH317" s="364"/>
      <c r="AI317" s="686"/>
      <c r="AJ317" s="357"/>
      <c r="AK317" s="357"/>
      <c r="CR317"/>
      <c r="CX317"/>
      <c r="DD317"/>
    </row>
    <row r="318" spans="1:108" ht="11.25" hidden="1" customHeight="1" outlineLevel="1">
      <c r="A318" s="368" t="s">
        <v>25</v>
      </c>
      <c r="B318" s="363"/>
      <c r="C318" s="562">
        <f>C288/C306</f>
        <v>1</v>
      </c>
      <c r="D318" s="363"/>
      <c r="E318" s="562">
        <f>E288/E306</f>
        <v>1</v>
      </c>
      <c r="F318" s="363"/>
      <c r="G318" s="562">
        <f>G288/G306</f>
        <v>1</v>
      </c>
      <c r="H318" s="363"/>
      <c r="I318" s="562">
        <f>I288/I306</f>
        <v>1</v>
      </c>
      <c r="J318" s="363"/>
      <c r="K318" s="562">
        <f>K288/K306</f>
        <v>0.52736814436820778</v>
      </c>
      <c r="L318" s="363"/>
      <c r="M318" s="562">
        <f>M288/M306</f>
        <v>0.56294906762723507</v>
      </c>
      <c r="N318" s="363"/>
      <c r="O318" s="562">
        <f>O288/O306</f>
        <v>0.53650990099009899</v>
      </c>
      <c r="P318" s="363"/>
      <c r="Q318" s="562">
        <f>Q288/Q306</f>
        <v>0.43345520385329334</v>
      </c>
      <c r="R318" s="363"/>
      <c r="S318" s="563">
        <f>S288/S306</f>
        <v>0.39564181496162604</v>
      </c>
      <c r="T318" s="564">
        <f>T288/T306</f>
        <v>0.39638545823671667</v>
      </c>
      <c r="U318" s="564">
        <f>U288/U306</f>
        <v>0.34615237913607322</v>
      </c>
      <c r="V318" s="564">
        <f>V288/V306</f>
        <v>0.339789861751152</v>
      </c>
      <c r="W318" s="562">
        <f>W288/W306</f>
        <v>0.36652486956042896</v>
      </c>
      <c r="X318" s="364"/>
      <c r="Y318" s="563">
        <f>Y288/Y306</f>
        <v>0.18821794772955053</v>
      </c>
      <c r="Z318" s="564">
        <f>Z288/Z306</f>
        <v>0.17046093428770423</v>
      </c>
      <c r="AA318" s="564">
        <f>AA288/AA306</f>
        <v>0.19228160158835211</v>
      </c>
      <c r="AB318" s="564">
        <f>AB288/AB306</f>
        <v>0.18107564058683959</v>
      </c>
      <c r="AC318" s="562">
        <f>AC288/AC306</f>
        <v>0.18268500581170086</v>
      </c>
      <c r="AD318" s="357"/>
      <c r="AE318" s="362"/>
      <c r="AF318" s="363"/>
      <c r="AG318" s="363"/>
      <c r="AH318" s="364"/>
      <c r="AI318" s="686"/>
      <c r="AJ318" s="357"/>
      <c r="AK318" s="357"/>
      <c r="CR318"/>
      <c r="CX318"/>
      <c r="DD318"/>
    </row>
    <row r="319" spans="1:108" ht="11.25" hidden="1" customHeight="1" outlineLevel="1">
      <c r="A319" s="362" t="s">
        <v>252</v>
      </c>
      <c r="B319" s="363"/>
      <c r="C319" s="401"/>
      <c r="D319" s="363"/>
      <c r="E319" s="401"/>
      <c r="F319" s="363"/>
      <c r="G319" s="401"/>
      <c r="H319" s="363"/>
      <c r="I319" s="401"/>
      <c r="J319" s="363"/>
      <c r="K319" s="401"/>
      <c r="L319" s="363"/>
      <c r="M319" s="401">
        <f>M282/M306</f>
        <v>0.45218448743473777</v>
      </c>
      <c r="N319" s="363"/>
      <c r="O319" s="401">
        <f>O282/O306</f>
        <v>0.42264851485148514</v>
      </c>
      <c r="P319" s="363"/>
      <c r="Q319" s="401">
        <f>Q282/Q306</f>
        <v>0.34571380217217856</v>
      </c>
      <c r="R319" s="363"/>
      <c r="S319" s="378">
        <f>S282/S306</f>
        <v>0.31965294762587498</v>
      </c>
      <c r="T319" s="388">
        <f>T282/T306</f>
        <v>0.32538837415284183</v>
      </c>
      <c r="U319" s="388">
        <f>U282/U306</f>
        <v>0.27229903690283208</v>
      </c>
      <c r="V319" s="388">
        <f>V282/V306</f>
        <v>0.28335483870967737</v>
      </c>
      <c r="W319" s="401">
        <f>W282/W306</f>
        <v>0.29828558579642711</v>
      </c>
      <c r="X319" s="364"/>
      <c r="Y319" s="378">
        <f>Y282/Y306</f>
        <v>0.14647097371058515</v>
      </c>
      <c r="Z319" s="388">
        <f>Z282/Z306</f>
        <v>0.13649713436993902</v>
      </c>
      <c r="AA319" s="388">
        <f>AA282/AA306</f>
        <v>0.15127399073461287</v>
      </c>
      <c r="AB319" s="388">
        <f>AB282/AB306</f>
        <v>0.17700906712456704</v>
      </c>
      <c r="AC319" s="401">
        <f>AC282/AC306</f>
        <v>0.15549108872530026</v>
      </c>
      <c r="AD319" s="357"/>
      <c r="AE319" s="362"/>
      <c r="AF319" s="363"/>
      <c r="AG319" s="363"/>
      <c r="AH319" s="364"/>
      <c r="AI319" s="686"/>
      <c r="AJ319" s="357"/>
      <c r="AK319" s="357"/>
      <c r="CR319"/>
      <c r="CX319"/>
      <c r="DD319"/>
    </row>
    <row r="320" spans="1:108" ht="11.25" hidden="1" customHeight="1" outlineLevel="1">
      <c r="A320" s="362" t="s">
        <v>253</v>
      </c>
      <c r="B320" s="363"/>
      <c r="C320" s="401"/>
      <c r="D320" s="363"/>
      <c r="E320" s="401"/>
      <c r="F320" s="363"/>
      <c r="G320" s="401"/>
      <c r="H320" s="363"/>
      <c r="I320" s="401"/>
      <c r="J320" s="363"/>
      <c r="K320" s="401"/>
      <c r="L320" s="363"/>
      <c r="M320" s="401">
        <f>M284/M306</f>
        <v>0.10588885180624448</v>
      </c>
      <c r="N320" s="363"/>
      <c r="O320" s="401">
        <f>O284/O306</f>
        <v>0.10616491336633664</v>
      </c>
      <c r="P320" s="363"/>
      <c r="Q320" s="401">
        <f>Q284/Q306</f>
        <v>8.2186040139367589E-2</v>
      </c>
      <c r="R320" s="363"/>
      <c r="S320" s="378">
        <f>S284/S306</f>
        <v>6.9199628911191705E-2</v>
      </c>
      <c r="T320" s="388">
        <f>T284/T306</f>
        <v>6.8678283888817027E-2</v>
      </c>
      <c r="U320" s="388">
        <f>U284/U306</f>
        <v>7.1393153428053774E-2</v>
      </c>
      <c r="V320" s="388">
        <f>V284/V306</f>
        <v>5.6066359447004617E-2</v>
      </c>
      <c r="W320" s="401">
        <f>W284/W306</f>
        <v>6.5520358668667428E-2</v>
      </c>
      <c r="X320" s="364"/>
      <c r="Y320" s="378">
        <f>Y284/Y306</f>
        <v>4.1014570966001078E-2</v>
      </c>
      <c r="Z320" s="388">
        <f>Z284/Z306</f>
        <v>3.3636539090886208E-2</v>
      </c>
      <c r="AA320" s="388">
        <f>AA284/AA306</f>
        <v>4.0217571144937132E-2</v>
      </c>
      <c r="AB320" s="388">
        <f>AB284/AB306</f>
        <v>3.3965460230535771E-3</v>
      </c>
      <c r="AC320" s="401">
        <f>AC284/AC306</f>
        <v>2.6562378922898099E-2</v>
      </c>
      <c r="AD320" s="357"/>
      <c r="AE320" s="362"/>
      <c r="AF320" s="363"/>
      <c r="AG320" s="363"/>
      <c r="AH320" s="364"/>
      <c r="AI320" s="686"/>
      <c r="AJ320" s="357"/>
      <c r="AK320" s="357"/>
      <c r="CR320"/>
      <c r="CX320"/>
      <c r="DD320"/>
    </row>
    <row r="321" spans="1:108" ht="11.25" hidden="1" customHeight="1" outlineLevel="1">
      <c r="A321" s="418" t="s">
        <v>313</v>
      </c>
      <c r="B321" s="363"/>
      <c r="C321" s="401"/>
      <c r="D321" s="363"/>
      <c r="E321" s="401"/>
      <c r="F321" s="363"/>
      <c r="G321" s="401"/>
      <c r="H321" s="363"/>
      <c r="I321" s="401"/>
      <c r="J321" s="363"/>
      <c r="K321" s="401"/>
      <c r="L321" s="363"/>
      <c r="M321" s="401">
        <f>M286/M306</f>
        <v>4.8757283862528008E-3</v>
      </c>
      <c r="N321" s="363"/>
      <c r="O321" s="401">
        <f>O286/O306</f>
        <v>7.6964727722772276E-3</v>
      </c>
      <c r="P321" s="363"/>
      <c r="Q321" s="401">
        <f>Q286/Q306</f>
        <v>5.5553615417471454E-3</v>
      </c>
      <c r="R321" s="363"/>
      <c r="S321" s="378">
        <f>S286/S306</f>
        <v>6.7892384245593325E-3</v>
      </c>
      <c r="T321" s="388">
        <f>T286/T306</f>
        <v>2.3188001950578711E-3</v>
      </c>
      <c r="U321" s="388">
        <f>U286/U306</f>
        <v>2.460188805187375E-3</v>
      </c>
      <c r="V321" s="388">
        <f>V286/V306</f>
        <v>3.6866359447004641E-4</v>
      </c>
      <c r="W321" s="401">
        <f>W286/W306</f>
        <v>2.7189250953344626E-3</v>
      </c>
      <c r="X321" s="364"/>
      <c r="Y321" s="378">
        <f>Y286/Y306</f>
        <v>7.3240305296430499E-4</v>
      </c>
      <c r="Z321" s="388">
        <f>Z286/Z306</f>
        <v>3.2726082687902262E-4</v>
      </c>
      <c r="AA321" s="388">
        <f>AA286/AA306</f>
        <v>7.9003970880211789E-4</v>
      </c>
      <c r="AB321" s="388">
        <f>AB286/AB306</f>
        <v>6.7002743921893934E-4</v>
      </c>
      <c r="AC321" s="401">
        <f>AC286/AC306</f>
        <v>6.3153816350251823E-4</v>
      </c>
      <c r="AD321" s="357"/>
      <c r="AE321" s="362"/>
      <c r="AF321" s="363"/>
      <c r="AG321" s="363"/>
      <c r="AH321" s="364"/>
      <c r="AI321" s="686"/>
      <c r="AJ321" s="357"/>
      <c r="AK321" s="357"/>
      <c r="CR321"/>
      <c r="CX321"/>
      <c r="DD321"/>
    </row>
    <row r="322" spans="1:108" ht="11.25" hidden="1" customHeight="1" outlineLevel="1">
      <c r="A322" s="368" t="s">
        <v>24</v>
      </c>
      <c r="B322" s="363"/>
      <c r="C322" s="562"/>
      <c r="D322" s="363"/>
      <c r="E322" s="562"/>
      <c r="F322" s="363"/>
      <c r="G322" s="562"/>
      <c r="H322" s="363"/>
      <c r="I322" s="562"/>
      <c r="J322" s="363"/>
      <c r="K322" s="562"/>
      <c r="L322" s="363"/>
      <c r="M322" s="562"/>
      <c r="N322" s="363"/>
      <c r="O322" s="562"/>
      <c r="P322" s="363"/>
      <c r="Q322" s="562">
        <f>Q298/Q306</f>
        <v>0.21141804095601646</v>
      </c>
      <c r="R322" s="363"/>
      <c r="S322" s="563">
        <f>S298/S306</f>
        <v>0.22452981361221219</v>
      </c>
      <c r="T322" s="564">
        <f>T298/T306</f>
        <v>0.23444761800503575</v>
      </c>
      <c r="U322" s="564">
        <f>U298/U306</f>
        <v>0.23378468580146847</v>
      </c>
      <c r="V322" s="564">
        <f>V298/V306</f>
        <v>0.26659539170506907</v>
      </c>
      <c r="W322" s="562">
        <f>W298/W306</f>
        <v>0.24213347283598802</v>
      </c>
      <c r="X322" s="364"/>
      <c r="Y322" s="563">
        <f>Y298/Y306</f>
        <v>0.10479145786755067</v>
      </c>
      <c r="Z322" s="564">
        <f>Z298/Z306</f>
        <v>0.12702335299695397</v>
      </c>
      <c r="AA322" s="564">
        <f>AA298/AA306</f>
        <v>0.11863831899404367</v>
      </c>
      <c r="AB322" s="564">
        <f>AB298/AB306</f>
        <v>0.12120825380987459</v>
      </c>
      <c r="AC322" s="562">
        <f>AC298/AC306</f>
        <v>0.11864877954281285</v>
      </c>
      <c r="AD322" s="357"/>
      <c r="AE322" s="362"/>
      <c r="AF322" s="363"/>
      <c r="AG322" s="363"/>
      <c r="AH322" s="364"/>
      <c r="AI322" s="686"/>
      <c r="AJ322" s="357"/>
      <c r="AK322" s="357"/>
      <c r="CR322"/>
      <c r="CX322"/>
      <c r="DD322"/>
    </row>
    <row r="323" spans="1:108" ht="11.25" hidden="1" customHeight="1" outlineLevel="1">
      <c r="A323" s="362" t="s">
        <v>252</v>
      </c>
      <c r="B323" s="363"/>
      <c r="C323" s="401"/>
      <c r="D323" s="363"/>
      <c r="E323" s="401"/>
      <c r="F323" s="363"/>
      <c r="G323" s="401"/>
      <c r="H323" s="363"/>
      <c r="I323" s="401"/>
      <c r="J323" s="363"/>
      <c r="K323" s="401"/>
      <c r="L323" s="363"/>
      <c r="M323" s="401"/>
      <c r="N323" s="363"/>
      <c r="O323" s="401"/>
      <c r="P323" s="363"/>
      <c r="Q323" s="401">
        <f>Q294/Q306</f>
        <v>0.17617856672746762</v>
      </c>
      <c r="R323" s="363"/>
      <c r="S323" s="378">
        <f>S294/S306</f>
        <v>0.18904444631863035</v>
      </c>
      <c r="T323" s="388">
        <f>T294/T306</f>
        <v>0.19617248688832942</v>
      </c>
      <c r="U323" s="388">
        <f>U294/U306</f>
        <v>0.19279107466386955</v>
      </c>
      <c r="V323" s="388">
        <f>V294/V306</f>
        <v>0.22932350230414741</v>
      </c>
      <c r="W323" s="401">
        <f>W294/W306</f>
        <v>0.20412358833867938</v>
      </c>
      <c r="X323" s="364"/>
      <c r="Y323" s="378">
        <f>Y294/Y306</f>
        <v>8.2414617223036002E-2</v>
      </c>
      <c r="Z323" s="388">
        <f>Z294/Z306</f>
        <v>0.10891492057631472</v>
      </c>
      <c r="AA323" s="388">
        <f>AA294/AA306</f>
        <v>9.8320648577101266E-2</v>
      </c>
      <c r="AB323" s="388">
        <f>AB294/AB306</f>
        <v>0.10212842482640194</v>
      </c>
      <c r="AC323" s="401">
        <f>AC294/AC306</f>
        <v>9.8840565672220049E-2</v>
      </c>
      <c r="AD323" s="357"/>
      <c r="AE323" s="362"/>
      <c r="AF323" s="363"/>
      <c r="AG323" s="363"/>
      <c r="AH323" s="364"/>
      <c r="AI323" s="686"/>
      <c r="AJ323" s="357"/>
      <c r="AK323" s="357"/>
      <c r="CR323"/>
      <c r="CX323"/>
      <c r="DD323"/>
    </row>
    <row r="324" spans="1:108" ht="11.25" hidden="1" customHeight="1" outlineLevel="1">
      <c r="A324" s="362" t="s">
        <v>253</v>
      </c>
      <c r="B324" s="363"/>
      <c r="C324" s="401"/>
      <c r="D324" s="363"/>
      <c r="E324" s="401"/>
      <c r="F324" s="363"/>
      <c r="G324" s="401"/>
      <c r="H324" s="363"/>
      <c r="I324" s="401"/>
      <c r="J324" s="363"/>
      <c r="K324" s="401"/>
      <c r="L324" s="363"/>
      <c r="M324" s="401"/>
      <c r="N324" s="363"/>
      <c r="O324" s="401"/>
      <c r="P324" s="363"/>
      <c r="Q324" s="401">
        <f>Q296/Q306</f>
        <v>3.5239474228548867E-2</v>
      </c>
      <c r="R324" s="363"/>
      <c r="S324" s="378">
        <f>S296/S306</f>
        <v>3.548536729358185E-2</v>
      </c>
      <c r="T324" s="388">
        <f>T296/T306</f>
        <v>3.8275131116706315E-2</v>
      </c>
      <c r="U324" s="388">
        <f>U296/U306</f>
        <v>4.0993611137598931E-2</v>
      </c>
      <c r="V324" s="388">
        <f>V296/V306</f>
        <v>3.7271889400921653E-2</v>
      </c>
      <c r="W324" s="401">
        <f>W296/W306</f>
        <v>3.8009884497308612E-2</v>
      </c>
      <c r="X324" s="364"/>
      <c r="Y324" s="378">
        <f>Y296/Y306</f>
        <v>2.2376840644514687E-2</v>
      </c>
      <c r="Z324" s="388">
        <f>Z296/Z306</f>
        <v>1.810843242063925E-2</v>
      </c>
      <c r="AA324" s="388">
        <f>AA296/AA306</f>
        <v>2.0317670416942421E-2</v>
      </c>
      <c r="AB324" s="388">
        <f>AB296/AB306</f>
        <v>1.9079828983472651E-2</v>
      </c>
      <c r="AC324" s="401">
        <f>AC296/AC306</f>
        <v>1.980821387059279E-2</v>
      </c>
      <c r="AD324" s="357"/>
      <c r="AE324" s="362"/>
      <c r="AF324" s="363"/>
      <c r="AG324" s="363"/>
      <c r="AH324" s="364"/>
      <c r="AI324" s="686"/>
      <c r="AJ324" s="357"/>
      <c r="AK324" s="357"/>
      <c r="CR324"/>
      <c r="CX324"/>
      <c r="DD324"/>
    </row>
    <row r="325" spans="1:108" ht="11.25" hidden="1" customHeight="1" outlineLevel="1">
      <c r="A325" s="372" t="s">
        <v>338</v>
      </c>
      <c r="B325" s="360"/>
      <c r="C325" s="558"/>
      <c r="D325" s="360"/>
      <c r="E325" s="558"/>
      <c r="F325" s="360"/>
      <c r="G325" s="558"/>
      <c r="H325" s="360"/>
      <c r="I325" s="558"/>
      <c r="J325" s="360"/>
      <c r="K325" s="558"/>
      <c r="L325" s="360"/>
      <c r="M325" s="558"/>
      <c r="N325" s="360"/>
      <c r="O325" s="558"/>
      <c r="P325" s="360"/>
      <c r="Q325" s="558"/>
      <c r="R325" s="360"/>
      <c r="S325" s="560"/>
      <c r="T325" s="561"/>
      <c r="U325" s="561"/>
      <c r="V325" s="561"/>
      <c r="W325" s="558"/>
      <c r="X325" s="361"/>
      <c r="Y325" s="560">
        <f>Y256/Y306</f>
        <v>0.54329369362423874</v>
      </c>
      <c r="Z325" s="561">
        <f>Z256/Z306</f>
        <v>0.52111251898532363</v>
      </c>
      <c r="AA325" s="561">
        <f>AA256/AA306</f>
        <v>0.55897584381204501</v>
      </c>
      <c r="AB325" s="561">
        <f>AB256/AB306</f>
        <v>0.53081836165238649</v>
      </c>
      <c r="AC325" s="558">
        <f>AC256/AC306</f>
        <v>0.53767919411080989</v>
      </c>
      <c r="AD325" s="356"/>
      <c r="AE325" s="560">
        <f>AE256/AE306</f>
        <v>0.59818567665956479</v>
      </c>
      <c r="AF325" s="561">
        <f>AF256/AF306</f>
        <v>0.51560528470293621</v>
      </c>
      <c r="AG325" s="561">
        <f>AG256/AG306</f>
        <v>0.58326310397250314</v>
      </c>
      <c r="AH325" s="561">
        <f>AH256/AH306</f>
        <v>0.5990797594681645</v>
      </c>
      <c r="AI325" s="558">
        <f>AI256/AI306</f>
        <v>0.57194472044079125</v>
      </c>
      <c r="AJ325" s="356"/>
      <c r="AK325" s="558">
        <f>AK256/AK306</f>
        <v>0.54924078091106299</v>
      </c>
      <c r="CR325"/>
      <c r="CX325"/>
      <c r="DD325"/>
    </row>
    <row r="326" spans="1:108" ht="11.25" hidden="1" customHeight="1" outlineLevel="1">
      <c r="A326" s="362" t="s">
        <v>252</v>
      </c>
      <c r="B326" s="363"/>
      <c r="C326" s="401"/>
      <c r="D326" s="363"/>
      <c r="E326" s="401"/>
      <c r="F326" s="363"/>
      <c r="G326" s="401"/>
      <c r="H326" s="363"/>
      <c r="I326" s="401"/>
      <c r="J326" s="363"/>
      <c r="K326" s="401"/>
      <c r="L326" s="363"/>
      <c r="M326" s="401"/>
      <c r="N326" s="363"/>
      <c r="O326" s="401"/>
      <c r="P326" s="363"/>
      <c r="Q326" s="401"/>
      <c r="R326" s="363"/>
      <c r="S326" s="378"/>
      <c r="T326" s="388"/>
      <c r="U326" s="388"/>
      <c r="V326" s="388"/>
      <c r="W326" s="401"/>
      <c r="X326" s="364"/>
      <c r="Y326" s="378">
        <f>Y252/Y306</f>
        <v>0.41941639040937473</v>
      </c>
      <c r="Z326" s="388">
        <f>Z252/Z306</f>
        <v>0.43125844374889866</v>
      </c>
      <c r="AA326" s="388">
        <f>AA252/AA306</f>
        <v>0.44904450694904041</v>
      </c>
      <c r="AB326" s="388">
        <f>AB252/AB306</f>
        <v>0.43075512962565493</v>
      </c>
      <c r="AC326" s="401">
        <f>AC252/AC306</f>
        <v>0.43287485470747777</v>
      </c>
      <c r="AD326" s="357"/>
      <c r="AE326" s="378">
        <f>AE252/AE306</f>
        <v>0.47629552584341295</v>
      </c>
      <c r="AF326" s="388">
        <f>AF252/AF306</f>
        <v>0.41804697156983939</v>
      </c>
      <c r="AG326" s="388">
        <f>AG252/AG306</f>
        <v>0.45552415890012554</v>
      </c>
      <c r="AH326" s="388">
        <f>AH252/AH306</f>
        <v>0.50664318466688885</v>
      </c>
      <c r="AI326" s="401">
        <f>AI252/AI306</f>
        <v>0.46400505826031974</v>
      </c>
      <c r="AJ326" s="357"/>
      <c r="AK326" s="401">
        <f>AK252/AK306</f>
        <v>0.44511930585683301</v>
      </c>
      <c r="CR326"/>
      <c r="CX326"/>
      <c r="DD326"/>
    </row>
    <row r="327" spans="1:108" ht="11.25" hidden="1" customHeight="1" outlineLevel="1">
      <c r="A327" s="362" t="s">
        <v>253</v>
      </c>
      <c r="B327" s="363"/>
      <c r="C327" s="401"/>
      <c r="D327" s="363"/>
      <c r="E327" s="401"/>
      <c r="F327" s="363"/>
      <c r="G327" s="401"/>
      <c r="H327" s="363"/>
      <c r="I327" s="401"/>
      <c r="J327" s="363"/>
      <c r="K327" s="401"/>
      <c r="L327" s="363"/>
      <c r="M327" s="401"/>
      <c r="N327" s="363"/>
      <c r="O327" s="401"/>
      <c r="P327" s="363"/>
      <c r="Q327" s="401"/>
      <c r="R327" s="363"/>
      <c r="S327" s="378"/>
      <c r="T327" s="388"/>
      <c r="U327" s="388"/>
      <c r="V327" s="388"/>
      <c r="W327" s="401"/>
      <c r="X327" s="364"/>
      <c r="Y327" s="378">
        <f>Y254/Y306</f>
        <v>0.12387730321486393</v>
      </c>
      <c r="Z327" s="388">
        <f>Z254/Z306</f>
        <v>8.9854075236424982E-2</v>
      </c>
      <c r="AA327" s="388">
        <f>AA254/AA306</f>
        <v>0.10993133686300464</v>
      </c>
      <c r="AB327" s="388">
        <f>AB254/AB306</f>
        <v>0.10006323202673148</v>
      </c>
      <c r="AC327" s="401">
        <f>AC254/AC306</f>
        <v>0.10480433940333203</v>
      </c>
      <c r="AD327" s="357"/>
      <c r="AE327" s="378">
        <f>AE254/AE306</f>
        <v>0.12189015081615193</v>
      </c>
      <c r="AF327" s="388">
        <f>AF254/AF306</f>
        <v>9.7558313133096847E-2</v>
      </c>
      <c r="AG327" s="388">
        <f>AG254/AG306</f>
        <v>0.12773894507237754</v>
      </c>
      <c r="AH327" s="388">
        <f>AH254/AH306</f>
        <v>9.2436574801275651E-2</v>
      </c>
      <c r="AI327" s="401">
        <f>AI254/AI306</f>
        <v>0.10793966218047149</v>
      </c>
      <c r="AJ327" s="357"/>
      <c r="AK327" s="401">
        <f>AK254/AK306</f>
        <v>0.10412147505422993</v>
      </c>
      <c r="CR327"/>
      <c r="CX327"/>
      <c r="DD327"/>
    </row>
    <row r="328" spans="1:108" ht="11.25" hidden="1" customHeight="1" outlineLevel="1">
      <c r="A328" s="368" t="s">
        <v>339</v>
      </c>
      <c r="B328" s="363"/>
      <c r="C328" s="562"/>
      <c r="D328" s="363"/>
      <c r="E328" s="562"/>
      <c r="F328" s="363"/>
      <c r="G328" s="562"/>
      <c r="H328" s="363"/>
      <c r="I328" s="562"/>
      <c r="J328" s="363"/>
      <c r="K328" s="562"/>
      <c r="L328" s="363"/>
      <c r="M328" s="562"/>
      <c r="N328" s="363"/>
      <c r="O328" s="562"/>
      <c r="P328" s="363"/>
      <c r="Q328" s="562"/>
      <c r="R328" s="363"/>
      <c r="S328" s="563"/>
      <c r="T328" s="564"/>
      <c r="U328" s="564"/>
      <c r="V328" s="564"/>
      <c r="W328" s="562"/>
      <c r="X328" s="364"/>
      <c r="Y328" s="563">
        <f>Y266/Y306</f>
        <v>0.5186907331740036</v>
      </c>
      <c r="Z328" s="564">
        <f>Z266/Z306</f>
        <v>0.52766193117453075</v>
      </c>
      <c r="AA328" s="564">
        <f>AA266/AA306</f>
        <v>0.49008107213765717</v>
      </c>
      <c r="AB328" s="564">
        <f>AB266/AB306</f>
        <v>0.49746491782737051</v>
      </c>
      <c r="AC328" s="562">
        <f>AC266/AC306</f>
        <v>0.50697404106935284</v>
      </c>
      <c r="AD328" s="357"/>
      <c r="AE328" s="563">
        <f>AE266/AE306</f>
        <v>0.47022261738999149</v>
      </c>
      <c r="AF328" s="564">
        <f>AF266/AF306</f>
        <v>0.52580546770905245</v>
      </c>
      <c r="AG328" s="564">
        <f>AG266/AG306</f>
        <v>0.46484813933505187</v>
      </c>
      <c r="AH328" s="564">
        <f>AH266/AH306</f>
        <v>0.44294984689101508</v>
      </c>
      <c r="AI328" s="562">
        <f>AI266/AI306</f>
        <v>0.476921687291121</v>
      </c>
      <c r="AJ328" s="357"/>
      <c r="AK328" s="562">
        <f>AK266/AK306</f>
        <v>0.49718004338394789</v>
      </c>
      <c r="CR328"/>
      <c r="CX328"/>
      <c r="DD328"/>
    </row>
    <row r="329" spans="1:108" ht="11.25" hidden="1" customHeight="1" outlineLevel="1">
      <c r="A329" s="362" t="s">
        <v>252</v>
      </c>
      <c r="B329" s="363"/>
      <c r="C329" s="401"/>
      <c r="D329" s="363"/>
      <c r="E329" s="401"/>
      <c r="F329" s="363"/>
      <c r="G329" s="401"/>
      <c r="H329" s="363"/>
      <c r="I329" s="401"/>
      <c r="J329" s="363"/>
      <c r="K329" s="401"/>
      <c r="L329" s="363"/>
      <c r="M329" s="401"/>
      <c r="N329" s="363"/>
      <c r="O329" s="401"/>
      <c r="P329" s="363"/>
      <c r="Q329" s="401"/>
      <c r="R329" s="363"/>
      <c r="S329" s="378"/>
      <c r="T329" s="388"/>
      <c r="U329" s="388"/>
      <c r="V329" s="388"/>
      <c r="W329" s="401"/>
      <c r="X329" s="364"/>
      <c r="Y329" s="378">
        <f>Y262/Y306</f>
        <v>0.40401183409143476</v>
      </c>
      <c r="Z329" s="388">
        <f>Z262/Z306</f>
        <v>0.40776279463963555</v>
      </c>
      <c r="AA329" s="388">
        <f>AA262/AA306</f>
        <v>0.37975678358702847</v>
      </c>
      <c r="AB329" s="388">
        <f>AB262/AB306</f>
        <v>0.36650210870107469</v>
      </c>
      <c r="AC329" s="401">
        <f>AC262/AC306</f>
        <v>0.3866718326230143</v>
      </c>
      <c r="AD329" s="357"/>
      <c r="AE329" s="378">
        <f>AE262/AE306</f>
        <v>0.35153248670502779</v>
      </c>
      <c r="AF329" s="388">
        <f>AF262/AF306</f>
        <v>0.45386158958470463</v>
      </c>
      <c r="AG329" s="388">
        <f>AG262/AG306</f>
        <v>0.34421062198426866</v>
      </c>
      <c r="AH329" s="388">
        <f>AH262/AH306</f>
        <v>0.35666936392339804</v>
      </c>
      <c r="AI329" s="401">
        <f>AI262/AI306</f>
        <v>0.38018245867581973</v>
      </c>
      <c r="AJ329" s="357"/>
      <c r="AK329" s="401">
        <f>AK262/AK306</f>
        <v>0.44598698481561821</v>
      </c>
      <c r="CR329"/>
      <c r="CX329"/>
      <c r="DD329"/>
    </row>
    <row r="330" spans="1:108" ht="11.25" hidden="1" customHeight="1" outlineLevel="1">
      <c r="A330" s="362" t="s">
        <v>253</v>
      </c>
      <c r="B330" s="363"/>
      <c r="C330" s="401"/>
      <c r="D330" s="363"/>
      <c r="E330" s="401"/>
      <c r="F330" s="363"/>
      <c r="G330" s="401"/>
      <c r="H330" s="363"/>
      <c r="I330" s="401"/>
      <c r="J330" s="363"/>
      <c r="K330" s="401"/>
      <c r="L330" s="363"/>
      <c r="M330" s="401"/>
      <c r="N330" s="363"/>
      <c r="O330" s="401"/>
      <c r="P330" s="363"/>
      <c r="Q330" s="401"/>
      <c r="R330" s="363"/>
      <c r="S330" s="378"/>
      <c r="T330" s="388"/>
      <c r="U330" s="388"/>
      <c r="V330" s="388"/>
      <c r="W330" s="401"/>
      <c r="X330" s="364"/>
      <c r="Y330" s="378">
        <f>Y264/Y306</f>
        <v>0.11467889908256881</v>
      </c>
      <c r="Z330" s="388">
        <f>Z264/Z306</f>
        <v>0.11989913653489526</v>
      </c>
      <c r="AA330" s="388">
        <f>AA264/AA306</f>
        <v>0.11032428855062873</v>
      </c>
      <c r="AB330" s="388">
        <f>AB264/AB306</f>
        <v>0.13096280912629582</v>
      </c>
      <c r="AC330" s="401">
        <f>AC264/AC306</f>
        <v>0.12030220844633864</v>
      </c>
      <c r="AD330" s="357"/>
      <c r="AE330" s="378">
        <f>AE264/AE306</f>
        <v>0.11869013068496369</v>
      </c>
      <c r="AF330" s="388">
        <f>AF264/AF306</f>
        <v>7.1943878124347868E-2</v>
      </c>
      <c r="AG330" s="388">
        <f>AG264/AG306</f>
        <v>0.12063751735078326</v>
      </c>
      <c r="AH330" s="388">
        <f>AH264/AH306</f>
        <v>8.6280482967617034E-2</v>
      </c>
      <c r="AI330" s="401">
        <f>AI264/AI306</f>
        <v>9.6739228615301223E-2</v>
      </c>
      <c r="AJ330" s="357"/>
      <c r="AK330" s="401">
        <f>AK264/AK306</f>
        <v>5.1193058568329723E-2</v>
      </c>
      <c r="CR330"/>
      <c r="CX330"/>
      <c r="DD330"/>
    </row>
    <row r="331" spans="1:108" ht="11.25" hidden="1" customHeight="1" outlineLevel="1">
      <c r="A331" s="377" t="s">
        <v>17</v>
      </c>
      <c r="B331" s="374"/>
      <c r="C331" s="690"/>
      <c r="D331" s="374"/>
      <c r="E331" s="690"/>
      <c r="F331" s="374"/>
      <c r="G331" s="690"/>
      <c r="H331" s="374"/>
      <c r="I331" s="690"/>
      <c r="J331" s="374"/>
      <c r="K331" s="690"/>
      <c r="L331" s="374"/>
      <c r="M331" s="690"/>
      <c r="N331" s="374"/>
      <c r="O331" s="691">
        <f>O303/O306</f>
        <v>-2.8057493249324934E-3</v>
      </c>
      <c r="P331" s="449"/>
      <c r="Q331" s="691">
        <f>Q303/Q306</f>
        <v>-1.3861540403972568E-2</v>
      </c>
      <c r="R331" s="449"/>
      <c r="S331" s="645">
        <f>S303/S306</f>
        <v>-1.9271316521885809E-2</v>
      </c>
      <c r="T331" s="646">
        <f>T303/T306</f>
        <v>-2.0082999114278039E-2</v>
      </c>
      <c r="U331" s="646">
        <f>U303/U306</f>
        <v>-2.8254028797558881E-2</v>
      </c>
      <c r="V331" s="646">
        <f>V303/V306</f>
        <v>-1.5727188940092167E-2</v>
      </c>
      <c r="W331" s="691">
        <f>W303/W306</f>
        <v>-2.0516985824878282E-2</v>
      </c>
      <c r="X331" s="375"/>
      <c r="Y331" s="645">
        <f>Y247/Y248</f>
        <v>-6.1984426798242238E-2</v>
      </c>
      <c r="Z331" s="646">
        <f>Z247/Z248</f>
        <v>-4.8774450159854328E-2</v>
      </c>
      <c r="AA331" s="646">
        <f>AA247/AA248</f>
        <v>-4.9056915949702184E-2</v>
      </c>
      <c r="AB331" s="647">
        <f>AB247/AB248</f>
        <v>-2.8283279479757058E-2</v>
      </c>
      <c r="AC331" s="691">
        <f>AC247/AC248</f>
        <v>-4.4653235180162731E-2</v>
      </c>
      <c r="AD331" s="376"/>
      <c r="AE331" s="645">
        <f>AE247/AE248</f>
        <v>-6.8408294049556284E-2</v>
      </c>
      <c r="AF331" s="646">
        <f>AF247/AF248</f>
        <v>-4.1410752411988515E-2</v>
      </c>
      <c r="AG331" s="646">
        <f>AG247/AG248</f>
        <v>-4.8111243307555028E-2</v>
      </c>
      <c r="AH331" s="647">
        <f>AH247/AH248</f>
        <v>-4.2029606359179406E-2</v>
      </c>
      <c r="AI331" s="691">
        <f>AI247/AI248</f>
        <v>-4.8866407731912205E-2</v>
      </c>
      <c r="AJ331" s="376"/>
      <c r="AK331" s="691">
        <f>AK247/AK248</f>
        <v>-4.6420824295010842E-2</v>
      </c>
      <c r="CR331"/>
      <c r="CX331"/>
      <c r="DD331"/>
    </row>
    <row r="332" spans="1:108" ht="11.25" hidden="1" customHeight="1" outlineLevel="1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366"/>
      <c r="Y332" s="363"/>
      <c r="Z332" s="363"/>
      <c r="AA332" s="363"/>
      <c r="AB332" s="363"/>
      <c r="AD332" s="366"/>
      <c r="AE332" s="363"/>
      <c r="AF332" s="363"/>
      <c r="AG332" s="363"/>
      <c r="AH332" s="363"/>
      <c r="AJ332" s="366"/>
      <c r="AK332" s="363"/>
      <c r="CR332"/>
      <c r="CX332"/>
      <c r="DD332"/>
    </row>
    <row r="333" spans="1:108" ht="11.25" hidden="1" customHeight="1" outlineLevel="1" thickBot="1">
      <c r="A333" s="73" t="s">
        <v>254</v>
      </c>
      <c r="B333" s="74"/>
      <c r="C333" s="75"/>
      <c r="D333" s="74"/>
      <c r="E333" s="75"/>
      <c r="F333" s="74"/>
      <c r="G333" s="75"/>
      <c r="H333" s="74"/>
      <c r="I333" s="75"/>
      <c r="J333" s="74"/>
      <c r="K333" s="75"/>
      <c r="L333" s="74"/>
      <c r="M333" s="75"/>
      <c r="N333" s="74"/>
      <c r="O333" s="75"/>
      <c r="P333" s="74"/>
      <c r="Q333" s="75"/>
      <c r="R333" s="74"/>
      <c r="S333" s="74"/>
      <c r="T333" s="74"/>
      <c r="U333" s="74"/>
      <c r="V333" s="74"/>
      <c r="W333" s="74"/>
      <c r="X333" s="167"/>
      <c r="Y333" s="639"/>
      <c r="Z333" s="639"/>
      <c r="AA333" s="639"/>
      <c r="AB333" s="639"/>
      <c r="AC333" s="74"/>
      <c r="AD333" s="74"/>
      <c r="AE333" s="639"/>
      <c r="AF333" s="639"/>
      <c r="AG333" s="639"/>
      <c r="AH333" s="639"/>
      <c r="AI333" s="74"/>
      <c r="AJ333" s="74"/>
      <c r="AK333" s="639"/>
      <c r="CR333"/>
      <c r="CX333"/>
      <c r="DD333"/>
    </row>
    <row r="334" spans="1:108" ht="11.25" hidden="1" customHeight="1" outlineLevel="1">
      <c r="A334" s="372" t="s">
        <v>23</v>
      </c>
      <c r="B334" s="360"/>
      <c r="C334" s="572"/>
      <c r="D334" s="360"/>
      <c r="E334" s="572" t="str">
        <f>E277</f>
        <v>NM</v>
      </c>
      <c r="F334" s="360"/>
      <c r="G334" s="572" t="str">
        <f>G277</f>
        <v>NM</v>
      </c>
      <c r="H334" s="360"/>
      <c r="I334" s="572" t="str">
        <f>I277</f>
        <v>NM</v>
      </c>
      <c r="J334" s="360"/>
      <c r="K334" s="572" t="str">
        <f>K277</f>
        <v>NM</v>
      </c>
      <c r="L334" s="360"/>
      <c r="M334" s="572">
        <f>M277</f>
        <v>9.2434557483938917E-2</v>
      </c>
      <c r="N334" s="360"/>
      <c r="O334" s="569">
        <f>O277</f>
        <v>0.16406565434916187</v>
      </c>
      <c r="P334" s="360"/>
      <c r="Q334" s="569">
        <f>Q277</f>
        <v>3.5702975373618218E-2</v>
      </c>
      <c r="R334" s="360"/>
      <c r="S334" s="359"/>
      <c r="T334" s="360"/>
      <c r="U334" s="360"/>
      <c r="V334" s="360"/>
      <c r="W334" s="569">
        <f>W277</f>
        <v>0.30682819222900926</v>
      </c>
      <c r="X334" s="361"/>
      <c r="Y334" s="705">
        <f>Y277</f>
        <v>0.37208442296008659</v>
      </c>
      <c r="Z334" s="706">
        <f>Z277</f>
        <v>0.36271827781044652</v>
      </c>
      <c r="AA334" s="706">
        <f>AA277</f>
        <v>0.27552908646176744</v>
      </c>
      <c r="AB334" s="710" t="str">
        <f>AB277</f>
        <v>ND</v>
      </c>
      <c r="AC334" s="707">
        <f>AC277</f>
        <v>0.35924390814587004</v>
      </c>
      <c r="AD334" s="356"/>
      <c r="AE334" s="359"/>
      <c r="AF334" s="360"/>
      <c r="AG334" s="360"/>
      <c r="AH334" s="361"/>
      <c r="AI334" s="685"/>
      <c r="AJ334" s="356"/>
      <c r="AK334" s="694"/>
      <c r="CR334"/>
      <c r="CX334"/>
      <c r="DD334"/>
    </row>
    <row r="335" spans="1:108" ht="11.25" hidden="1" customHeight="1" outlineLevel="1">
      <c r="A335" s="362" t="s">
        <v>252</v>
      </c>
      <c r="B335" s="363"/>
      <c r="C335" s="549"/>
      <c r="D335" s="363"/>
      <c r="E335" s="549" t="str">
        <f>E273</f>
        <v>NM</v>
      </c>
      <c r="F335" s="363"/>
      <c r="G335" s="549" t="str">
        <f>G273</f>
        <v>NM</v>
      </c>
      <c r="H335" s="363"/>
      <c r="I335" s="549" t="str">
        <f>I273</f>
        <v>NM</v>
      </c>
      <c r="J335" s="363"/>
      <c r="K335" s="549" t="str">
        <f>K273</f>
        <v>NM</v>
      </c>
      <c r="L335" s="363"/>
      <c r="M335" s="549" t="str">
        <f>M273</f>
        <v>NM</v>
      </c>
      <c r="N335" s="363"/>
      <c r="O335" s="406">
        <f>O273</f>
        <v>0.2380785193916064</v>
      </c>
      <c r="P335" s="363"/>
      <c r="Q335" s="406">
        <f>Q273</f>
        <v>4.5686564443274014E-2</v>
      </c>
      <c r="R335" s="363"/>
      <c r="S335" s="362"/>
      <c r="T335" s="363"/>
      <c r="U335" s="363"/>
      <c r="V335" s="363"/>
      <c r="W335" s="406">
        <f>W273</f>
        <v>0.28055477534891393</v>
      </c>
      <c r="X335" s="364"/>
      <c r="Y335" s="380">
        <f>Y273</f>
        <v>0.49525430138022286</v>
      </c>
      <c r="Z335" s="391">
        <f>Z273</f>
        <v>0.46580420088669228</v>
      </c>
      <c r="AA335" s="391">
        <f>AA273</f>
        <v>0.27877632279954012</v>
      </c>
      <c r="AB335" s="574">
        <f>AB273</f>
        <v>0.38173280112702512</v>
      </c>
      <c r="AC335" s="574">
        <f>AC273</f>
        <v>0.39416560779330778</v>
      </c>
      <c r="AD335" s="357"/>
      <c r="AE335" s="362"/>
      <c r="AF335" s="363"/>
      <c r="AG335" s="363"/>
      <c r="AH335" s="364"/>
      <c r="AI335" s="686"/>
      <c r="AJ335" s="357"/>
      <c r="AK335" s="357"/>
      <c r="CR335"/>
      <c r="CX335"/>
      <c r="DD335"/>
    </row>
    <row r="336" spans="1:108" ht="11.25" hidden="1" customHeight="1" outlineLevel="1">
      <c r="A336" s="362" t="s">
        <v>253</v>
      </c>
      <c r="B336" s="363"/>
      <c r="C336" s="549"/>
      <c r="D336" s="363"/>
      <c r="E336" s="549" t="str">
        <f>E275</f>
        <v>NM</v>
      </c>
      <c r="F336" s="363"/>
      <c r="G336" s="549" t="str">
        <f>G275</f>
        <v>NM</v>
      </c>
      <c r="H336" s="363"/>
      <c r="I336" s="549" t="str">
        <f>I275</f>
        <v>NM</v>
      </c>
      <c r="J336" s="363"/>
      <c r="K336" s="549" t="str">
        <f>K275</f>
        <v>NM</v>
      </c>
      <c r="L336" s="363"/>
      <c r="M336" s="549" t="str">
        <f>M275</f>
        <v>NM</v>
      </c>
      <c r="N336" s="363"/>
      <c r="O336" s="406">
        <f>O275</f>
        <v>-8.6310307498757011E-3</v>
      </c>
      <c r="P336" s="363"/>
      <c r="Q336" s="406">
        <f>Q275</f>
        <v>6.6107897532758919E-3</v>
      </c>
      <c r="R336" s="363"/>
      <c r="S336" s="362"/>
      <c r="T336" s="363"/>
      <c r="U336" s="363"/>
      <c r="V336" s="363"/>
      <c r="W336" s="406">
        <f>W275</f>
        <v>0.38636097103318878</v>
      </c>
      <c r="X336" s="364"/>
      <c r="Y336" s="380">
        <f>Y275</f>
        <v>8.666316158429721E-2</v>
      </c>
      <c r="Z336" s="391">
        <f>Z275</f>
        <v>0.11806813281586881</v>
      </c>
      <c r="AA336" s="391">
        <f>AA275</f>
        <v>0.26532769556025371</v>
      </c>
      <c r="AB336" s="574">
        <f>AB275</f>
        <v>0.5415022820453308</v>
      </c>
      <c r="AC336" s="574">
        <f>AC275</f>
        <v>0.26159962779681067</v>
      </c>
      <c r="AD336" s="357"/>
      <c r="AE336" s="362"/>
      <c r="AF336" s="363"/>
      <c r="AG336" s="363"/>
      <c r="AH336" s="364"/>
      <c r="AI336" s="686"/>
      <c r="AJ336" s="357"/>
      <c r="AK336" s="357"/>
      <c r="CR336"/>
      <c r="CX336"/>
      <c r="DD336"/>
    </row>
    <row r="337" spans="1:108" ht="11.25" hidden="1" customHeight="1" outlineLevel="1">
      <c r="A337" s="368" t="s">
        <v>25</v>
      </c>
      <c r="B337" s="363"/>
      <c r="C337" s="570"/>
      <c r="D337" s="363"/>
      <c r="E337" s="570">
        <f>E289</f>
        <v>0.53268415191792817</v>
      </c>
      <c r="F337" s="363"/>
      <c r="G337" s="570">
        <f>G289</f>
        <v>0.18413974339155992</v>
      </c>
      <c r="H337" s="363"/>
      <c r="I337" s="570">
        <f>I289</f>
        <v>0.21003368058275229</v>
      </c>
      <c r="J337" s="363"/>
      <c r="K337" s="570">
        <f>K289</f>
        <v>0.25544011824233204</v>
      </c>
      <c r="L337" s="363"/>
      <c r="M337" s="570">
        <f>M289</f>
        <v>0.26107692836518637</v>
      </c>
      <c r="N337" s="363"/>
      <c r="O337" s="566">
        <f>O289</f>
        <v>3.9816284949130809E-2</v>
      </c>
      <c r="P337" s="363"/>
      <c r="Q337" s="566">
        <f>Q289</f>
        <v>5.7427650204466829E-2</v>
      </c>
      <c r="R337" s="363"/>
      <c r="S337" s="362"/>
      <c r="T337" s="363"/>
      <c r="U337" s="363"/>
      <c r="V337" s="363"/>
      <c r="W337" s="566">
        <f>W289</f>
        <v>-9.9841963372688802E-3</v>
      </c>
      <c r="X337" s="364"/>
      <c r="Y337" s="567">
        <f>Y289</f>
        <v>4.0848410562498438E-2</v>
      </c>
      <c r="Z337" s="568">
        <f>Z289</f>
        <v>2.0035149384886042E-2</v>
      </c>
      <c r="AA337" s="568">
        <f>AA289</f>
        <v>0.2805707831740174</v>
      </c>
      <c r="AB337" s="708">
        <f>AB289</f>
        <v>0.35465671382692499</v>
      </c>
      <c r="AC337" s="708">
        <f>AC289</f>
        <v>0.18066406250000022</v>
      </c>
      <c r="AD337" s="357"/>
      <c r="AE337" s="362"/>
      <c r="AF337" s="363"/>
      <c r="AG337" s="363"/>
      <c r="AH337" s="364"/>
      <c r="AI337" s="686"/>
      <c r="AJ337" s="357"/>
      <c r="AK337" s="357"/>
      <c r="CR337"/>
      <c r="CX337"/>
      <c r="DD337"/>
    </row>
    <row r="338" spans="1:108" ht="11.25" hidden="1" customHeight="1" outlineLevel="1">
      <c r="A338" s="362" t="s">
        <v>252</v>
      </c>
      <c r="B338" s="363"/>
      <c r="C338" s="549"/>
      <c r="D338" s="363"/>
      <c r="E338" s="549" t="str">
        <f>E283</f>
        <v>NM</v>
      </c>
      <c r="F338" s="363"/>
      <c r="G338" s="549" t="str">
        <f>G283</f>
        <v>NM</v>
      </c>
      <c r="H338" s="363"/>
      <c r="I338" s="549" t="str">
        <f>I283</f>
        <v>NM</v>
      </c>
      <c r="J338" s="363"/>
      <c r="K338" s="549" t="str">
        <f>K283</f>
        <v>NM</v>
      </c>
      <c r="L338" s="363"/>
      <c r="M338" s="549" t="str">
        <f>M283</f>
        <v>NM</v>
      </c>
      <c r="N338" s="363"/>
      <c r="O338" s="406">
        <f>O283</f>
        <v>1.9792152704135813E-2</v>
      </c>
      <c r="P338" s="363"/>
      <c r="Q338" s="406">
        <f>Q283</f>
        <v>7.0585984293890514E-2</v>
      </c>
      <c r="R338" s="363"/>
      <c r="S338" s="362"/>
      <c r="T338" s="363"/>
      <c r="U338" s="363"/>
      <c r="V338" s="363"/>
      <c r="W338" s="406">
        <f>W283</f>
        <v>1.0179263829423579E-2</v>
      </c>
      <c r="X338" s="364"/>
      <c r="Y338" s="380">
        <f>Y283</f>
        <v>2.5394940800105292E-3</v>
      </c>
      <c r="Z338" s="391">
        <f>Z283</f>
        <v>-4.9853193051137001E-3</v>
      </c>
      <c r="AA338" s="391">
        <f>AA283</f>
        <v>0.28071158425549791</v>
      </c>
      <c r="AB338" s="574">
        <f>AB283</f>
        <v>0.5879781420765029</v>
      </c>
      <c r="AC338" s="574">
        <f>AC283</f>
        <v>0.23480996592386338</v>
      </c>
      <c r="AD338" s="357"/>
      <c r="AE338" s="362"/>
      <c r="AF338" s="363"/>
      <c r="AG338" s="363"/>
      <c r="AH338" s="364"/>
      <c r="AI338" s="686"/>
      <c r="AJ338" s="357"/>
      <c r="AK338" s="357"/>
      <c r="CR338"/>
      <c r="CX338"/>
      <c r="DD338"/>
    </row>
    <row r="339" spans="1:108" ht="11.25" hidden="1" customHeight="1" outlineLevel="1">
      <c r="A339" s="362" t="s">
        <v>253</v>
      </c>
      <c r="B339" s="363"/>
      <c r="C339" s="549"/>
      <c r="D339" s="363"/>
      <c r="E339" s="549" t="str">
        <f>E285</f>
        <v>NM</v>
      </c>
      <c r="F339" s="363"/>
      <c r="G339" s="549" t="str">
        <f>G285</f>
        <v>NM</v>
      </c>
      <c r="H339" s="363"/>
      <c r="I339" s="549" t="str">
        <f>I285</f>
        <v>NM</v>
      </c>
      <c r="J339" s="363"/>
      <c r="K339" s="549" t="str">
        <f>K285</f>
        <v>NM</v>
      </c>
      <c r="L339" s="363"/>
      <c r="M339" s="549" t="str">
        <f>M285</f>
        <v>NM</v>
      </c>
      <c r="N339" s="363"/>
      <c r="O339" s="406">
        <f>O285</f>
        <v>9.3902836648190435E-2</v>
      </c>
      <c r="P339" s="363"/>
      <c r="Q339" s="406">
        <f>Q285</f>
        <v>1.32141082960755E-2</v>
      </c>
      <c r="R339" s="363"/>
      <c r="S339" s="362"/>
      <c r="T339" s="363"/>
      <c r="U339" s="363"/>
      <c r="V339" s="363"/>
      <c r="W339" s="406">
        <f>W285</f>
        <v>-6.6614368830489767E-2</v>
      </c>
      <c r="X339" s="364"/>
      <c r="Y339" s="380">
        <f>Y285</f>
        <v>0.29677026203534429</v>
      </c>
      <c r="Z339" s="391">
        <f>Z285</f>
        <v>0.16171569337777125</v>
      </c>
      <c r="AA339" s="391">
        <f>AA285</f>
        <v>0.29865099505810089</v>
      </c>
      <c r="AB339" s="574">
        <f>AB285</f>
        <v>-0.84600210415570787</v>
      </c>
      <c r="AC339" s="574">
        <f>AC285</f>
        <v>-3.9676425269645432E-2</v>
      </c>
      <c r="AD339" s="357"/>
      <c r="AE339" s="362"/>
      <c r="AF339" s="363"/>
      <c r="AG339" s="363"/>
      <c r="AH339" s="364"/>
      <c r="AI339" s="686"/>
      <c r="AJ339" s="357"/>
      <c r="AK339" s="357"/>
      <c r="CR339"/>
      <c r="CX339"/>
      <c r="DD339"/>
    </row>
    <row r="340" spans="1:108" ht="11.25" hidden="1" customHeight="1" outlineLevel="1">
      <c r="A340" s="418" t="s">
        <v>313</v>
      </c>
      <c r="B340" s="363"/>
      <c r="C340" s="549"/>
      <c r="D340" s="363"/>
      <c r="E340" s="549" t="str">
        <f>E287</f>
        <v>NM</v>
      </c>
      <c r="F340" s="363"/>
      <c r="G340" s="549" t="str">
        <f>G287</f>
        <v>NM</v>
      </c>
      <c r="H340" s="363"/>
      <c r="I340" s="549" t="str">
        <f>I287</f>
        <v>NM</v>
      </c>
      <c r="J340" s="363"/>
      <c r="K340" s="549" t="str">
        <f>K287</f>
        <v>NM</v>
      </c>
      <c r="L340" s="363"/>
      <c r="M340" s="549" t="str">
        <f>M287</f>
        <v>NM</v>
      </c>
      <c r="N340" s="363"/>
      <c r="O340" s="406">
        <f>O287</f>
        <v>0.72226593233675129</v>
      </c>
      <c r="P340" s="363"/>
      <c r="Q340" s="406">
        <f>Q287</f>
        <v>-5.5276381909547756E-2</v>
      </c>
      <c r="R340" s="363"/>
      <c r="S340" s="362"/>
      <c r="T340" s="363"/>
      <c r="U340" s="363"/>
      <c r="V340" s="363"/>
      <c r="W340" s="406">
        <f>W287</f>
        <v>-0.42698259187620891</v>
      </c>
      <c r="X340" s="364"/>
      <c r="Y340" s="380">
        <f>Y287</f>
        <v>-0.7639751552795031</v>
      </c>
      <c r="Z340" s="391">
        <f>Z287</f>
        <v>-0.66523605150214593</v>
      </c>
      <c r="AA340" s="391">
        <f>AA287</f>
        <v>-0.25968992248062017</v>
      </c>
      <c r="AB340" s="574">
        <f>AB287</f>
        <v>3.6199999999999957</v>
      </c>
      <c r="AC340" s="574">
        <f>AC287</f>
        <v>-0.44978902953586508</v>
      </c>
      <c r="AD340" s="357"/>
      <c r="AE340" s="362"/>
      <c r="AF340" s="363"/>
      <c r="AG340" s="363"/>
      <c r="AH340" s="364"/>
      <c r="AI340" s="686"/>
      <c r="AJ340" s="357"/>
      <c r="AK340" s="357"/>
      <c r="CR340"/>
      <c r="CX340"/>
      <c r="DD340"/>
    </row>
    <row r="341" spans="1:108" ht="11.25" hidden="1" customHeight="1" outlineLevel="1">
      <c r="A341" s="368" t="s">
        <v>24</v>
      </c>
      <c r="B341" s="363"/>
      <c r="C341" s="570"/>
      <c r="D341" s="363"/>
      <c r="E341" s="570" t="str">
        <f>E299</f>
        <v>NM</v>
      </c>
      <c r="F341" s="363"/>
      <c r="G341" s="570" t="str">
        <f>G299</f>
        <v>NM</v>
      </c>
      <c r="H341" s="363"/>
      <c r="I341" s="570" t="str">
        <f>I299</f>
        <v>NM</v>
      </c>
      <c r="J341" s="363"/>
      <c r="K341" s="570" t="str">
        <f>K299</f>
        <v>NM</v>
      </c>
      <c r="L341" s="363"/>
      <c r="M341" s="570" t="str">
        <f>M299</f>
        <v>NM</v>
      </c>
      <c r="N341" s="363"/>
      <c r="O341" s="570" t="str">
        <f>O299</f>
        <v>NM</v>
      </c>
      <c r="P341" s="363"/>
      <c r="Q341" s="570" t="str">
        <f>Q299</f>
        <v>NM</v>
      </c>
      <c r="R341" s="363"/>
      <c r="S341" s="362"/>
      <c r="T341" s="363"/>
      <c r="U341" s="363"/>
      <c r="V341" s="363"/>
      <c r="W341" s="566">
        <f>W299</f>
        <v>0.34089782849010808</v>
      </c>
      <c r="X341" s="364"/>
      <c r="Y341" s="567">
        <f>Y299</f>
        <v>2.112874448304991E-2</v>
      </c>
      <c r="Z341" s="568">
        <f>Z299</f>
        <v>0.28512607182273531</v>
      </c>
      <c r="AA341" s="568">
        <f>AA299</f>
        <v>0.16988212260880209</v>
      </c>
      <c r="AB341" s="708">
        <f>AB299</f>
        <v>0.15573747821998518</v>
      </c>
      <c r="AC341" s="708">
        <f>AC299</f>
        <v>0.16074102151047098</v>
      </c>
      <c r="AD341" s="357"/>
      <c r="AE341" s="362"/>
      <c r="AF341" s="363"/>
      <c r="AG341" s="363"/>
      <c r="AH341" s="364"/>
      <c r="AI341" s="686"/>
      <c r="AJ341" s="357"/>
      <c r="AK341" s="357"/>
      <c r="CR341"/>
      <c r="CX341"/>
      <c r="DD341"/>
    </row>
    <row r="342" spans="1:108" ht="11.25" hidden="1" customHeight="1" outlineLevel="1">
      <c r="A342" s="362" t="s">
        <v>252</v>
      </c>
      <c r="B342" s="363"/>
      <c r="C342" s="549"/>
      <c r="D342" s="363"/>
      <c r="E342" s="549" t="str">
        <f>E295</f>
        <v>NM</v>
      </c>
      <c r="F342" s="363"/>
      <c r="G342" s="549" t="str">
        <f>G295</f>
        <v>NM</v>
      </c>
      <c r="H342" s="363"/>
      <c r="I342" s="549" t="str">
        <f>I295</f>
        <v>NM</v>
      </c>
      <c r="J342" s="363"/>
      <c r="K342" s="549" t="str">
        <f>K295</f>
        <v>NM</v>
      </c>
      <c r="L342" s="363"/>
      <c r="M342" s="549" t="str">
        <f>M295</f>
        <v>NM</v>
      </c>
      <c r="N342" s="363"/>
      <c r="O342" s="549" t="str">
        <f>O295</f>
        <v>NM</v>
      </c>
      <c r="P342" s="363"/>
      <c r="Q342" s="549" t="str">
        <f>Q295</f>
        <v>NM</v>
      </c>
      <c r="R342" s="363"/>
      <c r="S342" s="362"/>
      <c r="T342" s="363"/>
      <c r="U342" s="363"/>
      <c r="V342" s="363"/>
      <c r="W342" s="406">
        <f>W295</f>
        <v>0.35651007120747735</v>
      </c>
      <c r="X342" s="364"/>
      <c r="Y342" s="380">
        <f>Y295</f>
        <v>-4.6174436761097448E-2</v>
      </c>
      <c r="Z342" s="391">
        <f>Z295</f>
        <v>0.31691355519480524</v>
      </c>
      <c r="AA342" s="391">
        <f>AA295</f>
        <v>0.17568503313878714</v>
      </c>
      <c r="AB342" s="574">
        <f>AB295</f>
        <v>0.13208153816474821</v>
      </c>
      <c r="AC342" s="574">
        <f>AC295</f>
        <v>0.14701452272829463</v>
      </c>
      <c r="AD342" s="357"/>
      <c r="AE342" s="362"/>
      <c r="AF342" s="363"/>
      <c r="AG342" s="363"/>
      <c r="AH342" s="364"/>
      <c r="AI342" s="686"/>
      <c r="AJ342" s="357"/>
      <c r="AK342" s="357"/>
      <c r="CR342"/>
      <c r="CX342"/>
      <c r="DD342"/>
    </row>
    <row r="343" spans="1:108" ht="11.25" hidden="1" customHeight="1" outlineLevel="1">
      <c r="A343" s="365" t="s">
        <v>253</v>
      </c>
      <c r="B343" s="366"/>
      <c r="C343" s="571"/>
      <c r="D343" s="366"/>
      <c r="E343" s="571" t="str">
        <f>E297</f>
        <v>NM</v>
      </c>
      <c r="F343" s="366"/>
      <c r="G343" s="571" t="str">
        <f>G297</f>
        <v>NM</v>
      </c>
      <c r="H343" s="366"/>
      <c r="I343" s="571" t="str">
        <f>I297</f>
        <v>NM</v>
      </c>
      <c r="J343" s="366"/>
      <c r="K343" s="571" t="str">
        <f>K297</f>
        <v>NM</v>
      </c>
      <c r="L343" s="366"/>
      <c r="M343" s="571" t="str">
        <f>M297</f>
        <v>NM</v>
      </c>
      <c r="N343" s="366"/>
      <c r="O343" s="571" t="str">
        <f>O297</f>
        <v>NM</v>
      </c>
      <c r="P343" s="366"/>
      <c r="Q343" s="571" t="str">
        <f>Q297</f>
        <v>NM</v>
      </c>
      <c r="R343" s="366"/>
      <c r="S343" s="365"/>
      <c r="T343" s="366"/>
      <c r="U343" s="366"/>
      <c r="V343" s="366"/>
      <c r="W343" s="409">
        <f>W297</f>
        <v>0.26284494587589569</v>
      </c>
      <c r="X343" s="358"/>
      <c r="Y343" s="383">
        <f>Y297</f>
        <v>0.3796791443850267</v>
      </c>
      <c r="Z343" s="393">
        <f>Z297</f>
        <v>0.12220488819552777</v>
      </c>
      <c r="AA343" s="393">
        <f>AA297</f>
        <v>0.14259130030239575</v>
      </c>
      <c r="AB343" s="709">
        <f>AB297</f>
        <v>0.30128585558852627</v>
      </c>
      <c r="AC343" s="709">
        <f>AC297</f>
        <v>0.2344561149342026</v>
      </c>
      <c r="AD343" s="358"/>
      <c r="AE343" s="365"/>
      <c r="AF343" s="366"/>
      <c r="AG343" s="366"/>
      <c r="AH343" s="544"/>
      <c r="AI343" s="688"/>
      <c r="AJ343" s="358"/>
      <c r="AK343" s="358"/>
      <c r="CR343"/>
      <c r="CX343"/>
      <c r="DD343"/>
    </row>
    <row r="344" spans="1:108" ht="11.25" hidden="1" customHeight="1" outlineLevel="1">
      <c r="A344" s="372" t="s">
        <v>338</v>
      </c>
      <c r="B344" s="360"/>
      <c r="C344" s="558"/>
      <c r="D344" s="360"/>
      <c r="E344" s="558"/>
      <c r="F344" s="360"/>
      <c r="G344" s="558"/>
      <c r="H344" s="360"/>
      <c r="I344" s="558"/>
      <c r="J344" s="360"/>
      <c r="K344" s="558"/>
      <c r="L344" s="360"/>
      <c r="M344" s="558"/>
      <c r="N344" s="360"/>
      <c r="O344" s="558"/>
      <c r="P344" s="360"/>
      <c r="Q344" s="558"/>
      <c r="R344" s="360"/>
      <c r="S344" s="560"/>
      <c r="T344" s="561"/>
      <c r="U344" s="561"/>
      <c r="V344" s="561"/>
      <c r="W344" s="558"/>
      <c r="X344" s="361"/>
      <c r="Y344" s="560"/>
      <c r="Z344" s="561"/>
      <c r="AA344" s="561"/>
      <c r="AB344" s="561"/>
      <c r="AC344" s="558"/>
      <c r="AD344" s="356"/>
      <c r="AE344" s="560">
        <f>AE257</f>
        <v>0.26496855959486654</v>
      </c>
      <c r="AF344" s="561">
        <f>AF257</f>
        <v>0.29298809207507071</v>
      </c>
      <c r="AG344" s="561">
        <f>AG257</f>
        <v>4.4761651052997786E-2</v>
      </c>
      <c r="AH344" s="561">
        <f>AH257</f>
        <v>3.1610985432171113E-2</v>
      </c>
      <c r="AI344" s="558">
        <f>AI257</f>
        <v>0.14069537020356671</v>
      </c>
      <c r="AJ344" s="356"/>
      <c r="AK344" s="558">
        <f>AK257</f>
        <v>-0.11238247481227503</v>
      </c>
      <c r="CR344"/>
      <c r="CX344"/>
      <c r="DD344"/>
    </row>
    <row r="345" spans="1:108" ht="11.25" hidden="1" customHeight="1" outlineLevel="1">
      <c r="A345" s="362" t="s">
        <v>252</v>
      </c>
      <c r="B345" s="363"/>
      <c r="C345" s="401"/>
      <c r="D345" s="363"/>
      <c r="E345" s="401"/>
      <c r="F345" s="363"/>
      <c r="G345" s="401"/>
      <c r="H345" s="363"/>
      <c r="I345" s="401"/>
      <c r="J345" s="363"/>
      <c r="K345" s="401"/>
      <c r="L345" s="363"/>
      <c r="M345" s="401"/>
      <c r="N345" s="363"/>
      <c r="O345" s="401"/>
      <c r="P345" s="363"/>
      <c r="Q345" s="401"/>
      <c r="R345" s="363"/>
      <c r="S345" s="378"/>
      <c r="T345" s="388"/>
      <c r="U345" s="388"/>
      <c r="V345" s="388"/>
      <c r="W345" s="401"/>
      <c r="X345" s="364"/>
      <c r="Y345" s="378"/>
      <c r="Z345" s="388"/>
      <c r="AA345" s="388"/>
      <c r="AB345" s="388"/>
      <c r="AC345" s="401"/>
      <c r="AD345" s="357"/>
      <c r="AE345" s="378">
        <f>AE253</f>
        <v>0.30469647534580213</v>
      </c>
      <c r="AF345" s="388">
        <f>AF253</f>
        <v>0.26676525241518867</v>
      </c>
      <c r="AG345" s="388">
        <f>AG253</f>
        <v>1.5705455918792133E-2</v>
      </c>
      <c r="AH345" s="388">
        <f>AH253</f>
        <v>7.5100331295283373E-2</v>
      </c>
      <c r="AI345" s="401">
        <f>AI253</f>
        <v>0.14947415529201158</v>
      </c>
      <c r="AJ345" s="357"/>
      <c r="AK345" s="401">
        <f>AK253</f>
        <v>-9.6560590317524508E-2</v>
      </c>
      <c r="CR345"/>
      <c r="CX345"/>
      <c r="DD345"/>
    </row>
    <row r="346" spans="1:108" ht="11.25" hidden="1" customHeight="1" outlineLevel="1">
      <c r="A346" s="362" t="s">
        <v>253</v>
      </c>
      <c r="B346" s="363"/>
      <c r="C346" s="401"/>
      <c r="D346" s="363"/>
      <c r="E346" s="401"/>
      <c r="F346" s="363"/>
      <c r="G346" s="401"/>
      <c r="H346" s="363"/>
      <c r="I346" s="401"/>
      <c r="J346" s="363"/>
      <c r="K346" s="401"/>
      <c r="L346" s="363"/>
      <c r="M346" s="401"/>
      <c r="N346" s="363"/>
      <c r="O346" s="401"/>
      <c r="P346" s="363"/>
      <c r="Q346" s="401"/>
      <c r="R346" s="363"/>
      <c r="S346" s="378"/>
      <c r="T346" s="388"/>
      <c r="U346" s="388"/>
      <c r="V346" s="388"/>
      <c r="W346" s="401"/>
      <c r="X346" s="364"/>
      <c r="Y346" s="378"/>
      <c r="Z346" s="388"/>
      <c r="AA346" s="388"/>
      <c r="AB346" s="388"/>
      <c r="AC346" s="401"/>
      <c r="AD346" s="357"/>
      <c r="AE346" s="378">
        <f>AE255</f>
        <v>0.13046015014197354</v>
      </c>
      <c r="AF346" s="388">
        <f>AF255</f>
        <v>0.41884572282405674</v>
      </c>
      <c r="AG346" s="388">
        <f>AG255</f>
        <v>0.16344959927757063</v>
      </c>
      <c r="AH346" s="388">
        <f>AH255</f>
        <v>-0.15560322337526822</v>
      </c>
      <c r="AI346" s="401">
        <f>AI255</f>
        <v>0.10443622920517548</v>
      </c>
      <c r="AJ346" s="357"/>
      <c r="AK346" s="401">
        <f>AK255</f>
        <v>-0.17420775556549561</v>
      </c>
      <c r="CR346"/>
      <c r="CX346"/>
      <c r="DD346"/>
    </row>
    <row r="347" spans="1:108" ht="11.25" hidden="1" customHeight="1" outlineLevel="1">
      <c r="A347" s="368" t="s">
        <v>339</v>
      </c>
      <c r="B347" s="363"/>
      <c r="C347" s="562"/>
      <c r="D347" s="363"/>
      <c r="E347" s="562"/>
      <c r="F347" s="363"/>
      <c r="G347" s="562"/>
      <c r="H347" s="363"/>
      <c r="I347" s="562"/>
      <c r="J347" s="363"/>
      <c r="K347" s="562"/>
      <c r="L347" s="363"/>
      <c r="M347" s="562"/>
      <c r="N347" s="363"/>
      <c r="O347" s="562"/>
      <c r="P347" s="363"/>
      <c r="Q347" s="562"/>
      <c r="R347" s="363"/>
      <c r="S347" s="563"/>
      <c r="T347" s="564"/>
      <c r="U347" s="564"/>
      <c r="V347" s="564"/>
      <c r="W347" s="562"/>
      <c r="X347" s="364"/>
      <c r="Y347" s="563"/>
      <c r="Z347" s="564"/>
      <c r="AA347" s="564"/>
      <c r="AB347" s="564"/>
      <c r="AC347" s="562"/>
      <c r="AD347" s="357"/>
      <c r="AE347" s="563">
        <f>AE267</f>
        <v>4.1533902477542295E-2</v>
      </c>
      <c r="AF347" s="564">
        <f>AF267</f>
        <v>0.30220094780700335</v>
      </c>
      <c r="AG347" s="564">
        <f>AG267</f>
        <v>-5.029455951114925E-2</v>
      </c>
      <c r="AH347" s="564">
        <f>AH267</f>
        <v>-0.18610319112339402</v>
      </c>
      <c r="AI347" s="562">
        <f>AI267</f>
        <v>8.7886893389379495E-3</v>
      </c>
      <c r="AJ347" s="357"/>
      <c r="AK347" s="562">
        <f>AK267</f>
        <v>2.2137390963092418E-2</v>
      </c>
      <c r="CR347"/>
      <c r="CX347"/>
      <c r="DD347"/>
    </row>
    <row r="348" spans="1:108" ht="11.25" hidden="1" customHeight="1" outlineLevel="1">
      <c r="A348" s="362" t="s">
        <v>252</v>
      </c>
      <c r="B348" s="363"/>
      <c r="C348" s="401"/>
      <c r="D348" s="363"/>
      <c r="E348" s="401"/>
      <c r="F348" s="363"/>
      <c r="G348" s="401"/>
      <c r="H348" s="363"/>
      <c r="I348" s="401"/>
      <c r="J348" s="363"/>
      <c r="K348" s="401"/>
      <c r="L348" s="363"/>
      <c r="M348" s="401"/>
      <c r="N348" s="363"/>
      <c r="O348" s="401"/>
      <c r="P348" s="363"/>
      <c r="Q348" s="401"/>
      <c r="R348" s="363"/>
      <c r="S348" s="378"/>
      <c r="T348" s="388"/>
      <c r="U348" s="388"/>
      <c r="V348" s="388"/>
      <c r="W348" s="401"/>
      <c r="X348" s="364"/>
      <c r="Y348" s="378"/>
      <c r="Z348" s="388"/>
      <c r="AA348" s="388"/>
      <c r="AB348" s="388"/>
      <c r="AC348" s="401"/>
      <c r="AD348" s="357"/>
      <c r="AE348" s="378">
        <f>AE263</f>
        <v>-3.4586806922143332E-4</v>
      </c>
      <c r="AF348" s="388">
        <f>AF263</f>
        <v>0.45453610050726923</v>
      </c>
      <c r="AG348" s="388">
        <f>AG263</f>
        <v>-9.2462694695566783E-2</v>
      </c>
      <c r="AH348" s="388">
        <f>AH263</f>
        <v>-0.11045775428155291</v>
      </c>
      <c r="AI348" s="401">
        <f>AI263</f>
        <v>5.4358717434870085E-2</v>
      </c>
      <c r="AJ348" s="357"/>
      <c r="AK348" s="401">
        <f>AK263</f>
        <v>0.22646686869168908</v>
      </c>
      <c r="CR348"/>
      <c r="CX348"/>
      <c r="DD348"/>
    </row>
    <row r="349" spans="1:108" ht="11.25" hidden="1" customHeight="1" outlineLevel="1">
      <c r="A349" s="365" t="s">
        <v>253</v>
      </c>
      <c r="B349" s="366"/>
      <c r="C349" s="403"/>
      <c r="D349" s="366"/>
      <c r="E349" s="403"/>
      <c r="F349" s="366"/>
      <c r="G349" s="403"/>
      <c r="H349" s="366"/>
      <c r="I349" s="403"/>
      <c r="J349" s="366"/>
      <c r="K349" s="403"/>
      <c r="L349" s="366"/>
      <c r="M349" s="403"/>
      <c r="N349" s="366"/>
      <c r="O349" s="403"/>
      <c r="P349" s="366"/>
      <c r="Q349" s="403"/>
      <c r="R349" s="366"/>
      <c r="S349" s="379"/>
      <c r="T349" s="390"/>
      <c r="U349" s="390"/>
      <c r="V349" s="390"/>
      <c r="W349" s="403"/>
      <c r="X349" s="544"/>
      <c r="Y349" s="379"/>
      <c r="Z349" s="390"/>
      <c r="AA349" s="390"/>
      <c r="AB349" s="390"/>
      <c r="AC349" s="403"/>
      <c r="AD349" s="358"/>
      <c r="AE349" s="379">
        <f>AE265</f>
        <v>0.18907563025210083</v>
      </c>
      <c r="AF349" s="390">
        <f>AF265</f>
        <v>-0.21587290478356724</v>
      </c>
      <c r="AG349" s="390">
        <f>AG265</f>
        <v>9.4856028794241265E-2</v>
      </c>
      <c r="AH349" s="390">
        <f>AH265</f>
        <v>-0.39779849837212933</v>
      </c>
      <c r="AI349" s="403">
        <f>AI265</f>
        <v>-0.13768115942029002</v>
      </c>
      <c r="AJ349" s="358"/>
      <c r="AK349" s="403">
        <f>AK265</f>
        <v>-0.58303886925795045</v>
      </c>
      <c r="CR349"/>
      <c r="CX349"/>
      <c r="DD349"/>
    </row>
    <row r="350" spans="1:108" ht="11.25" hidden="1" customHeight="1" outlineLevel="1">
      <c r="A350" s="9"/>
      <c r="B350" s="9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363"/>
      <c r="X350" s="363"/>
      <c r="Y350" s="363"/>
      <c r="Z350" s="363"/>
      <c r="AA350" s="363"/>
      <c r="AB350" s="363"/>
      <c r="AC350" s="21"/>
      <c r="AD350" s="363"/>
      <c r="AE350" s="363"/>
      <c r="AF350" s="363"/>
      <c r="AG350" s="363"/>
      <c r="AH350" s="363"/>
      <c r="AI350" s="21"/>
      <c r="AJ350" s="363"/>
      <c r="AK350" s="363"/>
      <c r="CR350"/>
      <c r="CX350"/>
      <c r="DD350"/>
    </row>
    <row r="351" spans="1:108" ht="11.25" hidden="1" customHeight="1" outlineLevel="1" thickBot="1">
      <c r="A351" s="73" t="s">
        <v>240</v>
      </c>
      <c r="B351" s="74"/>
      <c r="C351" s="75"/>
      <c r="D351" s="74"/>
      <c r="E351" s="75"/>
      <c r="F351" s="74"/>
      <c r="G351" s="75"/>
      <c r="H351" s="74"/>
      <c r="I351" s="75"/>
      <c r="J351" s="74"/>
      <c r="K351" s="75"/>
      <c r="L351" s="74"/>
      <c r="M351" s="75"/>
      <c r="N351" s="74"/>
      <c r="O351" s="75"/>
      <c r="P351" s="74"/>
      <c r="Q351" s="75"/>
      <c r="R351" s="74"/>
      <c r="S351" s="74"/>
      <c r="T351" s="74"/>
      <c r="U351" s="74"/>
      <c r="V351" s="74"/>
      <c r="W351" s="74"/>
      <c r="X351" s="167"/>
      <c r="Y351" s="639"/>
      <c r="Z351" s="639"/>
      <c r="AA351" s="639"/>
      <c r="AB351" s="639"/>
      <c r="AC351" s="74"/>
      <c r="AD351" s="74"/>
      <c r="AE351" s="639"/>
      <c r="AF351" s="639"/>
      <c r="AG351" s="639"/>
      <c r="AH351" s="639"/>
      <c r="AI351" s="74"/>
      <c r="AJ351" s="74"/>
      <c r="AK351" s="639"/>
      <c r="CR351"/>
      <c r="CX351"/>
      <c r="DD351"/>
    </row>
    <row r="352" spans="1:108" ht="11.25" hidden="1" customHeight="1" outlineLevel="1">
      <c r="A352" s="372" t="s">
        <v>23</v>
      </c>
      <c r="B352" s="360"/>
      <c r="C352" s="404">
        <v>0</v>
      </c>
      <c r="D352" s="396"/>
      <c r="E352" s="404">
        <v>0</v>
      </c>
      <c r="F352" s="396"/>
      <c r="G352" s="404">
        <v>0</v>
      </c>
      <c r="H352" s="396"/>
      <c r="I352" s="404">
        <v>0</v>
      </c>
      <c r="J352" s="398"/>
      <c r="K352" s="404">
        <v>-9.9000000000000005E-2</v>
      </c>
      <c r="L352" s="398"/>
      <c r="M352" s="404">
        <f>-11.828+11.674</f>
        <v>-0.15399999999999991</v>
      </c>
      <c r="N352" s="398"/>
      <c r="O352" s="404">
        <v>-1.744</v>
      </c>
      <c r="P352" s="398"/>
      <c r="Q352" s="404">
        <v>1.0589999999999999</v>
      </c>
      <c r="R352" s="398"/>
      <c r="S352" s="385">
        <v>1.0609999999999999</v>
      </c>
      <c r="T352" s="396">
        <v>1.599</v>
      </c>
      <c r="U352" s="396">
        <v>2.8359999999999999</v>
      </c>
      <c r="V352" s="652">
        <f>10.256-S352-T352-U352</f>
        <v>4.76</v>
      </c>
      <c r="W352" s="397">
        <f>SUM(S352:V352)</f>
        <v>10.256</v>
      </c>
      <c r="X352" s="534"/>
      <c r="Y352" s="385">
        <v>4.2560000000000002</v>
      </c>
      <c r="Z352" s="396">
        <v>4.024</v>
      </c>
      <c r="AA352" s="396">
        <v>6.1639999999999997</v>
      </c>
      <c r="AB352" s="652">
        <f>26.015-Y352-Z352-AA352</f>
        <v>11.571</v>
      </c>
      <c r="AC352" s="397">
        <f>SUM(Y352:AB352)</f>
        <v>26.015000000000001</v>
      </c>
      <c r="AD352" s="397"/>
      <c r="AE352" s="384"/>
      <c r="AF352" s="398"/>
      <c r="AG352" s="398"/>
      <c r="AH352" s="534"/>
      <c r="AI352" s="685"/>
      <c r="AJ352" s="397"/>
      <c r="AK352" s="695"/>
      <c r="CR352"/>
      <c r="CX352"/>
      <c r="DD352"/>
    </row>
    <row r="353" spans="1:113" ht="11.25" hidden="1" customHeight="1" outlineLevel="1">
      <c r="A353" s="354" t="s">
        <v>243</v>
      </c>
      <c r="B353" s="363"/>
      <c r="C353" s="357"/>
      <c r="D353" s="363"/>
      <c r="E353" s="357"/>
      <c r="F353" s="363"/>
      <c r="G353" s="357"/>
      <c r="H353" s="363"/>
      <c r="I353" s="357"/>
      <c r="J353" s="363"/>
      <c r="K353" s="401">
        <f>K352/K237</f>
        <v>-9.4927605714833639E-4</v>
      </c>
      <c r="L353" s="363"/>
      <c r="M353" s="401">
        <f>M352/M237</f>
        <v>-1.3517071886245933E-3</v>
      </c>
      <c r="N353" s="363"/>
      <c r="O353" s="401">
        <f>O352/O237</f>
        <v>-1.315015608270121E-2</v>
      </c>
      <c r="P353" s="363"/>
      <c r="Q353" s="401">
        <f>Q352/Q237</f>
        <v>7.7098364116863355E-3</v>
      </c>
      <c r="R353" s="363"/>
      <c r="S353" s="378">
        <f>S352/S237</f>
        <v>2.8026520854795678E-2</v>
      </c>
      <c r="T353" s="388">
        <f>T352/T237</f>
        <v>4.08815483343134E-2</v>
      </c>
      <c r="U353" s="388">
        <f>U352/U237</f>
        <v>6.0321174093374452E-2</v>
      </c>
      <c r="V353" s="453">
        <f>V352/V237</f>
        <v>8.5739503215231327E-2</v>
      </c>
      <c r="W353" s="401">
        <f>W352/W237</f>
        <v>5.7135853639513762E-2</v>
      </c>
      <c r="X353" s="364"/>
      <c r="Y353" s="378">
        <f>Y352/Y237</f>
        <v>8.193596827291455E-2</v>
      </c>
      <c r="Z353" s="388">
        <f>Z352/Z237</f>
        <v>7.5497185741088185E-2</v>
      </c>
      <c r="AA353" s="388">
        <f>AA352/AA237</f>
        <v>0.10278643966049125</v>
      </c>
      <c r="AB353" s="453">
        <f>AB352/AB237</f>
        <v>0.14688670263408438</v>
      </c>
      <c r="AC353" s="401">
        <f>AC352/AC237</f>
        <v>0.10662453327431382</v>
      </c>
      <c r="AD353" s="357"/>
      <c r="AE353" s="362"/>
      <c r="AF353" s="363"/>
      <c r="AG353" s="363"/>
      <c r="AH353" s="364"/>
      <c r="AI353" s="686"/>
      <c r="AJ353" s="357"/>
      <c r="AK353" s="357"/>
      <c r="CR353"/>
      <c r="CX353"/>
      <c r="DD353"/>
    </row>
    <row r="354" spans="1:113" ht="11.25" hidden="1" customHeight="1" outlineLevel="1">
      <c r="A354" s="354" t="s">
        <v>244</v>
      </c>
      <c r="B354" s="363"/>
      <c r="C354" s="357"/>
      <c r="D354" s="363"/>
      <c r="E354" s="357"/>
      <c r="F354" s="363"/>
      <c r="G354" s="357"/>
      <c r="H354" s="363"/>
      <c r="I354" s="357"/>
      <c r="J354" s="363"/>
      <c r="K354" s="401"/>
      <c r="L354" s="363"/>
      <c r="M354" s="401">
        <f>(M352-K352)/(M237-K237)</f>
        <v>-5.7053941908713594E-3</v>
      </c>
      <c r="N354" s="363"/>
      <c r="O354" s="401">
        <f>(O352-M352)/(O237-M237)</f>
        <v>-8.5063128611170519E-2</v>
      </c>
      <c r="P354" s="363"/>
      <c r="Q354" s="401">
        <f>(Q352-O352)/(Q237-O237)</f>
        <v>0.59197465681098393</v>
      </c>
      <c r="R354" s="363"/>
      <c r="S354" s="378"/>
      <c r="T354" s="388"/>
      <c r="U354" s="388"/>
      <c r="V354" s="453"/>
      <c r="W354" s="401">
        <f>(W352-Q352)/(W237-Q237)</f>
        <v>0.21822280223039503</v>
      </c>
      <c r="X354" s="364"/>
      <c r="Y354" s="378">
        <f>(Y352-S352)/(Y237-S237)</f>
        <v>0.22682095697856031</v>
      </c>
      <c r="Z354" s="388">
        <f>(Z352-T352)/(Z237-T237)</f>
        <v>0.1709311341368859</v>
      </c>
      <c r="AA354" s="388">
        <f>(AA352-U352)/(AA237-U237)</f>
        <v>0.25690906283773363</v>
      </c>
      <c r="AB354" s="453">
        <f>(AB352-V352)/(AB237-V237)</f>
        <v>0.29284547252558263</v>
      </c>
      <c r="AC354" s="401">
        <f>(AC352-W352)/(AC237-W237)</f>
        <v>0.24438241451500367</v>
      </c>
      <c r="AD354" s="357"/>
      <c r="AE354" s="362"/>
      <c r="AF354" s="363"/>
      <c r="AG354" s="363"/>
      <c r="AH354" s="364"/>
      <c r="AI354" s="686"/>
      <c r="AJ354" s="357"/>
      <c r="AK354" s="357"/>
      <c r="CR354"/>
      <c r="CX354"/>
      <c r="DD354"/>
    </row>
    <row r="355" spans="1:113" ht="11.25" hidden="1" customHeight="1" outlineLevel="1">
      <c r="A355" s="373" t="s">
        <v>241</v>
      </c>
      <c r="B355" s="363"/>
      <c r="C355" s="357"/>
      <c r="D355" s="363"/>
      <c r="E355" s="357"/>
      <c r="F355" s="363"/>
      <c r="G355" s="357"/>
      <c r="H355" s="363"/>
      <c r="I355" s="357"/>
      <c r="J355" s="363"/>
      <c r="K355" s="416"/>
      <c r="L355" s="363"/>
      <c r="M355" s="416">
        <f>(M353-K353)*10000</f>
        <v>-4.0243113147625698</v>
      </c>
      <c r="N355" s="363"/>
      <c r="O355" s="416">
        <f>(O353-M353)*10000</f>
        <v>-117.98448894076616</v>
      </c>
      <c r="P355" s="363"/>
      <c r="Q355" s="416">
        <f>(Q353-O353)*10000</f>
        <v>208.59992494387546</v>
      </c>
      <c r="R355" s="363"/>
      <c r="S355" s="387"/>
      <c r="T355" s="415"/>
      <c r="U355" s="415"/>
      <c r="V355" s="663"/>
      <c r="W355" s="416">
        <f>(W353-Q353)*10000</f>
        <v>494.26017227827424</v>
      </c>
      <c r="X355" s="364"/>
      <c r="Y355" s="387">
        <f>(Y353-S353)*10000</f>
        <v>539.09447418118873</v>
      </c>
      <c r="Z355" s="415">
        <f>(Z353-T353)*10000</f>
        <v>346.15637406774783</v>
      </c>
      <c r="AA355" s="415">
        <f>(AA353-U353)*10000</f>
        <v>424.65265567116802</v>
      </c>
      <c r="AB355" s="663">
        <f>(AB353-V353)*10000</f>
        <v>611.47199418853052</v>
      </c>
      <c r="AC355" s="416">
        <f>(AC353-W353)*10000</f>
        <v>494.88679634800053</v>
      </c>
      <c r="AD355" s="357"/>
      <c r="AE355" s="362"/>
      <c r="AF355" s="363"/>
      <c r="AG355" s="363"/>
      <c r="AH355" s="364"/>
      <c r="AI355" s="686"/>
      <c r="AJ355" s="357"/>
      <c r="AK355" s="357"/>
      <c r="CR355"/>
      <c r="CX355"/>
      <c r="DD355"/>
    </row>
    <row r="356" spans="1:113" ht="11.25" hidden="1" customHeight="1" outlineLevel="1">
      <c r="A356" s="373" t="s">
        <v>242</v>
      </c>
      <c r="B356" s="363"/>
      <c r="C356" s="357"/>
      <c r="D356" s="363"/>
      <c r="E356" s="357"/>
      <c r="F356" s="363"/>
      <c r="G356" s="357"/>
      <c r="H356" s="363"/>
      <c r="I356" s="357"/>
      <c r="J356" s="363"/>
      <c r="K356" s="401"/>
      <c r="L356" s="363"/>
      <c r="M356" s="401">
        <f>M352/K352-1</f>
        <v>0.55555555555555469</v>
      </c>
      <c r="N356" s="363"/>
      <c r="O356" s="401">
        <f>O352/M352-1</f>
        <v>10.324675324675331</v>
      </c>
      <c r="P356" s="363"/>
      <c r="Q356" s="401">
        <f>Q352/O352-1</f>
        <v>-1.6072247706422018</v>
      </c>
      <c r="R356" s="363"/>
      <c r="S356" s="378"/>
      <c r="T356" s="388"/>
      <c r="U356" s="388"/>
      <c r="V356" s="453"/>
      <c r="W356" s="401">
        <f>W352/Q352-1</f>
        <v>8.6846081208687451</v>
      </c>
      <c r="X356" s="364"/>
      <c r="Y356" s="378">
        <f>Y352/S352-1</f>
        <v>3.0113100848256362</v>
      </c>
      <c r="Z356" s="388">
        <f>Z352/T352-1</f>
        <v>1.5165728580362727</v>
      </c>
      <c r="AA356" s="388">
        <f>AA352/U352-1</f>
        <v>1.1734837799717912</v>
      </c>
      <c r="AB356" s="453">
        <f>AB352/V352-1</f>
        <v>1.4308823529411767</v>
      </c>
      <c r="AC356" s="401">
        <f>AC352/W352-1</f>
        <v>1.5365639625585024</v>
      </c>
      <c r="AD356" s="357"/>
      <c r="AE356" s="362"/>
      <c r="AF356" s="363"/>
      <c r="AG356" s="363"/>
      <c r="AH356" s="364"/>
      <c r="AI356" s="686"/>
      <c r="AJ356" s="357"/>
      <c r="AK356" s="357"/>
      <c r="CR356"/>
      <c r="CX356"/>
      <c r="DD356"/>
    </row>
    <row r="357" spans="1:113" ht="11.25" hidden="1" customHeight="1" outlineLevel="1">
      <c r="A357" s="362"/>
      <c r="B357" s="363"/>
      <c r="C357" s="357"/>
      <c r="D357" s="363"/>
      <c r="E357" s="357"/>
      <c r="F357" s="363"/>
      <c r="G357" s="357"/>
      <c r="H357" s="363"/>
      <c r="I357" s="357"/>
      <c r="J357" s="363"/>
      <c r="K357" s="357"/>
      <c r="L357" s="363"/>
      <c r="M357" s="357"/>
      <c r="N357" s="363"/>
      <c r="O357" s="357"/>
      <c r="P357" s="363"/>
      <c r="Q357" s="357"/>
      <c r="R357" s="363"/>
      <c r="S357" s="362"/>
      <c r="T357" s="363"/>
      <c r="U357" s="363"/>
      <c r="V357" s="364"/>
      <c r="W357" s="357"/>
      <c r="X357" s="364"/>
      <c r="Y357" s="362"/>
      <c r="Z357" s="363"/>
      <c r="AA357" s="363"/>
      <c r="AB357" s="364"/>
      <c r="AC357" s="357"/>
      <c r="AD357" s="357"/>
      <c r="AE357" s="362"/>
      <c r="AF357" s="363"/>
      <c r="AG357" s="363"/>
      <c r="AH357" s="364"/>
      <c r="AI357" s="686"/>
      <c r="AJ357" s="357"/>
      <c r="AK357" s="357"/>
      <c r="CR357"/>
      <c r="CX357"/>
      <c r="DD357"/>
    </row>
    <row r="358" spans="1:113" ht="11.25" hidden="1" customHeight="1" outlineLevel="1">
      <c r="A358" s="368" t="s">
        <v>25</v>
      </c>
      <c r="B358" s="363"/>
      <c r="C358" s="405">
        <v>-0.161</v>
      </c>
      <c r="D358" s="399"/>
      <c r="E358" s="405">
        <f>2.64+0.538</f>
        <v>3.1779999999999999</v>
      </c>
      <c r="F358" s="399"/>
      <c r="G358" s="405">
        <f>0.734+1.082+0.303</f>
        <v>2.1190000000000002</v>
      </c>
      <c r="H358" s="399"/>
      <c r="I358" s="405">
        <f>3.273-0.356</f>
        <v>2.9170000000000003</v>
      </c>
      <c r="J358" s="395"/>
      <c r="K358" s="405">
        <f>5.745+0.7+1.969</f>
        <v>8.4139999999999997</v>
      </c>
      <c r="L358" s="395"/>
      <c r="M358" s="405">
        <f>2.558+1.029+0.245</f>
        <v>3.8319999999999999</v>
      </c>
      <c r="N358" s="395"/>
      <c r="O358" s="405">
        <v>4.0629999999999997</v>
      </c>
      <c r="P358" s="395"/>
      <c r="Q358" s="405">
        <v>12.43</v>
      </c>
      <c r="R358" s="395"/>
      <c r="S358" s="386">
        <v>2.8050000000000002</v>
      </c>
      <c r="T358" s="399">
        <v>1.66</v>
      </c>
      <c r="U358" s="399">
        <v>1.242</v>
      </c>
      <c r="V358" s="620">
        <f>10+5.724-S358-T358-U358</f>
        <v>10.016999999999999</v>
      </c>
      <c r="W358" s="394">
        <f>SUM(S358:V358)</f>
        <v>15.724</v>
      </c>
      <c r="X358" s="536"/>
      <c r="Y358" s="386">
        <v>2.46</v>
      </c>
      <c r="Z358" s="399">
        <v>-1.1779999999999999</v>
      </c>
      <c r="AA358" s="399">
        <v>2.8849999999999998</v>
      </c>
      <c r="AB358" s="620">
        <f>14.042-Y358-Z358-AA358</f>
        <v>9.8750000000000018</v>
      </c>
      <c r="AC358" s="394">
        <f>SUM(Y358:AB358)</f>
        <v>14.042000000000002</v>
      </c>
      <c r="AD358" s="394"/>
      <c r="AE358" s="535"/>
      <c r="AF358" s="395"/>
      <c r="AG358" s="395"/>
      <c r="AH358" s="536"/>
      <c r="AI358" s="686"/>
      <c r="AJ358" s="394"/>
      <c r="AK358" s="394"/>
      <c r="CR358"/>
      <c r="CX358"/>
      <c r="DD358"/>
    </row>
    <row r="359" spans="1:113" ht="11.25" hidden="1" customHeight="1" outlineLevel="1">
      <c r="A359" s="354" t="s">
        <v>243</v>
      </c>
      <c r="B359" s="363"/>
      <c r="C359" s="357"/>
      <c r="D359" s="363"/>
      <c r="E359" s="401">
        <f>E358/E239</f>
        <v>4.9126603802751585E-2</v>
      </c>
      <c r="F359" s="363"/>
      <c r="G359" s="401">
        <f>G358/G239</f>
        <v>2.7662463121067335E-2</v>
      </c>
      <c r="H359" s="363"/>
      <c r="I359" s="401">
        <f>I358/I239</f>
        <v>3.1470153520838054E-2</v>
      </c>
      <c r="J359" s="363"/>
      <c r="K359" s="401">
        <f>K358/K239</f>
        <v>7.2305101058710297E-2</v>
      </c>
      <c r="L359" s="363"/>
      <c r="M359" s="401">
        <f>M358/M239</f>
        <v>2.6112614055291687E-2</v>
      </c>
      <c r="N359" s="363"/>
      <c r="O359" s="401">
        <f>O358/O239</f>
        <v>2.6626559714795009E-2</v>
      </c>
      <c r="P359" s="363"/>
      <c r="Q359" s="401">
        <f>Q358/Q239</f>
        <v>7.7035108921322551E-2</v>
      </c>
      <c r="R359" s="363"/>
      <c r="S359" s="378">
        <f>S358/S239</f>
        <v>7.4742199365823769E-2</v>
      </c>
      <c r="T359" s="388">
        <f>T358/T239</f>
        <v>4.1677127793120772E-2</v>
      </c>
      <c r="U359" s="388">
        <f>U358/U239</f>
        <v>3.4213933500454534E-2</v>
      </c>
      <c r="V359" s="453">
        <f>V358/V239</f>
        <v>0.21736394410207452</v>
      </c>
      <c r="W359" s="401">
        <f>W358/W239</f>
        <v>9.8432491987179502E-2</v>
      </c>
      <c r="X359" s="364"/>
      <c r="Y359" s="378">
        <f>Y358/Y239</f>
        <v>6.2976806103118121E-2</v>
      </c>
      <c r="Z359" s="388">
        <f>Z358/Z239</f>
        <v>-2.8994781923796394E-2</v>
      </c>
      <c r="AA359" s="388">
        <f>AA358/AA239</f>
        <v>6.2061695994492953E-2</v>
      </c>
      <c r="AB359" s="453">
        <f>AB358/AB239</f>
        <v>0.15818222592426479</v>
      </c>
      <c r="AC359" s="401">
        <f>AC358/AC239</f>
        <v>7.4452291573879684E-2</v>
      </c>
      <c r="AD359" s="357"/>
      <c r="AE359" s="362"/>
      <c r="AF359" s="363"/>
      <c r="AG359" s="363"/>
      <c r="AH359" s="364"/>
      <c r="AI359" s="686"/>
      <c r="AJ359" s="357"/>
      <c r="AK359" s="357"/>
      <c r="CR359"/>
      <c r="CX359"/>
      <c r="DD359"/>
    </row>
    <row r="360" spans="1:113" ht="11.25" hidden="1" customHeight="1" outlineLevel="1">
      <c r="A360" s="354" t="s">
        <v>244</v>
      </c>
      <c r="B360" s="363"/>
      <c r="C360" s="357"/>
      <c r="D360" s="363"/>
      <c r="E360" s="401">
        <f>(E358-C358)/(E239-C239)</f>
        <v>0.14851220922474762</v>
      </c>
      <c r="F360" s="363"/>
      <c r="G360" s="401">
        <f>(G358-E358)/(G239-E239)</f>
        <v>-8.8901947615849491E-2</v>
      </c>
      <c r="H360" s="363"/>
      <c r="I360" s="401">
        <f>(I358-G358)/(I239-G239)</f>
        <v>4.9599104978556782E-2</v>
      </c>
      <c r="J360" s="363"/>
      <c r="K360" s="401">
        <f>(K358-I358)/(K239-I239)</f>
        <v>0.23216623727668209</v>
      </c>
      <c r="L360" s="363"/>
      <c r="M360" s="401">
        <f>(M358-K358)/(M239-K239)</f>
        <v>-0.15081794542641783</v>
      </c>
      <c r="N360" s="363"/>
      <c r="O360" s="401">
        <f>(O358-M358)/(O239-M239)</f>
        <v>3.9534485709395911E-2</v>
      </c>
      <c r="P360" s="363"/>
      <c r="Q360" s="401">
        <f>(Q358-O358)/(Q239-O239)</f>
        <v>0.95480999657651444</v>
      </c>
      <c r="R360" s="363"/>
      <c r="S360" s="378"/>
      <c r="T360" s="388"/>
      <c r="U360" s="388"/>
      <c r="V360" s="453"/>
      <c r="W360" s="401">
        <f>(W358-Q358)/(W239-Q239)</f>
        <v>-2.0446927374301445</v>
      </c>
      <c r="X360" s="364"/>
      <c r="Y360" s="378">
        <f>(Y358-S358)/(Y239-S239)</f>
        <v>-0.2250489236790606</v>
      </c>
      <c r="Z360" s="388">
        <f>(Z358-T358)/(Z239-T239)</f>
        <v>-3.5563909774435691</v>
      </c>
      <c r="AA360" s="388">
        <f>(AA358-U358)/(AA239-U239)</f>
        <v>0.1613156602847324</v>
      </c>
      <c r="AB360" s="453">
        <f>(AB358-V358)/(AB239-V239)</f>
        <v>-8.6882036221241805E-3</v>
      </c>
      <c r="AC360" s="401">
        <f>(AC358-W358)/(AC239-W239)</f>
        <v>-5.8281358281358206E-2</v>
      </c>
      <c r="AD360" s="357"/>
      <c r="AE360" s="362"/>
      <c r="AF360" s="363"/>
      <c r="AG360" s="363"/>
      <c r="AH360" s="364"/>
      <c r="AI360" s="686"/>
      <c r="AJ360" s="357"/>
      <c r="AK360" s="357"/>
      <c r="CR360"/>
      <c r="CX360"/>
      <c r="DD360"/>
    </row>
    <row r="361" spans="1:113" ht="11.25" hidden="1" customHeight="1" outlineLevel="1">
      <c r="A361" s="373" t="s">
        <v>241</v>
      </c>
      <c r="B361" s="363"/>
      <c r="C361" s="357"/>
      <c r="D361" s="363"/>
      <c r="E361" s="416">
        <f>(E359-C359)*10000</f>
        <v>491.26603802751583</v>
      </c>
      <c r="F361" s="363"/>
      <c r="G361" s="416">
        <f>(G359-E359)*10000</f>
        <v>-214.6414068168425</v>
      </c>
      <c r="H361" s="363"/>
      <c r="I361" s="416">
        <f>(I359-G359)*10000</f>
        <v>38.076903997707191</v>
      </c>
      <c r="J361" s="363"/>
      <c r="K361" s="416">
        <f>(K359-I359)*10000</f>
        <v>408.34947537872245</v>
      </c>
      <c r="L361" s="363"/>
      <c r="M361" s="416">
        <f>(M359-K359)*10000</f>
        <v>-461.92487003418609</v>
      </c>
      <c r="N361" s="363"/>
      <c r="O361" s="416">
        <f>(O359-M359)*10000</f>
        <v>5.1394565950332174</v>
      </c>
      <c r="P361" s="363"/>
      <c r="Q361" s="416">
        <f>(Q359-O359)*10000</f>
        <v>504.08549206527545</v>
      </c>
      <c r="R361" s="363"/>
      <c r="S361" s="387"/>
      <c r="T361" s="415"/>
      <c r="U361" s="415"/>
      <c r="V361" s="663"/>
      <c r="W361" s="416">
        <f>(W359-Q359)*10000</f>
        <v>213.97383065856951</v>
      </c>
      <c r="X361" s="364"/>
      <c r="Y361" s="387">
        <f>(Y359-S359)*10000</f>
        <v>-117.65393262705648</v>
      </c>
      <c r="Z361" s="415">
        <f>(Z359-T359)*10000</f>
        <v>-706.71909716917173</v>
      </c>
      <c r="AA361" s="415">
        <f>(AA359-U359)*10000</f>
        <v>278.4776249403842</v>
      </c>
      <c r="AB361" s="663">
        <f>(AB359-V359)*10000</f>
        <v>-591.81718177809728</v>
      </c>
      <c r="AC361" s="416">
        <f>(AC359-W359)*10000</f>
        <v>-239.80200413299818</v>
      </c>
      <c r="AD361" s="357"/>
      <c r="AE361" s="362"/>
      <c r="AF361" s="363"/>
      <c r="AG361" s="363"/>
      <c r="AH361" s="364"/>
      <c r="AI361" s="686"/>
      <c r="AJ361" s="357"/>
      <c r="AK361" s="357"/>
      <c r="CR361"/>
      <c r="CX361"/>
      <c r="DD361"/>
    </row>
    <row r="362" spans="1:113" ht="11.25" hidden="1" customHeight="1" outlineLevel="1">
      <c r="A362" s="373" t="s">
        <v>242</v>
      </c>
      <c r="B362" s="363"/>
      <c r="C362" s="357"/>
      <c r="D362" s="363"/>
      <c r="E362" s="401">
        <f>E358/C358-1</f>
        <v>-20.739130434782609</v>
      </c>
      <c r="F362" s="363"/>
      <c r="G362" s="401">
        <f>G358/E358-1</f>
        <v>-0.33322844556324727</v>
      </c>
      <c r="H362" s="363"/>
      <c r="I362" s="401">
        <f>I358/G358-1</f>
        <v>0.37659273242095326</v>
      </c>
      <c r="J362" s="363"/>
      <c r="K362" s="401">
        <f>K358/I358-1</f>
        <v>1.8844703462461427</v>
      </c>
      <c r="L362" s="363"/>
      <c r="M362" s="401">
        <f>M358/K358-1</f>
        <v>-0.54456857618255294</v>
      </c>
      <c r="N362" s="363"/>
      <c r="O362" s="401">
        <f>O358/M358-1</f>
        <v>6.0281837160751639E-2</v>
      </c>
      <c r="P362" s="363"/>
      <c r="Q362" s="401">
        <f>Q358/O358-1</f>
        <v>2.0593157765198131</v>
      </c>
      <c r="R362" s="363"/>
      <c r="S362" s="378"/>
      <c r="T362" s="388"/>
      <c r="U362" s="388"/>
      <c r="V362" s="453"/>
      <c r="W362" s="401">
        <f>W358/Q358-1</f>
        <v>0.26500402252614652</v>
      </c>
      <c r="X362" s="364"/>
      <c r="Y362" s="378">
        <f>Y358/S358-1</f>
        <v>-0.12299465240641716</v>
      </c>
      <c r="Z362" s="388">
        <f>Z358/T358-1</f>
        <v>-1.7096385542168675</v>
      </c>
      <c r="AA362" s="388">
        <f>AA358/U358-1</f>
        <v>1.3228663446054747</v>
      </c>
      <c r="AB362" s="453">
        <f>AB358/V358-1</f>
        <v>-1.4175900968353528E-2</v>
      </c>
      <c r="AC362" s="401">
        <f>AC358/W358-1</f>
        <v>-0.10697023658102256</v>
      </c>
      <c r="AD362" s="357"/>
      <c r="AE362" s="362"/>
      <c r="AF362" s="363"/>
      <c r="AG362" s="363"/>
      <c r="AH362" s="364"/>
      <c r="AI362" s="686"/>
      <c r="AJ362" s="357"/>
      <c r="AK362" s="357"/>
      <c r="CR362"/>
      <c r="CX362"/>
      <c r="DD362"/>
    </row>
    <row r="363" spans="1:113" ht="11.25" hidden="1" customHeight="1" outlineLevel="1">
      <c r="A363" s="373"/>
      <c r="B363" s="363"/>
      <c r="C363" s="357"/>
      <c r="D363" s="363"/>
      <c r="E363" s="357"/>
      <c r="F363" s="363"/>
      <c r="G363" s="357"/>
      <c r="H363" s="363"/>
      <c r="I363" s="357"/>
      <c r="J363" s="363"/>
      <c r="K363" s="357"/>
      <c r="L363" s="363"/>
      <c r="M363" s="357"/>
      <c r="N363" s="363"/>
      <c r="O363" s="357"/>
      <c r="P363" s="363"/>
      <c r="Q363" s="357"/>
      <c r="R363" s="363"/>
      <c r="S363" s="362"/>
      <c r="T363" s="363"/>
      <c r="U363" s="363"/>
      <c r="V363" s="364"/>
      <c r="W363" s="357"/>
      <c r="X363" s="364"/>
      <c r="Y363" s="362"/>
      <c r="Z363" s="363"/>
      <c r="AA363" s="363"/>
      <c r="AB363" s="364"/>
      <c r="AC363" s="357"/>
      <c r="AD363" s="357"/>
      <c r="AE363" s="362"/>
      <c r="AF363" s="363"/>
      <c r="AG363" s="363"/>
      <c r="AH363" s="364"/>
      <c r="AI363" s="686"/>
      <c r="AJ363" s="357"/>
      <c r="AK363" s="357"/>
      <c r="CR363"/>
      <c r="CX363"/>
      <c r="DD363"/>
    </row>
    <row r="364" spans="1:113" ht="11.25" hidden="1" customHeight="1" outlineLevel="1">
      <c r="A364" s="368" t="s">
        <v>24</v>
      </c>
      <c r="B364" s="363"/>
      <c r="C364" s="405">
        <v>0</v>
      </c>
      <c r="D364" s="363"/>
      <c r="E364" s="405">
        <v>0</v>
      </c>
      <c r="F364" s="363"/>
      <c r="G364" s="405">
        <v>0</v>
      </c>
      <c r="H364" s="363"/>
      <c r="I364" s="405">
        <v>0</v>
      </c>
      <c r="J364" s="363"/>
      <c r="K364" s="405">
        <v>0</v>
      </c>
      <c r="L364" s="363"/>
      <c r="M364" s="405">
        <v>0</v>
      </c>
      <c r="N364" s="363"/>
      <c r="O364" s="405">
        <v>0</v>
      </c>
      <c r="P364" s="363"/>
      <c r="Q364" s="405">
        <v>12.035</v>
      </c>
      <c r="R364" s="363"/>
      <c r="S364" s="386">
        <f>2.786+1.176</f>
        <v>3.9619999999999997</v>
      </c>
      <c r="T364" s="399">
        <f>1.657+3.692</f>
        <v>5.3490000000000002</v>
      </c>
      <c r="U364" s="399">
        <f>5.083+0.961</f>
        <v>6.0440000000000005</v>
      </c>
      <c r="V364" s="620">
        <f>17.944-S364-T364-U364</f>
        <v>2.5889999999999986</v>
      </c>
      <c r="W364" s="394">
        <f>SUM(S364:V364)</f>
        <v>17.943999999999999</v>
      </c>
      <c r="X364" s="364"/>
      <c r="Y364" s="386">
        <v>2.2269999999999999</v>
      </c>
      <c r="Z364" s="399">
        <v>5.2779999999999996</v>
      </c>
      <c r="AA364" s="399">
        <v>4.3109999999999999</v>
      </c>
      <c r="AB364" s="620">
        <f>18.276-Y364-Z364-AA364</f>
        <v>6.4600000000000009</v>
      </c>
      <c r="AC364" s="394">
        <f>SUM(Y364:AB364)</f>
        <v>18.276</v>
      </c>
      <c r="AD364" s="357"/>
      <c r="AE364" s="362"/>
      <c r="AF364" s="363"/>
      <c r="AG364" s="363"/>
      <c r="AH364" s="364"/>
      <c r="AI364" s="686"/>
      <c r="AJ364" s="357"/>
      <c r="AK364" s="357"/>
      <c r="CR364"/>
      <c r="CX364"/>
      <c r="DD364"/>
    </row>
    <row r="365" spans="1:113" ht="11.25" hidden="1" customHeight="1" outlineLevel="1">
      <c r="A365" s="354" t="s">
        <v>243</v>
      </c>
      <c r="B365" s="363"/>
      <c r="C365" s="357"/>
      <c r="D365" s="363"/>
      <c r="E365" s="357"/>
      <c r="F365" s="363"/>
      <c r="G365" s="357"/>
      <c r="H365" s="363"/>
      <c r="I365" s="357"/>
      <c r="J365" s="363"/>
      <c r="K365" s="357"/>
      <c r="L365" s="363"/>
      <c r="M365" s="357"/>
      <c r="N365" s="363"/>
      <c r="O365" s="401"/>
      <c r="P365" s="363"/>
      <c r="Q365" s="401">
        <f>Q364/Q241</f>
        <v>0.15292054738821617</v>
      </c>
      <c r="R365" s="363"/>
      <c r="S365" s="378">
        <f>S364/S241</f>
        <v>0.18602685698187624</v>
      </c>
      <c r="T365" s="388">
        <f>T364/T241</f>
        <v>0.22705662619916803</v>
      </c>
      <c r="U365" s="388">
        <f>U364/U241</f>
        <v>0.24652282089978386</v>
      </c>
      <c r="V365" s="453">
        <f>V364/V241</f>
        <v>7.1604391957297328E-2</v>
      </c>
      <c r="W365" s="401">
        <f>W364/W241</f>
        <v>0.17003695631573962</v>
      </c>
      <c r="X365" s="364"/>
      <c r="Y365" s="378">
        <f>Y364/Y241</f>
        <v>0.10240022070995035</v>
      </c>
      <c r="Z365" s="388">
        <f>Z364/Z241</f>
        <v>0.17433526011560693</v>
      </c>
      <c r="AA365" s="388">
        <f>AA364/AA241</f>
        <v>0.15030332612788508</v>
      </c>
      <c r="AB365" s="453">
        <f>AB364/AB241</f>
        <v>0.15458983440222079</v>
      </c>
      <c r="AC365" s="401">
        <f>AC364/AC241</f>
        <v>0.14920036246969215</v>
      </c>
      <c r="AD365" s="357"/>
      <c r="AE365" s="362"/>
      <c r="AF365" s="363"/>
      <c r="AG365" s="363"/>
      <c r="AH365" s="364"/>
      <c r="AI365" s="686"/>
      <c r="AJ365" s="357"/>
      <c r="AK365" s="357"/>
      <c r="CR365"/>
      <c r="CX365"/>
      <c r="DD365"/>
    </row>
    <row r="366" spans="1:113" ht="11.25" hidden="1" customHeight="1" outlineLevel="1">
      <c r="A366" s="354" t="s">
        <v>244</v>
      </c>
      <c r="B366" s="363"/>
      <c r="C366" s="357"/>
      <c r="D366" s="363"/>
      <c r="E366" s="357"/>
      <c r="F366" s="363"/>
      <c r="G366" s="357"/>
      <c r="H366" s="363"/>
      <c r="I366" s="357"/>
      <c r="J366" s="363"/>
      <c r="K366" s="357"/>
      <c r="L366" s="363"/>
      <c r="M366" s="357"/>
      <c r="N366" s="363"/>
      <c r="O366" s="401"/>
      <c r="P366" s="363"/>
      <c r="Q366" s="401"/>
      <c r="R366" s="363"/>
      <c r="S366" s="378"/>
      <c r="T366" s="388"/>
      <c r="U366" s="388"/>
      <c r="V366" s="453"/>
      <c r="W366" s="401">
        <f>(W364-Q364)/(W241-Q241)</f>
        <v>0.2202467479220247</v>
      </c>
      <c r="X366" s="364"/>
      <c r="Y366" s="378">
        <f>(Y364-S364)/(Y241-S241)</f>
        <v>-3.8555555555555614</v>
      </c>
      <c r="Z366" s="388">
        <f>(Z364-T364)/(Z241-T241)</f>
        <v>-1.0570195027542152E-2</v>
      </c>
      <c r="AA366" s="388">
        <f>(AA364-U364)/(AA241-U241)</f>
        <v>-0.41608643457382977</v>
      </c>
      <c r="AB366" s="453">
        <f>(AB364-V364)/(AB241-V241)</f>
        <v>0.68744450364056153</v>
      </c>
      <c r="AC366" s="401">
        <f>(AC364-W364)/(AC241-W241)</f>
        <v>1.9572009668101197E-2</v>
      </c>
      <c r="AD366" s="357"/>
      <c r="AE366" s="362"/>
      <c r="AF366" s="363"/>
      <c r="AG366" s="363"/>
      <c r="AH366" s="364"/>
      <c r="AI366" s="686"/>
      <c r="AJ366" s="357"/>
      <c r="AK366" s="357"/>
      <c r="CR366"/>
      <c r="CX366"/>
      <c r="DD366"/>
    </row>
    <row r="367" spans="1:113" ht="11.25" hidden="1" customHeight="1" outlineLevel="1">
      <c r="A367" s="373" t="s">
        <v>241</v>
      </c>
      <c r="B367" s="363"/>
      <c r="C367" s="357"/>
      <c r="D367" s="363"/>
      <c r="E367" s="357"/>
      <c r="F367" s="363"/>
      <c r="G367" s="357"/>
      <c r="H367" s="363"/>
      <c r="I367" s="357"/>
      <c r="J367" s="363"/>
      <c r="K367" s="357"/>
      <c r="L367" s="363"/>
      <c r="M367" s="357"/>
      <c r="N367" s="363"/>
      <c r="O367" s="416"/>
      <c r="P367" s="363"/>
      <c r="Q367" s="416"/>
      <c r="R367" s="363"/>
      <c r="S367" s="387"/>
      <c r="T367" s="415"/>
      <c r="U367" s="415"/>
      <c r="V367" s="663"/>
      <c r="W367" s="416">
        <f>(W365-Q365)*10000</f>
        <v>171.16408927523446</v>
      </c>
      <c r="X367" s="364"/>
      <c r="Y367" s="387">
        <f>(Y365-S365)*10000</f>
        <v>-836.26636271925884</v>
      </c>
      <c r="Z367" s="415">
        <f>(Z365-T365)*10000</f>
        <v>-527.21366083561099</v>
      </c>
      <c r="AA367" s="415">
        <f>(AA365-U365)*10000</f>
        <v>-962.19494771898781</v>
      </c>
      <c r="AB367" s="663">
        <f>(AB365-V365)*10000</f>
        <v>829.85442444923467</v>
      </c>
      <c r="AC367" s="416">
        <f>(AC365-W365)*10000</f>
        <v>-208.36593846047469</v>
      </c>
      <c r="AD367" s="357"/>
      <c r="AE367" s="362"/>
      <c r="AF367" s="363"/>
      <c r="AG367" s="363"/>
      <c r="AH367" s="364"/>
      <c r="AI367" s="686"/>
      <c r="AJ367" s="357"/>
      <c r="AK367" s="357"/>
      <c r="CR367"/>
      <c r="CX367"/>
      <c r="DD367"/>
    </row>
    <row r="368" spans="1:113" ht="11.25" hidden="1" customHeight="1" outlineLevel="1">
      <c r="A368" s="373" t="s">
        <v>242</v>
      </c>
      <c r="B368" s="363"/>
      <c r="C368" s="357"/>
      <c r="D368" s="363"/>
      <c r="E368" s="357"/>
      <c r="F368" s="363"/>
      <c r="G368" s="357"/>
      <c r="H368" s="363"/>
      <c r="I368" s="357"/>
      <c r="J368" s="363"/>
      <c r="K368" s="357"/>
      <c r="L368" s="363"/>
      <c r="M368" s="357"/>
      <c r="N368" s="363"/>
      <c r="O368" s="401"/>
      <c r="P368" s="363"/>
      <c r="Q368" s="401"/>
      <c r="R368" s="363"/>
      <c r="S368" s="378"/>
      <c r="T368" s="388"/>
      <c r="U368" s="388"/>
      <c r="V368" s="453"/>
      <c r="W368" s="401">
        <f>W364/Q364-1</f>
        <v>0.49098462816784361</v>
      </c>
      <c r="X368" s="364"/>
      <c r="Y368" s="378">
        <f>Y364/S364-1</f>
        <v>-0.4379101463907118</v>
      </c>
      <c r="Z368" s="388">
        <f>Z364/T364-1</f>
        <v>-1.3273509067115441E-2</v>
      </c>
      <c r="AA368" s="388">
        <f>AA364/U364-1</f>
        <v>-0.28673064195896769</v>
      </c>
      <c r="AB368" s="453">
        <f>AB364/V364-1</f>
        <v>1.4951718810351502</v>
      </c>
      <c r="AC368" s="401">
        <f>AC364/W364-1</f>
        <v>1.8502006241640778E-2</v>
      </c>
      <c r="AD368" s="357"/>
      <c r="AE368" s="362"/>
      <c r="AF368" s="363"/>
      <c r="AG368" s="363"/>
      <c r="AH368" s="364"/>
      <c r="AI368" s="686"/>
      <c r="AJ368" s="357"/>
      <c r="AK368" s="357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481"/>
      <c r="AX368" s="21"/>
      <c r="AY368" s="21"/>
      <c r="AZ368" s="21"/>
      <c r="BA368" s="21"/>
      <c r="BB368" s="21"/>
      <c r="BC368" s="21"/>
      <c r="BD368" s="21"/>
      <c r="BE368" s="21"/>
      <c r="BF368" s="21"/>
      <c r="BG368" s="21"/>
      <c r="BH368" s="21"/>
      <c r="BI368" s="21"/>
      <c r="BJ368" s="21"/>
      <c r="BK368" s="21"/>
      <c r="BL368" s="21"/>
      <c r="BM368" s="21"/>
      <c r="BN368" s="21"/>
      <c r="BO368" s="21"/>
      <c r="BP368" s="21"/>
      <c r="BQ368" s="21"/>
      <c r="BR368" s="21"/>
      <c r="BT368" s="21"/>
      <c r="BU368" s="21"/>
      <c r="BV368" s="21"/>
      <c r="BW368" s="21"/>
      <c r="BX368" s="21"/>
      <c r="BY368" s="21"/>
      <c r="BZ368" s="21"/>
      <c r="CA368" s="21"/>
      <c r="CB368" s="21"/>
      <c r="CC368" s="21"/>
      <c r="CD368" s="21"/>
      <c r="CE368" s="21"/>
      <c r="CF368" s="21"/>
      <c r="CG368" s="21"/>
      <c r="CH368" s="21"/>
      <c r="CI368" s="21"/>
      <c r="CJ368" s="21"/>
      <c r="CK368" s="21"/>
      <c r="CL368" s="21"/>
      <c r="CM368" s="21"/>
      <c r="CN368" s="21"/>
      <c r="CO368" s="21"/>
      <c r="CP368" s="21"/>
      <c r="CQ368" s="21"/>
      <c r="CR368" s="21"/>
      <c r="CS368" s="21"/>
      <c r="CT368" s="21"/>
      <c r="CU368" s="21"/>
      <c r="CV368" s="21"/>
      <c r="CW368" s="21"/>
      <c r="CX368" s="21"/>
      <c r="CY368" s="21"/>
      <c r="CZ368" s="21"/>
      <c r="DA368" s="21"/>
      <c r="DB368" s="21"/>
      <c r="DC368" s="21"/>
      <c r="DD368" s="21"/>
      <c r="DE368" s="21"/>
      <c r="DF368" s="21"/>
      <c r="DG368" s="21"/>
      <c r="DH368" s="21"/>
      <c r="DI368" s="21"/>
    </row>
    <row r="369" spans="1:108" ht="11.25" hidden="1" customHeight="1" outlineLevel="1">
      <c r="A369" s="900"/>
      <c r="B369" s="366"/>
      <c r="C369" s="358"/>
      <c r="D369" s="366"/>
      <c r="E369" s="358"/>
      <c r="F369" s="366"/>
      <c r="G369" s="358"/>
      <c r="H369" s="366"/>
      <c r="I369" s="358"/>
      <c r="J369" s="366"/>
      <c r="K369" s="358"/>
      <c r="L369" s="366"/>
      <c r="M369" s="358"/>
      <c r="N369" s="366"/>
      <c r="O369" s="403"/>
      <c r="P369" s="366"/>
      <c r="Q369" s="403"/>
      <c r="R369" s="366"/>
      <c r="S369" s="379"/>
      <c r="T369" s="390"/>
      <c r="U369" s="390"/>
      <c r="V369" s="448"/>
      <c r="W369" s="403"/>
      <c r="X369" s="544"/>
      <c r="Y369" s="365"/>
      <c r="Z369" s="366"/>
      <c r="AA369" s="366"/>
      <c r="AB369" s="544"/>
      <c r="AC369" s="688"/>
      <c r="AD369" s="358"/>
      <c r="AE369" s="365"/>
      <c r="AF369" s="366"/>
      <c r="AG369" s="366"/>
      <c r="AH369" s="544"/>
      <c r="AI369" s="688"/>
      <c r="AJ369" s="358"/>
      <c r="AK369" s="358"/>
      <c r="CR369"/>
      <c r="CX369"/>
      <c r="DD369"/>
    </row>
    <row r="370" spans="1:108" ht="11.25" hidden="1" customHeight="1" outlineLevel="1">
      <c r="A370" s="368" t="s">
        <v>338</v>
      </c>
      <c r="B370" s="363"/>
      <c r="C370" s="357"/>
      <c r="D370" s="363"/>
      <c r="E370" s="357"/>
      <c r="F370" s="363"/>
      <c r="G370" s="357"/>
      <c r="H370" s="363"/>
      <c r="I370" s="357"/>
      <c r="J370" s="363"/>
      <c r="K370" s="357"/>
      <c r="L370" s="363"/>
      <c r="M370" s="357"/>
      <c r="N370" s="363"/>
      <c r="O370" s="401"/>
      <c r="P370" s="363"/>
      <c r="Q370" s="401"/>
      <c r="R370" s="363"/>
      <c r="S370" s="378"/>
      <c r="T370" s="388"/>
      <c r="U370" s="388"/>
      <c r="V370" s="453"/>
      <c r="W370" s="401"/>
      <c r="X370" s="364"/>
      <c r="Y370" s="386">
        <v>8.9429999999999996</v>
      </c>
      <c r="Z370" s="396">
        <v>8.1240000000000006</v>
      </c>
      <c r="AA370" s="396">
        <v>13.36</v>
      </c>
      <c r="AB370" s="620">
        <f>59.2-Y370-Z370-AA370</f>
        <v>28.773000000000003</v>
      </c>
      <c r="AC370" s="394">
        <f>SUM(Y370:AB370)</f>
        <v>59.2</v>
      </c>
      <c r="AD370" s="357"/>
      <c r="AE370" s="386">
        <v>11.749000000000001</v>
      </c>
      <c r="AF370" s="396">
        <v>6.7270000000000003</v>
      </c>
      <c r="AG370" s="396">
        <v>8.4440000000000008</v>
      </c>
      <c r="AH370" s="620">
        <f>49.4-AE370-AF370-AG370</f>
        <v>22.479999999999997</v>
      </c>
      <c r="AI370" s="394">
        <f>SUM(AE370:AH370)</f>
        <v>49.4</v>
      </c>
      <c r="AJ370" s="357"/>
      <c r="AK370" s="405">
        <v>2.2000000000000002</v>
      </c>
      <c r="CR370"/>
      <c r="CX370"/>
      <c r="DD370"/>
    </row>
    <row r="371" spans="1:108" ht="11.25" hidden="1" customHeight="1" outlineLevel="1">
      <c r="A371" s="354" t="s">
        <v>243</v>
      </c>
      <c r="B371" s="363"/>
      <c r="C371" s="357"/>
      <c r="D371" s="363"/>
      <c r="E371" s="357"/>
      <c r="F371" s="363"/>
      <c r="G371" s="357"/>
      <c r="H371" s="363"/>
      <c r="I371" s="357"/>
      <c r="J371" s="363"/>
      <c r="K371" s="357"/>
      <c r="L371" s="363"/>
      <c r="M371" s="357"/>
      <c r="N371" s="363"/>
      <c r="O371" s="401"/>
      <c r="P371" s="363"/>
      <c r="Q371" s="401"/>
      <c r="R371" s="363"/>
      <c r="S371" s="378"/>
      <c r="T371" s="388"/>
      <c r="U371" s="388"/>
      <c r="V371" s="453"/>
      <c r="W371" s="401"/>
      <c r="X371" s="364"/>
      <c r="Y371" s="378">
        <f>Y370/Y243</f>
        <v>7.9314962794781507E-2</v>
      </c>
      <c r="Z371" s="388">
        <f>Z370/Z243</f>
        <v>6.5409048090625838E-2</v>
      </c>
      <c r="AA371" s="388">
        <f>AA370/AA243</f>
        <v>9.8861904127632488E-2</v>
      </c>
      <c r="AB371" s="453">
        <f>AB370/AB243</f>
        <v>0.15722435329989176</v>
      </c>
      <c r="AC371" s="401">
        <f>AC370/AC243</f>
        <v>0.10664745090974596</v>
      </c>
      <c r="AD371" s="357"/>
      <c r="AE371" s="378">
        <f>AE370/AE243</f>
        <v>8.2374552159799205E-2</v>
      </c>
      <c r="AF371" s="388">
        <f>AF370/AF243</f>
        <v>4.1888500744117117E-2</v>
      </c>
      <c r="AG371" s="388">
        <f>AG370/AG243</f>
        <v>5.9807206045882411E-2</v>
      </c>
      <c r="AH371" s="453">
        <f>AH370/AH243</f>
        <v>0.11907347278207117</v>
      </c>
      <c r="AI371" s="401">
        <f>AI370/AI243</f>
        <v>7.8016424510423232E-2</v>
      </c>
      <c r="AJ371" s="357"/>
      <c r="AK371" s="401">
        <f>AK370/AK243</f>
        <v>1.7377567140600316E-2</v>
      </c>
      <c r="CR371"/>
      <c r="CX371"/>
      <c r="DD371"/>
    </row>
    <row r="372" spans="1:108" ht="11.25" hidden="1" customHeight="1" outlineLevel="1">
      <c r="A372" s="354" t="s">
        <v>244</v>
      </c>
      <c r="B372" s="363"/>
      <c r="C372" s="357"/>
      <c r="D372" s="363"/>
      <c r="E372" s="357"/>
      <c r="F372" s="363"/>
      <c r="G372" s="357"/>
      <c r="H372" s="363"/>
      <c r="I372" s="357"/>
      <c r="J372" s="363"/>
      <c r="K372" s="357"/>
      <c r="L372" s="363"/>
      <c r="M372" s="357"/>
      <c r="N372" s="363"/>
      <c r="O372" s="401"/>
      <c r="P372" s="363"/>
      <c r="Q372" s="401"/>
      <c r="R372" s="363"/>
      <c r="S372" s="378"/>
      <c r="T372" s="388"/>
      <c r="U372" s="388"/>
      <c r="V372" s="453"/>
      <c r="W372" s="401"/>
      <c r="X372" s="364"/>
      <c r="Y372" s="362"/>
      <c r="Z372" s="363"/>
      <c r="AA372" s="363"/>
      <c r="AB372" s="364"/>
      <c r="AC372" s="357"/>
      <c r="AD372" s="357"/>
      <c r="AE372" s="378">
        <f>(AE370-Y370)/(AE243-Y243)</f>
        <v>9.3921542375150685E-2</v>
      </c>
      <c r="AF372" s="388">
        <f>(AF370-Z370)/(AF243-Z243)</f>
        <v>-3.8389667491068979E-2</v>
      </c>
      <c r="AG372" s="388">
        <f>(AG370-AA370)/(AG243-AA243)</f>
        <v>-0.81269631344023696</v>
      </c>
      <c r="AH372" s="453">
        <f>(AH370-AB370)/(AH243-AB243)</f>
        <v>-1.0878133102852381</v>
      </c>
      <c r="AI372" s="401">
        <f>(AI370-AC370)/(AI243-AC243)</f>
        <v>-0.12548015364916792</v>
      </c>
      <c r="AJ372" s="357"/>
      <c r="AK372" s="401">
        <f>(AK370-AE370)/(AK243-AE243)</f>
        <v>0.59573273441886643</v>
      </c>
      <c r="CR372"/>
      <c r="CX372"/>
      <c r="DD372"/>
    </row>
    <row r="373" spans="1:108" ht="11.25" hidden="1" customHeight="1" outlineLevel="1">
      <c r="A373" s="373" t="s">
        <v>241</v>
      </c>
      <c r="B373" s="363"/>
      <c r="C373" s="357"/>
      <c r="D373" s="363"/>
      <c r="E373" s="357"/>
      <c r="F373" s="363"/>
      <c r="G373" s="357"/>
      <c r="H373" s="363"/>
      <c r="I373" s="357"/>
      <c r="J373" s="363"/>
      <c r="K373" s="357"/>
      <c r="L373" s="363"/>
      <c r="M373" s="357"/>
      <c r="N373" s="363"/>
      <c r="O373" s="401"/>
      <c r="P373" s="363"/>
      <c r="Q373" s="401"/>
      <c r="R373" s="363"/>
      <c r="S373" s="378"/>
      <c r="T373" s="388"/>
      <c r="U373" s="388"/>
      <c r="V373" s="453"/>
      <c r="W373" s="401"/>
      <c r="X373" s="364"/>
      <c r="Y373" s="362"/>
      <c r="Z373" s="363"/>
      <c r="AA373" s="363"/>
      <c r="AB373" s="364"/>
      <c r="AC373" s="357"/>
      <c r="AD373" s="357"/>
      <c r="AE373" s="387">
        <f>(AE371-Y371)*10000</f>
        <v>30.595893650176979</v>
      </c>
      <c r="AF373" s="415">
        <f>(AF371-Z371)*10000</f>
        <v>-235.20547346508721</v>
      </c>
      <c r="AG373" s="415">
        <f>(AG371-AA371)*10000</f>
        <v>-390.54698081750075</v>
      </c>
      <c r="AH373" s="415">
        <f>(AH371-AB371)*10000</f>
        <v>-381.50880517820588</v>
      </c>
      <c r="AI373" s="416">
        <f>(AI371-AC371)*10000</f>
        <v>-286.3102639932273</v>
      </c>
      <c r="AJ373" s="357"/>
      <c r="AK373" s="416">
        <f>(AK371-AE371)*10000</f>
        <v>-649.96985019198883</v>
      </c>
      <c r="CR373"/>
      <c r="CX373"/>
      <c r="DD373"/>
    </row>
    <row r="374" spans="1:108" ht="11.25" hidden="1" customHeight="1" outlineLevel="1">
      <c r="A374" s="373" t="s">
        <v>242</v>
      </c>
      <c r="B374" s="363"/>
      <c r="C374" s="357"/>
      <c r="D374" s="363"/>
      <c r="E374" s="357"/>
      <c r="F374" s="363"/>
      <c r="G374" s="357"/>
      <c r="H374" s="363"/>
      <c r="I374" s="357"/>
      <c r="J374" s="363"/>
      <c r="K374" s="357"/>
      <c r="L374" s="363"/>
      <c r="M374" s="357"/>
      <c r="N374" s="363"/>
      <c r="O374" s="401"/>
      <c r="P374" s="363"/>
      <c r="Q374" s="401"/>
      <c r="R374" s="363"/>
      <c r="S374" s="378"/>
      <c r="T374" s="388"/>
      <c r="U374" s="388"/>
      <c r="V374" s="453"/>
      <c r="W374" s="401"/>
      <c r="X374" s="364"/>
      <c r="Y374" s="362"/>
      <c r="Z374" s="363"/>
      <c r="AA374" s="363"/>
      <c r="AB374" s="364"/>
      <c r="AC374" s="357"/>
      <c r="AD374" s="357"/>
      <c r="AE374" s="378">
        <f>AE370/Y370-1</f>
        <v>0.31376495583137665</v>
      </c>
      <c r="AF374" s="388">
        <f>AF370/Z370-1</f>
        <v>-0.17195962580009849</v>
      </c>
      <c r="AG374" s="388">
        <f>AG370/AA370-1</f>
        <v>-0.36796407185628732</v>
      </c>
      <c r="AH374" s="453">
        <f>AH370/AB370-1</f>
        <v>-0.21871198693219362</v>
      </c>
      <c r="AI374" s="401">
        <f>AI370/AC370-1</f>
        <v>-0.16554054054054057</v>
      </c>
      <c r="AJ374" s="357"/>
      <c r="AK374" s="401">
        <f>AK370/AE370-1</f>
        <v>-0.81275002127840668</v>
      </c>
      <c r="CR374"/>
      <c r="CX374"/>
      <c r="DD374"/>
    </row>
    <row r="375" spans="1:108" ht="11.25" hidden="1" customHeight="1" outlineLevel="1">
      <c r="A375" s="373"/>
      <c r="B375" s="363"/>
      <c r="C375" s="357"/>
      <c r="D375" s="363"/>
      <c r="E375" s="357"/>
      <c r="F375" s="363"/>
      <c r="G375" s="357"/>
      <c r="H375" s="363"/>
      <c r="I375" s="357"/>
      <c r="J375" s="363"/>
      <c r="K375" s="357"/>
      <c r="L375" s="363"/>
      <c r="M375" s="357"/>
      <c r="N375" s="363"/>
      <c r="O375" s="401"/>
      <c r="P375" s="363"/>
      <c r="Q375" s="401"/>
      <c r="R375" s="363"/>
      <c r="S375" s="378"/>
      <c r="T375" s="388"/>
      <c r="U375" s="388"/>
      <c r="V375" s="453"/>
      <c r="W375" s="401"/>
      <c r="X375" s="364"/>
      <c r="Y375" s="362"/>
      <c r="Z375" s="363"/>
      <c r="AA375" s="363"/>
      <c r="AB375" s="364"/>
      <c r="AC375" s="357"/>
      <c r="AD375" s="357"/>
      <c r="AE375" s="362"/>
      <c r="AF375" s="363"/>
      <c r="AG375" s="363"/>
      <c r="AH375" s="364"/>
      <c r="AI375" s="357"/>
      <c r="AJ375" s="357"/>
      <c r="AK375" s="357"/>
      <c r="CR375"/>
      <c r="CX375"/>
      <c r="DD375"/>
    </row>
    <row r="376" spans="1:108" ht="11.25" hidden="1" customHeight="1" outlineLevel="1">
      <c r="A376" s="368" t="s">
        <v>339</v>
      </c>
      <c r="B376" s="363"/>
      <c r="C376" s="357"/>
      <c r="D376" s="363"/>
      <c r="E376" s="357"/>
      <c r="F376" s="363"/>
      <c r="G376" s="357"/>
      <c r="H376" s="363"/>
      <c r="I376" s="357"/>
      <c r="J376" s="363"/>
      <c r="K376" s="357"/>
      <c r="L376" s="363"/>
      <c r="M376" s="357"/>
      <c r="N376" s="363"/>
      <c r="O376" s="401"/>
      <c r="P376" s="363"/>
      <c r="Q376" s="401"/>
      <c r="R376" s="363"/>
      <c r="S376" s="378"/>
      <c r="T376" s="388"/>
      <c r="U376" s="388"/>
      <c r="V376" s="453"/>
      <c r="W376" s="401"/>
      <c r="X376" s="364"/>
      <c r="Y376" s="386">
        <v>15.231</v>
      </c>
      <c r="Z376" s="399">
        <v>15.965</v>
      </c>
      <c r="AA376" s="399">
        <f>17.659+0.544</f>
        <v>18.202999999999999</v>
      </c>
      <c r="AB376" s="620">
        <f>89.6+7.4-Y376-Z376-AA376</f>
        <v>47.600999999999999</v>
      </c>
      <c r="AC376" s="394">
        <f>SUM(Y376:AB376)</f>
        <v>97</v>
      </c>
      <c r="AD376" s="357"/>
      <c r="AE376" s="386">
        <f>10.061+5.8</f>
        <v>15.861000000000001</v>
      </c>
      <c r="AF376" s="399">
        <f>26.471+0.4</f>
        <v>26.870999999999999</v>
      </c>
      <c r="AG376" s="399">
        <v>10.047000000000001</v>
      </c>
      <c r="AH376" s="620">
        <f>74.1+6.2+2.3-AE376-AF376-AG376</f>
        <v>29.820999999999994</v>
      </c>
      <c r="AI376" s="394">
        <f>SUM(AE376:AH376)</f>
        <v>82.6</v>
      </c>
      <c r="AJ376" s="357"/>
      <c r="AK376" s="405">
        <v>15.7</v>
      </c>
      <c r="CR376"/>
      <c r="CX376"/>
      <c r="DD376"/>
    </row>
    <row r="377" spans="1:108" ht="11.25" hidden="1" customHeight="1" outlineLevel="1">
      <c r="A377" s="354" t="s">
        <v>243</v>
      </c>
      <c r="B377" s="363"/>
      <c r="C377" s="357"/>
      <c r="D377" s="363"/>
      <c r="E377" s="357"/>
      <c r="F377" s="363"/>
      <c r="G377" s="357"/>
      <c r="H377" s="363"/>
      <c r="I377" s="357"/>
      <c r="J377" s="363"/>
      <c r="K377" s="357"/>
      <c r="L377" s="363"/>
      <c r="M377" s="357"/>
      <c r="N377" s="363"/>
      <c r="O377" s="401"/>
      <c r="P377" s="363"/>
      <c r="Q377" s="401"/>
      <c r="R377" s="363"/>
      <c r="S377" s="378"/>
      <c r="T377" s="388"/>
      <c r="U377" s="388"/>
      <c r="V377" s="453"/>
      <c r="W377" s="401"/>
      <c r="X377" s="364"/>
      <c r="Y377" s="378">
        <f>Y376/Y245</f>
        <v>0.14149024125149795</v>
      </c>
      <c r="Z377" s="388">
        <f>Z376/Z245</f>
        <v>0.12694411755351293</v>
      </c>
      <c r="AA377" s="388">
        <f>AA376/AA245</f>
        <v>0.15363515133100386</v>
      </c>
      <c r="AB377" s="453">
        <f>AB376/AB245</f>
        <v>0.27754552292326268</v>
      </c>
      <c r="AC377" s="401">
        <f>AC376/AC245</f>
        <v>0.18532670997325182</v>
      </c>
      <c r="AD377" s="357"/>
      <c r="AE377" s="378">
        <f>AE376/AE245</f>
        <v>0.14146702581209084</v>
      </c>
      <c r="AF377" s="388">
        <f>AF376/AF245</f>
        <v>0.16407766990291264</v>
      </c>
      <c r="AG377" s="388">
        <f>AG376/AG245</f>
        <v>8.9288412146849974E-2</v>
      </c>
      <c r="AH377" s="453">
        <f>AH376/AH245</f>
        <v>0.21363431215926748</v>
      </c>
      <c r="AI377" s="401">
        <f>AI376/AI245</f>
        <v>0.15643939393939393</v>
      </c>
      <c r="AJ377" s="357"/>
      <c r="AK377" s="401">
        <f>AK376/AK245</f>
        <v>0.13699825479930192</v>
      </c>
      <c r="CR377"/>
      <c r="CX377"/>
      <c r="DD377"/>
    </row>
    <row r="378" spans="1:108" ht="11.25" hidden="1" customHeight="1" outlineLevel="1">
      <c r="A378" s="354" t="s">
        <v>244</v>
      </c>
      <c r="B378" s="363"/>
      <c r="C378" s="357"/>
      <c r="D378" s="363"/>
      <c r="E378" s="357"/>
      <c r="F378" s="363"/>
      <c r="G378" s="357"/>
      <c r="H378" s="363"/>
      <c r="I378" s="357"/>
      <c r="J378" s="363"/>
      <c r="K378" s="357"/>
      <c r="L378" s="363"/>
      <c r="M378" s="357"/>
      <c r="N378" s="363"/>
      <c r="O378" s="401"/>
      <c r="P378" s="363"/>
      <c r="Q378" s="401"/>
      <c r="R378" s="363"/>
      <c r="S378" s="378"/>
      <c r="T378" s="388"/>
      <c r="U378" s="388"/>
      <c r="V378" s="453"/>
      <c r="W378" s="401"/>
      <c r="X378" s="364"/>
      <c r="Y378" s="362"/>
      <c r="Z378" s="363"/>
      <c r="AA378" s="363"/>
      <c r="AB378" s="364"/>
      <c r="AC378" s="357"/>
      <c r="AD378" s="357"/>
      <c r="AE378" s="378">
        <f>(AE376-Y376)/(AE245-Y245)</f>
        <v>0.14090807425631902</v>
      </c>
      <c r="AF378" s="388">
        <f>(AF376-Z376)/(AF245-Z245)</f>
        <v>0.28695469136452156</v>
      </c>
      <c r="AG378" s="388">
        <f>(AG376-AA376)/(AG245-AA245)</f>
        <v>1.3686860211444896</v>
      </c>
      <c r="AH378" s="388">
        <f>(AH376-AB376)/(AH245-AB245)</f>
        <v>0.55705244689517042</v>
      </c>
      <c r="AI378" s="401">
        <f>(AI376-AC376)/(AI245-AC245)</f>
        <v>-3.1304347826086816</v>
      </c>
      <c r="AJ378" s="357"/>
      <c r="AK378" s="401">
        <f>(AK376-AE376)/(AK245-AE245)</f>
        <v>-6.4867042707494521E-2</v>
      </c>
      <c r="CR378"/>
      <c r="CX378"/>
      <c r="DD378"/>
    </row>
    <row r="379" spans="1:108" ht="11.25" hidden="1" customHeight="1" outlineLevel="1">
      <c r="A379" s="373" t="s">
        <v>241</v>
      </c>
      <c r="B379" s="363"/>
      <c r="C379" s="357"/>
      <c r="D379" s="363"/>
      <c r="E379" s="357"/>
      <c r="F379" s="363"/>
      <c r="G379" s="357"/>
      <c r="H379" s="363"/>
      <c r="I379" s="357"/>
      <c r="J379" s="363"/>
      <c r="K379" s="357"/>
      <c r="L379" s="363"/>
      <c r="M379" s="357"/>
      <c r="N379" s="363"/>
      <c r="O379" s="401"/>
      <c r="P379" s="363"/>
      <c r="Q379" s="401"/>
      <c r="R379" s="363"/>
      <c r="S379" s="378"/>
      <c r="T379" s="388"/>
      <c r="U379" s="388"/>
      <c r="V379" s="453"/>
      <c r="W379" s="401"/>
      <c r="X379" s="364"/>
      <c r="Y379" s="362"/>
      <c r="Z379" s="363"/>
      <c r="AA379" s="363"/>
      <c r="AB379" s="364"/>
      <c r="AC379" s="357"/>
      <c r="AD379" s="357"/>
      <c r="AE379" s="387">
        <f>(AE377-Y377)*10000</f>
        <v>-0.23215439407114902</v>
      </c>
      <c r="AF379" s="415">
        <f>(AF377-Z377)*10000</f>
        <v>371.33552349399719</v>
      </c>
      <c r="AG379" s="415">
        <f>(AG377-AA377)*10000</f>
        <v>-643.46739184153887</v>
      </c>
      <c r="AH379" s="415">
        <f>(AH377-AB377)*10000</f>
        <v>-639.112107639952</v>
      </c>
      <c r="AI379" s="416">
        <f>(AI377-AC377)*10000</f>
        <v>-288.87316033857883</v>
      </c>
      <c r="AJ379" s="357"/>
      <c r="AK379" s="416">
        <f>(AK377-AE377)*10000</f>
        <v>-44.68771012788919</v>
      </c>
      <c r="CR379"/>
      <c r="CX379"/>
      <c r="DD379"/>
    </row>
    <row r="380" spans="1:108" ht="11.25" hidden="1" customHeight="1" outlineLevel="1">
      <c r="A380" s="373" t="s">
        <v>242</v>
      </c>
      <c r="B380" s="363"/>
      <c r="C380" s="357"/>
      <c r="D380" s="363"/>
      <c r="E380" s="357"/>
      <c r="F380" s="363"/>
      <c r="G380" s="357"/>
      <c r="H380" s="363"/>
      <c r="I380" s="357"/>
      <c r="J380" s="363"/>
      <c r="K380" s="357"/>
      <c r="L380" s="363"/>
      <c r="M380" s="357"/>
      <c r="N380" s="363"/>
      <c r="O380" s="401"/>
      <c r="P380" s="363"/>
      <c r="Q380" s="401"/>
      <c r="R380" s="363"/>
      <c r="S380" s="378"/>
      <c r="T380" s="388"/>
      <c r="U380" s="388"/>
      <c r="V380" s="453"/>
      <c r="W380" s="401"/>
      <c r="X380" s="364"/>
      <c r="Y380" s="362"/>
      <c r="Z380" s="363"/>
      <c r="AA380" s="363"/>
      <c r="AB380" s="364"/>
      <c r="AC380" s="357"/>
      <c r="AD380" s="357"/>
      <c r="AE380" s="378">
        <f>AE376/Y376-1</f>
        <v>4.1363009651369076E-2</v>
      </c>
      <c r="AF380" s="388">
        <f>AF376/Z376-1</f>
        <v>0.68311932352020044</v>
      </c>
      <c r="AG380" s="388">
        <f>AG376/AA376-1</f>
        <v>-0.44805801241553589</v>
      </c>
      <c r="AH380" s="388">
        <f>AH376/AB376-1</f>
        <v>-0.37352156467301123</v>
      </c>
      <c r="AI380" s="401">
        <f>AI376/AC376-1</f>
        <v>-0.14845360824742271</v>
      </c>
      <c r="AJ380" s="357"/>
      <c r="AK380" s="401">
        <f>AK376/AE376-1</f>
        <v>-1.0150684067839477E-2</v>
      </c>
      <c r="CR380"/>
      <c r="CX380"/>
      <c r="DD380"/>
    </row>
    <row r="381" spans="1:108" ht="11.25" hidden="1" customHeight="1" outlineLevel="1">
      <c r="A381" s="368" t="s">
        <v>17</v>
      </c>
      <c r="B381" s="363"/>
      <c r="C381" s="405">
        <v>0</v>
      </c>
      <c r="D381" s="395"/>
      <c r="E381" s="405">
        <v>0</v>
      </c>
      <c r="F381" s="395"/>
      <c r="G381" s="405">
        <v>0</v>
      </c>
      <c r="H381" s="395"/>
      <c r="I381" s="405">
        <v>0</v>
      </c>
      <c r="J381" s="395"/>
      <c r="K381" s="405">
        <v>0</v>
      </c>
      <c r="L381" s="395"/>
      <c r="M381" s="405">
        <f>-0.411</f>
        <v>-0.41099999999999998</v>
      </c>
      <c r="N381" s="395"/>
      <c r="O381" s="405">
        <v>-3.4369999999999998</v>
      </c>
      <c r="P381" s="395"/>
      <c r="Q381" s="405">
        <f>-0.251-2.851</f>
        <v>-3.1019999999999999</v>
      </c>
      <c r="R381" s="395"/>
      <c r="S381" s="386">
        <f>0.031-1.817</f>
        <v>-1.786</v>
      </c>
      <c r="T381" s="399">
        <f>-0.39-1.652</f>
        <v>-2.0419999999999998</v>
      </c>
      <c r="U381" s="399">
        <f>0.459-2.636</f>
        <v>-2.177</v>
      </c>
      <c r="V381" s="620">
        <f>-7.612+0.074-S381-T381-U381</f>
        <v>-1.5330000000000008</v>
      </c>
      <c r="W381" s="394">
        <f>SUM(S381:V381)</f>
        <v>-7.5380000000000003</v>
      </c>
      <c r="X381" s="536"/>
      <c r="Y381" s="386">
        <f>-4.465+0.394</f>
        <v>-4.0709999999999997</v>
      </c>
      <c r="Z381" s="399">
        <f>-2.302+0.403</f>
        <v>-1.899</v>
      </c>
      <c r="AA381" s="399">
        <f>-1.203+0.7</f>
        <v>-0.50300000000000011</v>
      </c>
      <c r="AB381" s="620">
        <f>-11.1+2.2-Y381-Z381-AA381</f>
        <v>-2.4269999999999987</v>
      </c>
      <c r="AC381" s="394">
        <f>SUM(Y381:AB381)</f>
        <v>-8.8999999999999986</v>
      </c>
      <c r="AD381" s="394"/>
      <c r="AE381" s="386">
        <f>-5.876+0.7</f>
        <v>-5.1760000000000002</v>
      </c>
      <c r="AF381" s="399">
        <f>-4.763+1</f>
        <v>-3.7629999999999999</v>
      </c>
      <c r="AG381" s="399">
        <f>-3.358+1.3</f>
        <v>-2.0579999999999998</v>
      </c>
      <c r="AH381" s="620">
        <f>-15.3+4.5-AE381-AF381-AG381</f>
        <v>0.19699999999999918</v>
      </c>
      <c r="AI381" s="394">
        <f>SUM(AE381:AH381)</f>
        <v>-10.8</v>
      </c>
      <c r="AJ381" s="394"/>
      <c r="AK381" s="405">
        <f>-3.6+0.4+0.4</f>
        <v>-2.8000000000000003</v>
      </c>
      <c r="CR381"/>
      <c r="CX381"/>
      <c r="DD381"/>
    </row>
    <row r="382" spans="1:108" ht="11.25" hidden="1" customHeight="1" outlineLevel="1">
      <c r="A382" s="870" t="s">
        <v>255</v>
      </c>
      <c r="B382" s="871"/>
      <c r="C382" s="894">
        <f>C352+C358+C364+C381</f>
        <v>-0.161</v>
      </c>
      <c r="D382" s="895"/>
      <c r="E382" s="894">
        <f>E352+E358+E364+E381</f>
        <v>3.1779999999999999</v>
      </c>
      <c r="F382" s="895"/>
      <c r="G382" s="894">
        <f>G352+G358+G364+G381</f>
        <v>2.1190000000000002</v>
      </c>
      <c r="H382" s="895"/>
      <c r="I382" s="894">
        <f>I352+I358+I364+I381</f>
        <v>2.9170000000000003</v>
      </c>
      <c r="J382" s="895"/>
      <c r="K382" s="894">
        <f>K352+K358+K364+K381</f>
        <v>8.3149999999999995</v>
      </c>
      <c r="L382" s="895"/>
      <c r="M382" s="894">
        <f>M352+M358+M364+M381</f>
        <v>3.2669999999999999</v>
      </c>
      <c r="N382" s="895"/>
      <c r="O382" s="894">
        <f>O352+O358+O364+O381</f>
        <v>-1.1179999999999999</v>
      </c>
      <c r="P382" s="895"/>
      <c r="Q382" s="894">
        <f>Q352+Q358+Q364+Q381</f>
        <v>22.422000000000001</v>
      </c>
      <c r="R382" s="895"/>
      <c r="S382" s="896">
        <f>S352+S358+S364+S381</f>
        <v>6.0419999999999998</v>
      </c>
      <c r="T382" s="897">
        <f>T352+T358+T364+T381</f>
        <v>6.5660000000000007</v>
      </c>
      <c r="U382" s="897">
        <f>U352+U358+U364+U381</f>
        <v>7.9450000000000003</v>
      </c>
      <c r="V382" s="898">
        <f>V352+V358+V364+V381</f>
        <v>15.832999999999998</v>
      </c>
      <c r="W382" s="894">
        <f>W352+W358+W364+W381</f>
        <v>36.385999999999996</v>
      </c>
      <c r="X382" s="899"/>
      <c r="Y382" s="896">
        <f>Y370+Y376+Y381</f>
        <v>20.103000000000002</v>
      </c>
      <c r="Z382" s="897">
        <f>Z370+Z376+Z381</f>
        <v>22.189999999999998</v>
      </c>
      <c r="AA382" s="897">
        <f>AA370+AA376+AA381</f>
        <v>31.06</v>
      </c>
      <c r="AB382" s="897">
        <f>AB370+AB376+AB381</f>
        <v>73.947000000000003</v>
      </c>
      <c r="AC382" s="894">
        <f>AC370+AC376+AC381</f>
        <v>147.29999999999998</v>
      </c>
      <c r="AD382" s="872"/>
      <c r="AE382" s="896">
        <f>AE370+AE376+AE381</f>
        <v>22.433999999999997</v>
      </c>
      <c r="AF382" s="897">
        <f>AF370+AF376+AF381</f>
        <v>29.835000000000001</v>
      </c>
      <c r="AG382" s="897">
        <f>AG370+AG376+AG381</f>
        <v>16.433</v>
      </c>
      <c r="AH382" s="897">
        <f>AH370+AH376+AH381</f>
        <v>52.49799999999999</v>
      </c>
      <c r="AI382" s="894">
        <f>AI370+AI376+AI381</f>
        <v>121.2</v>
      </c>
      <c r="AJ382" s="872"/>
      <c r="AK382" s="894">
        <f>AK370+AK376+AK381</f>
        <v>15.099999999999998</v>
      </c>
      <c r="CR382"/>
      <c r="CX382"/>
      <c r="DD382"/>
    </row>
    <row r="383" spans="1:108" ht="11.25" hidden="1" customHeight="1" outlineLevel="1">
      <c r="A383" s="527" t="s">
        <v>68</v>
      </c>
      <c r="C383" s="629">
        <f>ROUND(C382-IS!C20,3)</f>
        <v>0</v>
      </c>
      <c r="D383" s="583"/>
      <c r="E383" s="629">
        <f>ROUND(E382-IS!E20,3)</f>
        <v>0</v>
      </c>
      <c r="F383" s="583"/>
      <c r="G383" s="629">
        <f>ROUND(G382-IS!G20,3)</f>
        <v>0</v>
      </c>
      <c r="H383" s="583"/>
      <c r="I383" s="629">
        <f>ROUND(I382-IS!I20,3)</f>
        <v>0</v>
      </c>
      <c r="J383" s="583"/>
      <c r="K383" s="629">
        <f>ROUND(K382-IS!K20,3)</f>
        <v>0</v>
      </c>
      <c r="L383" s="583"/>
      <c r="M383" s="629">
        <f>ROUND(M382-IS!M20,3)</f>
        <v>0</v>
      </c>
      <c r="N383" s="583"/>
      <c r="O383" s="629">
        <f>ROUND(O382-IS!O20,3)</f>
        <v>0</v>
      </c>
      <c r="P383" s="583"/>
      <c r="Q383" s="629">
        <f>ROUND(Q382-IS!Q20,3)</f>
        <v>0</v>
      </c>
      <c r="R383" s="583"/>
      <c r="S383" s="629">
        <f>ROUND(S382-IS!S20,3)</f>
        <v>0</v>
      </c>
      <c r="T383" s="629">
        <f>ROUND(T382-IS!T20,3)</f>
        <v>0</v>
      </c>
      <c r="U383" s="629">
        <f>ROUND(U382-IS!U20,3)</f>
        <v>0</v>
      </c>
      <c r="V383" s="629">
        <f>ROUND(V382-IS!V20,3)</f>
        <v>0</v>
      </c>
      <c r="W383" s="629">
        <f>ROUND(W382-IS!W20,3)</f>
        <v>0</v>
      </c>
      <c r="Y383" s="629">
        <f>ROUND(Y382-IS!Y20,3)</f>
        <v>0</v>
      </c>
      <c r="Z383" s="629">
        <f>ROUND(Z382-IS!Z20,3)</f>
        <v>0</v>
      </c>
      <c r="AA383" s="629">
        <f>ROUND(AA382-IS!AA20,3)</f>
        <v>0</v>
      </c>
      <c r="AB383" s="629">
        <f>ROUND(AB382-IS!AB20,3)</f>
        <v>0</v>
      </c>
      <c r="AC383" s="629">
        <f>ROUND(AC382-IS!AC20,3)</f>
        <v>0</v>
      </c>
      <c r="AE383" s="629">
        <f>ROUND(AE382-IS!AE20,0)</f>
        <v>0</v>
      </c>
      <c r="AF383" s="629">
        <f>ROUND(AF382-IS!AF20,0)</f>
        <v>0</v>
      </c>
      <c r="AG383" s="629">
        <f>ROUND(AG382-IS!AG20,0)</f>
        <v>0</v>
      </c>
      <c r="AH383" s="629">
        <f>ROUND(AH382-IS!AH20,0)</f>
        <v>0</v>
      </c>
      <c r="AI383" s="629">
        <f>ROUND(AI382-IS!AI20,0)</f>
        <v>0</v>
      </c>
      <c r="AK383" s="629">
        <f>ROUND(AK382-IS!AK20,3)</f>
        <v>0</v>
      </c>
      <c r="CR383"/>
      <c r="CX383"/>
      <c r="DD383"/>
    </row>
    <row r="384" spans="1:108" ht="11.25" customHeight="1" collapsed="1">
      <c r="BV384" s="1978"/>
      <c r="CA384" s="1978"/>
      <c r="CR384"/>
      <c r="CX384"/>
      <c r="DD384"/>
    </row>
    <row r="385" spans="1:108" ht="11.25" customHeight="1">
      <c r="CA385" s="1978"/>
      <c r="CR385"/>
      <c r="CX385"/>
      <c r="DD385"/>
    </row>
    <row r="386" spans="1:108" ht="11.25" customHeight="1">
      <c r="CR386"/>
      <c r="CX386"/>
      <c r="DD386"/>
    </row>
    <row r="387" spans="1:108" ht="11.25" customHeight="1">
      <c r="BS387" s="1691"/>
      <c r="BV387" s="1978"/>
      <c r="CR387"/>
      <c r="CX387"/>
      <c r="DD387"/>
    </row>
    <row r="388" spans="1:108" ht="11.25" customHeight="1">
      <c r="CE388" s="712"/>
      <c r="CR388"/>
      <c r="CX388"/>
      <c r="DD388"/>
    </row>
    <row r="389" spans="1:108" ht="11.25" customHeight="1">
      <c r="A389" s="278"/>
      <c r="B389" s="278"/>
      <c r="C389" s="278"/>
      <c r="D389" s="278"/>
      <c r="E389" s="278"/>
      <c r="F389" s="278"/>
      <c r="G389" s="278"/>
      <c r="H389" s="278"/>
      <c r="I389" s="278"/>
      <c r="J389" s="278"/>
      <c r="K389" s="278"/>
      <c r="L389" s="278"/>
      <c r="M389" s="278"/>
      <c r="N389" s="278"/>
      <c r="O389" s="278"/>
      <c r="P389" s="278"/>
      <c r="Q389" s="278"/>
      <c r="R389" s="278"/>
      <c r="S389" s="278"/>
      <c r="T389" s="278"/>
      <c r="U389" s="278"/>
      <c r="V389" s="278"/>
      <c r="W389" s="278"/>
      <c r="X389" s="278"/>
      <c r="Y389" s="278"/>
      <c r="Z389" s="278"/>
      <c r="AA389" s="278"/>
      <c r="AB389" s="278"/>
      <c r="AC389" s="278"/>
      <c r="AD389" s="278"/>
      <c r="AE389" s="278"/>
      <c r="AF389" s="278"/>
      <c r="AG389" s="278"/>
      <c r="AH389" s="278"/>
      <c r="AI389" s="278"/>
      <c r="AJ389" s="278"/>
      <c r="AK389" s="278"/>
      <c r="AL389" s="278"/>
      <c r="AM389" s="278"/>
      <c r="AN389" s="278"/>
      <c r="AO389" s="278"/>
      <c r="AP389" s="278"/>
      <c r="AQ389" s="278"/>
      <c r="AR389" s="278"/>
      <c r="AS389" s="278"/>
      <c r="AT389" s="278"/>
      <c r="AU389" s="278"/>
      <c r="AV389" s="278"/>
      <c r="AX389" s="278"/>
      <c r="AY389" s="278"/>
      <c r="AZ389" s="278"/>
      <c r="BA389" s="278"/>
      <c r="BB389" s="278"/>
      <c r="BC389" s="278"/>
      <c r="BD389" s="278"/>
      <c r="BE389" s="278"/>
      <c r="BF389" s="278"/>
      <c r="BG389" s="278"/>
      <c r="BH389" s="278"/>
      <c r="BI389" s="278"/>
      <c r="BJ389" s="278"/>
      <c r="BK389" s="278"/>
      <c r="BL389" s="278"/>
      <c r="BM389" s="278"/>
      <c r="BN389" s="278"/>
      <c r="BO389" s="278"/>
      <c r="BP389" s="278"/>
      <c r="BQ389" s="278"/>
      <c r="BR389" s="278"/>
      <c r="BS389" s="278"/>
      <c r="BT389" s="278"/>
      <c r="BU389" s="278"/>
      <c r="BV389" s="2207"/>
      <c r="BW389" s="278"/>
      <c r="BX389" s="278"/>
      <c r="BY389" s="278"/>
      <c r="BZ389" s="278"/>
      <c r="CA389" s="278"/>
      <c r="CB389" s="278"/>
      <c r="CC389" s="278"/>
      <c r="CD389" s="278"/>
      <c r="CE389" s="278"/>
      <c r="CF389" s="278"/>
      <c r="CG389" s="278"/>
      <c r="CH389" s="278"/>
      <c r="CI389" s="278"/>
      <c r="CJ389" s="278"/>
      <c r="CK389" s="278"/>
      <c r="CL389" s="278"/>
      <c r="CM389" s="278"/>
      <c r="CN389" s="278"/>
      <c r="CR389"/>
      <c r="CX389"/>
      <c r="DD389"/>
    </row>
    <row r="390" spans="1:108" ht="11.25" customHeight="1">
      <c r="A390" s="18"/>
      <c r="CL390" s="278"/>
      <c r="CM390" s="278"/>
      <c r="CN390" s="278"/>
      <c r="CR390"/>
      <c r="CX390"/>
      <c r="DD390"/>
    </row>
    <row r="391" spans="1:108" ht="11.25" customHeight="1">
      <c r="A391" s="1978"/>
      <c r="BS391" s="2213"/>
      <c r="BY391" s="2213"/>
      <c r="CE391" s="2213"/>
      <c r="CK391" s="2213"/>
      <c r="CL391" s="278"/>
      <c r="CM391" s="278"/>
      <c r="CN391" s="278"/>
      <c r="CR391"/>
      <c r="CX391"/>
      <c r="DD391"/>
    </row>
    <row r="392" spans="1:108" ht="11.25" customHeight="1">
      <c r="A392" s="1978"/>
      <c r="BS392" s="2214"/>
      <c r="BY392" s="2213"/>
      <c r="CE392" s="2213"/>
      <c r="CK392" s="2213"/>
      <c r="CL392" s="278"/>
      <c r="CM392" s="278"/>
      <c r="CN392" s="278"/>
      <c r="CR392"/>
      <c r="CX392"/>
      <c r="DD392"/>
    </row>
    <row r="393" spans="1:108" ht="11.25" customHeight="1">
      <c r="A393" s="1978"/>
      <c r="BS393" s="2213"/>
      <c r="BY393" s="2213"/>
      <c r="CE393" s="2213"/>
      <c r="CK393" s="2213"/>
      <c r="CL393" s="278"/>
      <c r="CM393" s="278"/>
      <c r="CN393" s="278"/>
      <c r="CR393"/>
      <c r="CX393"/>
      <c r="DD393"/>
    </row>
    <row r="394" spans="1:108" ht="11.25" customHeight="1">
      <c r="A394" s="1978"/>
      <c r="BS394" s="1691"/>
      <c r="BY394" s="1691"/>
      <c r="CE394" s="1691"/>
      <c r="CK394" s="1691"/>
      <c r="CL394" s="278"/>
      <c r="CM394" s="278"/>
      <c r="CN394" s="278"/>
      <c r="CR394"/>
      <c r="CX394"/>
      <c r="DD394"/>
    </row>
    <row r="395" spans="1:108" ht="11.25" customHeight="1">
      <c r="A395" s="1978"/>
      <c r="BS395" s="1691"/>
      <c r="BY395" s="1691"/>
      <c r="CE395" s="1691"/>
      <c r="CK395" s="1691"/>
      <c r="CL395" s="278"/>
      <c r="CM395" s="278"/>
      <c r="CN395" s="278"/>
      <c r="CR395"/>
      <c r="CX395"/>
      <c r="DD395"/>
    </row>
    <row r="396" spans="1:108" ht="11.25" customHeight="1">
      <c r="A396" s="1978"/>
      <c r="BS396" s="1691"/>
      <c r="BY396" s="1691"/>
      <c r="CE396" s="1691"/>
      <c r="CK396" s="1691"/>
      <c r="CL396" s="278"/>
      <c r="CM396" s="278"/>
      <c r="CN396" s="278"/>
      <c r="CR396"/>
      <c r="CX396"/>
      <c r="DD396"/>
    </row>
    <row r="397" spans="1:108" ht="11.25" customHeight="1">
      <c r="A397" s="1978"/>
      <c r="BS397" s="2215"/>
      <c r="CL397" s="278"/>
      <c r="CM397" s="278"/>
      <c r="CN397" s="278"/>
      <c r="CR397"/>
      <c r="CX397"/>
      <c r="DD397"/>
    </row>
    <row r="398" spans="1:108" ht="11.25" customHeight="1">
      <c r="A398" s="1978"/>
      <c r="CL398" s="278"/>
      <c r="CM398" s="278"/>
      <c r="CN398" s="278"/>
      <c r="CR398"/>
      <c r="CX398"/>
      <c r="DD398"/>
    </row>
    <row r="399" spans="1:108" ht="11.25" customHeight="1">
      <c r="CE399" s="278"/>
      <c r="CF399" s="278"/>
      <c r="CG399" s="278"/>
      <c r="CH399" s="278"/>
      <c r="CI399" s="278"/>
      <c r="CJ399" s="278"/>
      <c r="CK399" s="278"/>
      <c r="CL399" s="278"/>
      <c r="CM399" s="278"/>
      <c r="CN399" s="278"/>
    </row>
    <row r="400" spans="1:108" ht="11.25" customHeight="1">
      <c r="CE400" s="278"/>
      <c r="CF400" s="278"/>
      <c r="CG400" s="278"/>
      <c r="CH400" s="278"/>
      <c r="CI400" s="278"/>
      <c r="CJ400" s="278"/>
      <c r="CK400" s="278"/>
      <c r="CL400" s="278"/>
      <c r="CM400" s="278"/>
      <c r="CN400" s="278"/>
    </row>
    <row r="401" spans="1:92" ht="11.25" customHeight="1">
      <c r="A401" s="1978"/>
      <c r="BS401" s="2216"/>
      <c r="BY401" s="2216"/>
      <c r="CE401" s="2209"/>
      <c r="CF401" s="278"/>
      <c r="CG401" s="278"/>
      <c r="CH401" s="278"/>
      <c r="CI401" s="278"/>
      <c r="CJ401" s="278"/>
      <c r="CK401" s="2209"/>
      <c r="CL401" s="278"/>
      <c r="CM401" s="278"/>
      <c r="CN401" s="278"/>
    </row>
    <row r="402" spans="1:92" ht="11.25" customHeight="1">
      <c r="A402" s="1978"/>
      <c r="BY402" s="2216"/>
      <c r="BZ402" s="2216"/>
      <c r="CA402" s="2216"/>
      <c r="CB402" s="2216"/>
      <c r="CC402" s="2216"/>
      <c r="CD402" s="2216"/>
      <c r="CE402" s="2209"/>
      <c r="CF402" s="2209"/>
      <c r="CG402" s="2209"/>
      <c r="CH402" s="2209"/>
      <c r="CI402" s="2209"/>
      <c r="CJ402" s="2209"/>
      <c r="CK402" s="2209"/>
      <c r="CL402" s="278"/>
      <c r="CM402" s="278"/>
      <c r="CN402" s="278"/>
    </row>
    <row r="403" spans="1:92" ht="11.25" customHeight="1">
      <c r="A403" s="1978"/>
      <c r="BY403" s="2216"/>
      <c r="BZ403" s="2216"/>
      <c r="CA403" s="2216"/>
      <c r="CB403" s="2216"/>
      <c r="CC403" s="2216"/>
      <c r="CD403" s="2216"/>
      <c r="CE403" s="2209"/>
      <c r="CF403" s="2209"/>
      <c r="CG403" s="2209"/>
      <c r="CH403" s="2209"/>
      <c r="CI403" s="2209"/>
      <c r="CJ403" s="2209"/>
      <c r="CK403" s="2209"/>
      <c r="CL403" s="278"/>
      <c r="CM403" s="278"/>
      <c r="CN403" s="278"/>
    </row>
    <row r="404" spans="1:92">
      <c r="A404" s="1978"/>
      <c r="BY404" s="2216"/>
      <c r="BZ404" s="2216"/>
      <c r="CA404" s="2216"/>
      <c r="CB404" s="2216"/>
      <c r="CC404" s="2216"/>
      <c r="CD404" s="2216"/>
      <c r="CE404" s="2210"/>
      <c r="CF404" s="2209"/>
      <c r="CG404" s="2209"/>
      <c r="CH404" s="2209"/>
      <c r="CI404" s="2209"/>
      <c r="CJ404" s="2209"/>
      <c r="CK404" s="2210"/>
      <c r="CL404" s="278"/>
      <c r="CM404" s="278"/>
      <c r="CN404" s="278"/>
    </row>
    <row r="405" spans="1:92" ht="11.25" customHeight="1">
      <c r="A405" s="2207"/>
      <c r="B405" s="278"/>
      <c r="C405" s="278"/>
      <c r="D405" s="278"/>
      <c r="E405" s="278"/>
      <c r="F405" s="278"/>
      <c r="G405" s="278"/>
      <c r="H405" s="278"/>
      <c r="I405" s="278"/>
      <c r="J405" s="278"/>
      <c r="K405" s="278"/>
      <c r="L405" s="278"/>
      <c r="M405" s="278"/>
      <c r="N405" s="278"/>
      <c r="O405" s="278"/>
      <c r="P405" s="278"/>
      <c r="Q405" s="278"/>
      <c r="R405" s="278"/>
      <c r="S405" s="278"/>
      <c r="T405" s="278"/>
      <c r="U405" s="278"/>
      <c r="V405" s="278"/>
      <c r="W405" s="278"/>
      <c r="X405" s="278"/>
      <c r="Y405" s="278"/>
      <c r="Z405" s="278"/>
      <c r="AA405" s="278"/>
      <c r="AB405" s="278"/>
      <c r="AC405" s="278"/>
      <c r="AD405" s="278"/>
      <c r="AE405" s="278"/>
      <c r="AF405" s="278"/>
      <c r="AG405" s="278"/>
      <c r="AH405" s="278"/>
      <c r="AI405" s="278"/>
      <c r="AJ405" s="278"/>
      <c r="AK405" s="278"/>
      <c r="AL405" s="278"/>
      <c r="AM405" s="278"/>
      <c r="AN405" s="278"/>
      <c r="AO405" s="278"/>
      <c r="AP405" s="278"/>
      <c r="AQ405" s="278"/>
      <c r="AR405" s="278"/>
      <c r="AS405" s="278"/>
      <c r="AT405" s="278"/>
      <c r="AU405" s="278"/>
      <c r="AV405" s="278"/>
      <c r="AX405" s="278"/>
      <c r="AY405" s="278"/>
      <c r="AZ405" s="278"/>
      <c r="BA405" s="278"/>
      <c r="BB405" s="278"/>
      <c r="BC405" s="278"/>
      <c r="BD405" s="278"/>
      <c r="BE405" s="278"/>
      <c r="BF405" s="278"/>
      <c r="BG405" s="278"/>
      <c r="BH405" s="278"/>
      <c r="BI405" s="278"/>
      <c r="BJ405" s="278"/>
      <c r="BK405" s="278"/>
      <c r="BL405" s="278"/>
      <c r="BM405" s="278"/>
      <c r="BN405" s="278"/>
      <c r="BO405" s="278"/>
      <c r="BP405" s="278"/>
      <c r="BQ405" s="278"/>
      <c r="BR405" s="278"/>
      <c r="BS405" s="278"/>
      <c r="BT405" s="278"/>
      <c r="BU405" s="278"/>
      <c r="BV405" s="278"/>
      <c r="BW405" s="278"/>
      <c r="BX405" s="278"/>
      <c r="BY405" s="2209"/>
      <c r="BZ405" s="2209"/>
      <c r="CA405" s="2209"/>
      <c r="CB405" s="2209"/>
      <c r="CC405" s="2209"/>
      <c r="CD405" s="2209"/>
      <c r="CE405" s="2209"/>
      <c r="CF405" s="2209"/>
      <c r="CG405" s="2209"/>
      <c r="CH405" s="2209"/>
      <c r="CI405" s="2209"/>
      <c r="CJ405" s="2209"/>
      <c r="CK405" s="2209"/>
      <c r="CL405" s="278"/>
      <c r="CM405" s="278"/>
      <c r="CN405" s="278"/>
    </row>
    <row r="406" spans="1:92" ht="11.25" customHeight="1">
      <c r="A406" s="2207"/>
      <c r="B406" s="278"/>
      <c r="C406" s="278"/>
      <c r="D406" s="278"/>
      <c r="E406" s="278"/>
      <c r="F406" s="278"/>
      <c r="G406" s="278"/>
      <c r="H406" s="278"/>
      <c r="I406" s="278"/>
      <c r="J406" s="278"/>
      <c r="K406" s="278"/>
      <c r="L406" s="278"/>
      <c r="M406" s="278"/>
      <c r="N406" s="278"/>
      <c r="O406" s="278"/>
      <c r="P406" s="278"/>
      <c r="Q406" s="278"/>
      <c r="R406" s="278"/>
      <c r="S406" s="278"/>
      <c r="T406" s="278"/>
      <c r="U406" s="278"/>
      <c r="V406" s="278"/>
      <c r="W406" s="278"/>
      <c r="X406" s="278"/>
      <c r="Y406" s="278"/>
      <c r="Z406" s="278"/>
      <c r="AA406" s="278"/>
      <c r="AB406" s="278"/>
      <c r="AC406" s="278"/>
      <c r="AD406" s="278"/>
      <c r="AE406" s="278"/>
      <c r="AF406" s="278"/>
      <c r="AG406" s="278"/>
      <c r="AH406" s="278"/>
      <c r="AI406" s="278"/>
      <c r="AJ406" s="278"/>
      <c r="AK406" s="278"/>
      <c r="AL406" s="278"/>
      <c r="AM406" s="278"/>
      <c r="AN406" s="278"/>
      <c r="AO406" s="278"/>
      <c r="AP406" s="278"/>
      <c r="AQ406" s="278"/>
      <c r="AR406" s="278"/>
      <c r="AS406" s="278"/>
      <c r="AT406" s="278"/>
      <c r="AU406" s="278"/>
      <c r="AV406" s="278"/>
      <c r="AX406" s="278"/>
      <c r="AY406" s="278"/>
      <c r="AZ406" s="278"/>
      <c r="BA406" s="278"/>
      <c r="BB406" s="278"/>
      <c r="BC406" s="278"/>
      <c r="BD406" s="278"/>
      <c r="BE406" s="278"/>
      <c r="BF406" s="278"/>
      <c r="BG406" s="278"/>
      <c r="BH406" s="278"/>
      <c r="BI406" s="278"/>
      <c r="BJ406" s="278"/>
      <c r="BK406" s="278"/>
      <c r="BL406" s="278"/>
      <c r="BM406" s="278"/>
      <c r="BN406" s="278"/>
      <c r="BO406" s="278"/>
      <c r="BP406" s="278"/>
      <c r="BQ406" s="278"/>
      <c r="BR406" s="278"/>
      <c r="BS406" s="278"/>
      <c r="BT406" s="278"/>
      <c r="BU406" s="278"/>
      <c r="BV406" s="278"/>
      <c r="BW406" s="278"/>
      <c r="BX406" s="278"/>
      <c r="BY406" s="278"/>
      <c r="BZ406" s="2209"/>
      <c r="CA406" s="2209"/>
      <c r="CB406" s="2209"/>
      <c r="CC406" s="2209"/>
      <c r="CD406" s="2209"/>
      <c r="CE406" s="278"/>
      <c r="CF406" s="2209"/>
      <c r="CG406" s="2209"/>
      <c r="CH406" s="2209"/>
      <c r="CI406" s="2209"/>
      <c r="CJ406" s="2209"/>
      <c r="CK406" s="2209"/>
      <c r="CL406" s="278"/>
      <c r="CM406" s="278"/>
      <c r="CN406" s="278"/>
    </row>
    <row r="407" spans="1:92" ht="11.25" customHeight="1">
      <c r="A407" s="2207"/>
      <c r="B407" s="278"/>
      <c r="C407" s="278"/>
      <c r="D407" s="278"/>
      <c r="E407" s="278"/>
      <c r="F407" s="278"/>
      <c r="G407" s="278"/>
      <c r="H407" s="278"/>
      <c r="I407" s="278"/>
      <c r="J407" s="278"/>
      <c r="K407" s="278"/>
      <c r="L407" s="278"/>
      <c r="M407" s="278"/>
      <c r="N407" s="278"/>
      <c r="O407" s="278"/>
      <c r="P407" s="278"/>
      <c r="Q407" s="278"/>
      <c r="R407" s="278"/>
      <c r="S407" s="278"/>
      <c r="T407" s="278"/>
      <c r="U407" s="278"/>
      <c r="V407" s="278"/>
      <c r="W407" s="278"/>
      <c r="X407" s="278"/>
      <c r="Y407" s="278"/>
      <c r="Z407" s="278"/>
      <c r="AA407" s="278"/>
      <c r="AB407" s="278"/>
      <c r="AC407" s="278"/>
      <c r="AD407" s="278"/>
      <c r="AE407" s="278"/>
      <c r="AF407" s="278"/>
      <c r="AG407" s="278"/>
      <c r="AH407" s="278"/>
      <c r="AI407" s="278"/>
      <c r="AJ407" s="278"/>
      <c r="AK407" s="278"/>
      <c r="AL407" s="278"/>
      <c r="AM407" s="278"/>
      <c r="AN407" s="278"/>
      <c r="AO407" s="278"/>
      <c r="AP407" s="278"/>
      <c r="AQ407" s="278"/>
      <c r="AR407" s="278"/>
      <c r="AS407" s="278"/>
      <c r="AT407" s="278"/>
      <c r="AU407" s="278"/>
      <c r="AV407" s="278"/>
      <c r="AX407" s="278"/>
      <c r="AY407" s="278"/>
      <c r="AZ407" s="278"/>
      <c r="BA407" s="278"/>
      <c r="BB407" s="278"/>
      <c r="BC407" s="278"/>
      <c r="BD407" s="278"/>
      <c r="BE407" s="278"/>
      <c r="BF407" s="278"/>
      <c r="BG407" s="278"/>
      <c r="BH407" s="278"/>
      <c r="BI407" s="278"/>
      <c r="BJ407" s="278"/>
      <c r="BK407" s="278"/>
      <c r="BL407" s="278"/>
      <c r="BM407" s="278"/>
      <c r="BN407" s="278"/>
      <c r="BO407" s="278"/>
      <c r="BP407" s="278"/>
      <c r="BQ407" s="278"/>
      <c r="BR407" s="278"/>
      <c r="BS407" s="278"/>
      <c r="BT407" s="278"/>
      <c r="BU407" s="278"/>
      <c r="BV407" s="278"/>
      <c r="BW407" s="278"/>
      <c r="BX407" s="278"/>
      <c r="BY407" s="1822"/>
      <c r="BZ407" s="2209"/>
      <c r="CA407" s="2209"/>
      <c r="CB407" s="2209"/>
      <c r="CC407" s="2209"/>
      <c r="CD407" s="2209"/>
      <c r="CE407" s="1822"/>
      <c r="CF407" s="2209"/>
      <c r="CG407" s="2209"/>
      <c r="CH407" s="2209"/>
      <c r="CI407" s="2209"/>
      <c r="CJ407" s="2209"/>
      <c r="CK407" s="2209"/>
      <c r="CL407" s="278"/>
      <c r="CM407" s="278"/>
      <c r="CN407" s="278"/>
    </row>
    <row r="408" spans="1:92" ht="11.25" customHeight="1">
      <c r="A408" s="278"/>
      <c r="B408" s="278"/>
      <c r="C408" s="278"/>
      <c r="D408" s="278"/>
      <c r="E408" s="278"/>
      <c r="F408" s="278"/>
      <c r="G408" s="278"/>
      <c r="H408" s="278"/>
      <c r="I408" s="278"/>
      <c r="J408" s="278"/>
      <c r="K408" s="278"/>
      <c r="L408" s="278"/>
      <c r="M408" s="278"/>
      <c r="N408" s="278"/>
      <c r="O408" s="278"/>
      <c r="P408" s="278"/>
      <c r="Q408" s="278"/>
      <c r="R408" s="278"/>
      <c r="S408" s="278"/>
      <c r="T408" s="278"/>
      <c r="U408" s="278"/>
      <c r="V408" s="278"/>
      <c r="W408" s="278"/>
      <c r="X408" s="278"/>
      <c r="Y408" s="278"/>
      <c r="Z408" s="278"/>
      <c r="AA408" s="278"/>
      <c r="AB408" s="278"/>
      <c r="AC408" s="278"/>
      <c r="AD408" s="278"/>
      <c r="AE408" s="278"/>
      <c r="AF408" s="278"/>
      <c r="AG408" s="278"/>
      <c r="AH408" s="278"/>
      <c r="AI408" s="278"/>
      <c r="AJ408" s="278"/>
      <c r="AK408" s="278"/>
      <c r="AL408" s="278"/>
      <c r="AM408" s="278"/>
      <c r="AN408" s="278"/>
      <c r="AO408" s="278"/>
      <c r="AP408" s="278"/>
      <c r="AQ408" s="278"/>
      <c r="AR408" s="278"/>
      <c r="AS408" s="278"/>
      <c r="AT408" s="278"/>
      <c r="AU408" s="278"/>
      <c r="AV408" s="278"/>
      <c r="AX408" s="278"/>
      <c r="AY408" s="278"/>
      <c r="AZ408" s="278"/>
      <c r="BA408" s="278"/>
      <c r="BB408" s="278"/>
      <c r="BC408" s="278"/>
      <c r="BD408" s="278"/>
      <c r="BE408" s="278"/>
      <c r="BF408" s="278"/>
      <c r="BG408" s="278"/>
      <c r="BH408" s="278"/>
      <c r="BI408" s="278"/>
      <c r="BJ408" s="278"/>
      <c r="BK408" s="278"/>
      <c r="BL408" s="278"/>
      <c r="BM408" s="278"/>
      <c r="BN408" s="278"/>
      <c r="BO408" s="278"/>
      <c r="BP408" s="278"/>
      <c r="BQ408" s="278"/>
      <c r="BR408" s="278"/>
      <c r="BS408" s="278"/>
      <c r="BT408" s="278"/>
      <c r="BU408" s="278"/>
      <c r="BV408" s="278"/>
      <c r="BW408" s="278"/>
      <c r="BX408" s="278"/>
      <c r="BY408" s="278"/>
      <c r="BZ408" s="278"/>
      <c r="CA408" s="278"/>
      <c r="CB408" s="278"/>
      <c r="CC408" s="278"/>
      <c r="CD408" s="278"/>
      <c r="CE408" s="1897"/>
      <c r="CF408" s="278"/>
      <c r="CG408" s="278"/>
      <c r="CH408" s="278"/>
      <c r="CI408" s="278"/>
      <c r="CJ408" s="278"/>
      <c r="CK408" s="278"/>
      <c r="CL408" s="278"/>
      <c r="CM408" s="278"/>
      <c r="CN408" s="278"/>
    </row>
    <row r="409" spans="1:92" ht="11.25" customHeight="1">
      <c r="A409" s="278"/>
      <c r="B409" s="278"/>
      <c r="C409" s="278"/>
      <c r="D409" s="278"/>
      <c r="E409" s="278"/>
      <c r="F409" s="278"/>
      <c r="G409" s="278"/>
      <c r="H409" s="278"/>
      <c r="I409" s="278"/>
      <c r="J409" s="278"/>
      <c r="K409" s="278"/>
      <c r="L409" s="278"/>
      <c r="M409" s="278"/>
      <c r="N409" s="278"/>
      <c r="O409" s="278"/>
      <c r="P409" s="278"/>
      <c r="Q409" s="278"/>
      <c r="R409" s="278"/>
      <c r="S409" s="278"/>
      <c r="T409" s="278"/>
      <c r="U409" s="278"/>
      <c r="V409" s="278"/>
      <c r="W409" s="278"/>
      <c r="X409" s="278"/>
      <c r="Y409" s="278"/>
      <c r="Z409" s="278"/>
      <c r="AA409" s="278"/>
      <c r="AB409" s="278"/>
      <c r="AC409" s="278"/>
      <c r="AD409" s="278"/>
      <c r="AE409" s="278"/>
      <c r="AF409" s="278"/>
      <c r="AG409" s="278"/>
      <c r="AH409" s="278"/>
      <c r="AI409" s="278"/>
      <c r="AJ409" s="278"/>
      <c r="AK409" s="278"/>
      <c r="AL409" s="278"/>
      <c r="AM409" s="278"/>
      <c r="AN409" s="278"/>
      <c r="AO409" s="278"/>
      <c r="AP409" s="278"/>
      <c r="AQ409" s="278"/>
      <c r="AR409" s="278"/>
      <c r="AS409" s="278"/>
      <c r="AT409" s="278"/>
      <c r="AU409" s="278"/>
      <c r="AV409" s="278"/>
      <c r="AX409" s="278"/>
      <c r="AY409" s="278"/>
      <c r="AZ409" s="278"/>
      <c r="BA409" s="278"/>
      <c r="BB409" s="278"/>
      <c r="BC409" s="278"/>
      <c r="BD409" s="278"/>
      <c r="BE409" s="278"/>
      <c r="BF409" s="278"/>
      <c r="BG409" s="278"/>
      <c r="BH409" s="278"/>
      <c r="BI409" s="278"/>
      <c r="BJ409" s="278"/>
      <c r="BK409" s="278"/>
      <c r="BL409" s="278"/>
      <c r="BM409" s="278"/>
      <c r="BN409" s="278"/>
      <c r="BO409" s="278"/>
      <c r="BP409" s="278"/>
      <c r="BQ409" s="278"/>
      <c r="BR409" s="278"/>
      <c r="BS409" s="278"/>
      <c r="BT409" s="278"/>
      <c r="BU409" s="278"/>
      <c r="BV409" s="278"/>
      <c r="BW409" s="278"/>
      <c r="BX409" s="278"/>
      <c r="BY409" s="278"/>
      <c r="BZ409" s="278"/>
      <c r="CA409" s="278"/>
      <c r="CB409" s="278"/>
      <c r="CC409" s="278"/>
      <c r="CD409" s="278"/>
      <c r="CE409" s="2209"/>
      <c r="CF409" s="278"/>
      <c r="CG409" s="278"/>
      <c r="CH409" s="278"/>
      <c r="CI409" s="278"/>
      <c r="CJ409" s="278"/>
      <c r="CK409" s="278"/>
      <c r="CL409" s="278"/>
      <c r="CM409" s="278"/>
      <c r="CN409" s="278"/>
    </row>
    <row r="410" spans="1:92" ht="11.25" customHeight="1">
      <c r="A410" s="278"/>
      <c r="B410" s="278"/>
      <c r="C410" s="278"/>
      <c r="D410" s="278"/>
      <c r="E410" s="278"/>
      <c r="F410" s="278"/>
      <c r="G410" s="278"/>
      <c r="H410" s="278"/>
      <c r="I410" s="278"/>
      <c r="J410" s="278"/>
      <c r="K410" s="278"/>
      <c r="L410" s="278"/>
      <c r="M410" s="278"/>
      <c r="N410" s="278"/>
      <c r="O410" s="278"/>
      <c r="P410" s="278"/>
      <c r="Q410" s="278"/>
      <c r="R410" s="278"/>
      <c r="S410" s="278"/>
      <c r="T410" s="278"/>
      <c r="U410" s="278"/>
      <c r="V410" s="278"/>
      <c r="W410" s="278"/>
      <c r="X410" s="278"/>
      <c r="Y410" s="278"/>
      <c r="Z410" s="278"/>
      <c r="AA410" s="278"/>
      <c r="AB410" s="278"/>
      <c r="AC410" s="278"/>
      <c r="AD410" s="278"/>
      <c r="AE410" s="278"/>
      <c r="AF410" s="278"/>
      <c r="AG410" s="278"/>
      <c r="AH410" s="278"/>
      <c r="AI410" s="278"/>
      <c r="AJ410" s="278"/>
      <c r="AK410" s="278"/>
      <c r="AL410" s="278"/>
      <c r="AM410" s="278"/>
      <c r="AN410" s="278"/>
      <c r="AO410" s="278"/>
      <c r="AP410" s="278"/>
      <c r="AQ410" s="278"/>
      <c r="AR410" s="278"/>
      <c r="AS410" s="278"/>
      <c r="AT410" s="278"/>
      <c r="AU410" s="278"/>
      <c r="AV410" s="278"/>
      <c r="AX410" s="278"/>
      <c r="AY410" s="278"/>
      <c r="AZ410" s="278"/>
      <c r="BA410" s="278"/>
      <c r="BB410" s="278"/>
      <c r="BC410" s="278"/>
      <c r="BD410" s="278"/>
      <c r="BE410" s="278"/>
      <c r="BF410" s="278"/>
      <c r="BG410" s="278"/>
      <c r="BH410" s="278"/>
      <c r="BI410" s="278"/>
      <c r="BJ410" s="278"/>
      <c r="BK410" s="278"/>
      <c r="BL410" s="278"/>
      <c r="BM410" s="278"/>
      <c r="BN410" s="278"/>
      <c r="BO410" s="278"/>
      <c r="BP410" s="278"/>
      <c r="BQ410" s="278"/>
      <c r="BR410" s="278"/>
      <c r="BS410" s="278"/>
      <c r="BT410" s="278"/>
      <c r="BU410" s="278"/>
      <c r="BV410" s="278"/>
      <c r="BW410" s="278"/>
      <c r="BX410" s="278"/>
      <c r="BY410" s="278"/>
      <c r="BZ410" s="278"/>
      <c r="CA410" s="278"/>
      <c r="CB410" s="278"/>
      <c r="CC410" s="278"/>
      <c r="CD410" s="278"/>
      <c r="CE410" s="2208"/>
      <c r="CF410" s="278"/>
      <c r="CG410" s="278"/>
      <c r="CH410" s="278"/>
      <c r="CI410" s="278"/>
      <c r="CJ410" s="278"/>
      <c r="CK410" s="278"/>
      <c r="CL410" s="278"/>
      <c r="CM410" s="278"/>
      <c r="CN410" s="278"/>
    </row>
    <row r="411" spans="1:92" ht="11.25" customHeight="1">
      <c r="A411" s="278"/>
      <c r="B411" s="278"/>
      <c r="C411" s="278"/>
      <c r="D411" s="278"/>
      <c r="E411" s="278"/>
      <c r="F411" s="278"/>
      <c r="G411" s="278"/>
      <c r="H411" s="278"/>
      <c r="I411" s="278"/>
      <c r="J411" s="278"/>
      <c r="K411" s="278"/>
      <c r="L411" s="278"/>
      <c r="M411" s="278"/>
      <c r="N411" s="278"/>
      <c r="O411" s="278"/>
      <c r="P411" s="278"/>
      <c r="Q411" s="278"/>
      <c r="R411" s="278"/>
      <c r="S411" s="278"/>
      <c r="T411" s="278"/>
      <c r="U411" s="278"/>
      <c r="V411" s="278"/>
      <c r="W411" s="278"/>
      <c r="X411" s="278"/>
      <c r="Y411" s="278"/>
      <c r="Z411" s="278"/>
      <c r="AA411" s="278"/>
      <c r="AB411" s="278"/>
      <c r="AC411" s="278"/>
      <c r="AD411" s="278"/>
      <c r="AE411" s="278"/>
      <c r="AF411" s="278"/>
      <c r="AG411" s="278"/>
      <c r="AH411" s="278"/>
      <c r="AI411" s="278"/>
      <c r="AJ411" s="278"/>
      <c r="AK411" s="278"/>
      <c r="AL411" s="278"/>
      <c r="AM411" s="278"/>
      <c r="AN411" s="278"/>
      <c r="AO411" s="278"/>
      <c r="AP411" s="278"/>
      <c r="AQ411" s="278"/>
      <c r="AR411" s="278"/>
      <c r="AS411" s="278"/>
      <c r="AT411" s="278"/>
      <c r="AU411" s="278"/>
      <c r="AV411" s="278"/>
      <c r="AX411" s="278"/>
      <c r="AY411" s="278"/>
      <c r="AZ411" s="278"/>
      <c r="BA411" s="278"/>
      <c r="BB411" s="278"/>
      <c r="BC411" s="278"/>
      <c r="BD411" s="278"/>
      <c r="BE411" s="278"/>
      <c r="BF411" s="278"/>
      <c r="BG411" s="278"/>
      <c r="BH411" s="278"/>
      <c r="BI411" s="278"/>
      <c r="BJ411" s="278"/>
      <c r="BK411" s="278"/>
      <c r="BL411" s="278"/>
      <c r="BM411" s="278"/>
      <c r="BN411" s="278"/>
      <c r="BO411" s="278"/>
      <c r="BP411" s="278"/>
      <c r="BQ411" s="278"/>
      <c r="BR411" s="278"/>
      <c r="BS411" s="278"/>
      <c r="BT411" s="278"/>
      <c r="BU411" s="278"/>
      <c r="BV411" s="278"/>
      <c r="BW411" s="278"/>
      <c r="BX411" s="278"/>
      <c r="BY411" s="278"/>
      <c r="BZ411" s="278"/>
      <c r="CA411" s="278"/>
      <c r="CB411" s="278"/>
      <c r="CC411" s="278"/>
      <c r="CD411" s="278"/>
      <c r="CE411" s="2210"/>
      <c r="CF411" s="278"/>
      <c r="CG411" s="278"/>
      <c r="CH411" s="278"/>
      <c r="CI411" s="278"/>
      <c r="CJ411" s="278"/>
      <c r="CK411" s="278"/>
      <c r="CL411" s="278"/>
      <c r="CM411" s="278"/>
      <c r="CN411" s="278"/>
    </row>
    <row r="412" spans="1:92" ht="11.25" customHeight="1">
      <c r="A412" s="278"/>
      <c r="B412" s="278"/>
      <c r="C412" s="278"/>
      <c r="D412" s="278"/>
      <c r="E412" s="278"/>
      <c r="F412" s="278"/>
      <c r="G412" s="278"/>
      <c r="H412" s="278"/>
      <c r="I412" s="278"/>
      <c r="J412" s="278"/>
      <c r="K412" s="278"/>
      <c r="L412" s="278"/>
      <c r="M412" s="278"/>
      <c r="N412" s="278"/>
      <c r="O412" s="278"/>
      <c r="P412" s="278"/>
      <c r="Q412" s="278"/>
      <c r="R412" s="278"/>
      <c r="S412" s="278"/>
      <c r="T412" s="278"/>
      <c r="U412" s="278"/>
      <c r="V412" s="278"/>
      <c r="W412" s="278"/>
      <c r="X412" s="278"/>
      <c r="Y412" s="278"/>
      <c r="Z412" s="278"/>
      <c r="AA412" s="278"/>
      <c r="AB412" s="278"/>
      <c r="AC412" s="278"/>
      <c r="AD412" s="278"/>
      <c r="AE412" s="278"/>
      <c r="AF412" s="278"/>
      <c r="AG412" s="278"/>
      <c r="AH412" s="278"/>
      <c r="AI412" s="278"/>
      <c r="AJ412" s="278"/>
      <c r="AK412" s="278"/>
      <c r="AL412" s="278"/>
      <c r="AM412" s="278"/>
      <c r="AN412" s="278"/>
      <c r="AO412" s="278"/>
      <c r="AP412" s="278"/>
      <c r="AQ412" s="278"/>
      <c r="AR412" s="278"/>
      <c r="AS412" s="278"/>
      <c r="AT412" s="278"/>
      <c r="AU412" s="278"/>
      <c r="AV412" s="278"/>
      <c r="AX412" s="278"/>
      <c r="AY412" s="278"/>
      <c r="AZ412" s="278"/>
      <c r="BA412" s="278"/>
      <c r="BB412" s="278"/>
      <c r="BC412" s="278"/>
      <c r="BD412" s="278"/>
      <c r="BE412" s="278"/>
      <c r="BF412" s="278"/>
      <c r="BG412" s="278"/>
      <c r="BH412" s="278"/>
      <c r="BI412" s="278"/>
      <c r="BJ412" s="278"/>
      <c r="BK412" s="278"/>
      <c r="BL412" s="278"/>
      <c r="BM412" s="278"/>
      <c r="BN412" s="278"/>
      <c r="BO412" s="278"/>
      <c r="BP412" s="278"/>
      <c r="BQ412" s="278"/>
      <c r="BR412" s="278"/>
      <c r="BS412" s="278"/>
      <c r="BT412" s="278"/>
      <c r="BU412" s="278"/>
      <c r="BV412" s="278"/>
      <c r="BW412" s="278"/>
      <c r="BX412" s="278"/>
      <c r="BY412" s="278"/>
      <c r="BZ412" s="278"/>
      <c r="CA412" s="278"/>
      <c r="CB412" s="278"/>
      <c r="CC412" s="278"/>
      <c r="CD412" s="278"/>
      <c r="CE412" s="1897"/>
      <c r="CF412" s="278"/>
      <c r="CG412" s="278"/>
      <c r="CH412" s="278"/>
      <c r="CI412" s="278"/>
      <c r="CJ412" s="278"/>
      <c r="CK412" s="278"/>
      <c r="CL412" s="278"/>
      <c r="CM412" s="278"/>
      <c r="CN412" s="278"/>
    </row>
    <row r="413" spans="1:92" ht="11.25" customHeight="1">
      <c r="A413" s="278"/>
      <c r="B413" s="278"/>
      <c r="C413" s="278"/>
      <c r="D413" s="278"/>
      <c r="E413" s="278"/>
      <c r="F413" s="278"/>
      <c r="G413" s="278"/>
      <c r="H413" s="278"/>
      <c r="I413" s="278"/>
      <c r="J413" s="278"/>
      <c r="K413" s="278"/>
      <c r="L413" s="278"/>
      <c r="M413" s="278"/>
      <c r="N413" s="278"/>
      <c r="O413" s="278"/>
      <c r="P413" s="278"/>
      <c r="Q413" s="278"/>
      <c r="R413" s="278"/>
      <c r="S413" s="278"/>
      <c r="T413" s="278"/>
      <c r="U413" s="278"/>
      <c r="V413" s="278"/>
      <c r="W413" s="278"/>
      <c r="X413" s="278"/>
      <c r="Y413" s="278"/>
      <c r="Z413" s="278"/>
      <c r="AA413" s="278"/>
      <c r="AB413" s="278"/>
      <c r="AC413" s="278"/>
      <c r="AD413" s="278"/>
      <c r="AE413" s="278"/>
      <c r="AF413" s="278"/>
      <c r="AG413" s="278"/>
      <c r="AH413" s="278"/>
      <c r="AI413" s="278"/>
      <c r="AJ413" s="278"/>
      <c r="AK413" s="278"/>
      <c r="AL413" s="278"/>
      <c r="AM413" s="278"/>
      <c r="AN413" s="278"/>
      <c r="AO413" s="278"/>
      <c r="AP413" s="278"/>
      <c r="AQ413" s="278"/>
      <c r="AR413" s="278"/>
      <c r="AS413" s="278"/>
      <c r="AT413" s="278"/>
      <c r="AU413" s="278"/>
      <c r="AV413" s="278"/>
      <c r="AX413" s="278"/>
      <c r="AY413" s="278"/>
      <c r="AZ413" s="278"/>
      <c r="BA413" s="278"/>
      <c r="BB413" s="278"/>
      <c r="BC413" s="278"/>
      <c r="BD413" s="278"/>
      <c r="BE413" s="278"/>
      <c r="BF413" s="278"/>
      <c r="BG413" s="278"/>
      <c r="BH413" s="278"/>
      <c r="BI413" s="278"/>
      <c r="BJ413" s="278"/>
      <c r="BK413" s="278"/>
      <c r="BL413" s="278"/>
      <c r="BM413" s="278"/>
      <c r="BN413" s="278"/>
      <c r="BO413" s="278"/>
      <c r="BP413" s="278"/>
      <c r="BQ413" s="278"/>
      <c r="BR413" s="278"/>
      <c r="BS413" s="278"/>
      <c r="BT413" s="278"/>
      <c r="BU413" s="278"/>
      <c r="BV413" s="278"/>
      <c r="BW413" s="278"/>
      <c r="BX413" s="278"/>
      <c r="BY413" s="278"/>
      <c r="BZ413" s="278"/>
      <c r="CA413" s="278"/>
      <c r="CB413" s="278"/>
      <c r="CC413" s="278"/>
      <c r="CD413" s="278"/>
      <c r="CE413" s="278"/>
      <c r="CF413" s="278"/>
      <c r="CG413" s="278"/>
      <c r="CH413" s="278"/>
      <c r="CI413" s="278"/>
      <c r="CJ413" s="278"/>
      <c r="CK413" s="278"/>
      <c r="CL413" s="278"/>
      <c r="CM413" s="278"/>
      <c r="CN413" s="278"/>
    </row>
    <row r="414" spans="1:92" ht="11.25" customHeight="1">
      <c r="A414" s="278"/>
      <c r="B414" s="278"/>
      <c r="C414" s="278"/>
      <c r="D414" s="278"/>
      <c r="E414" s="278"/>
      <c r="F414" s="278"/>
      <c r="G414" s="278"/>
      <c r="H414" s="278"/>
      <c r="I414" s="278"/>
      <c r="J414" s="278"/>
      <c r="K414" s="278"/>
      <c r="L414" s="278"/>
      <c r="M414" s="278"/>
      <c r="N414" s="278"/>
      <c r="O414" s="278"/>
      <c r="P414" s="278"/>
      <c r="Q414" s="278"/>
      <c r="R414" s="278"/>
      <c r="S414" s="278"/>
      <c r="T414" s="278"/>
      <c r="U414" s="278"/>
      <c r="V414" s="278"/>
      <c r="W414" s="278"/>
      <c r="X414" s="278"/>
      <c r="Y414" s="278"/>
      <c r="Z414" s="278"/>
      <c r="AA414" s="278"/>
      <c r="AB414" s="278"/>
      <c r="AC414" s="278"/>
      <c r="AD414" s="278"/>
      <c r="AE414" s="278"/>
      <c r="AF414" s="278"/>
      <c r="AG414" s="278"/>
      <c r="AH414" s="278"/>
      <c r="AI414" s="278"/>
      <c r="AJ414" s="278"/>
      <c r="AK414" s="278"/>
      <c r="AL414" s="278"/>
      <c r="AM414" s="278"/>
      <c r="AN414" s="278"/>
      <c r="AO414" s="278"/>
      <c r="AP414" s="278"/>
      <c r="AQ414" s="278"/>
      <c r="AR414" s="278"/>
      <c r="AS414" s="278"/>
      <c r="AT414" s="278"/>
      <c r="AU414" s="278"/>
      <c r="AV414" s="278"/>
      <c r="AX414" s="278"/>
      <c r="AY414" s="278"/>
      <c r="AZ414" s="278"/>
      <c r="BA414" s="278"/>
      <c r="BB414" s="278"/>
      <c r="BC414" s="278"/>
      <c r="BD414" s="278"/>
      <c r="BE414" s="278"/>
      <c r="BF414" s="278"/>
      <c r="BG414" s="278"/>
      <c r="BH414" s="278"/>
      <c r="BI414" s="278"/>
      <c r="BJ414" s="278"/>
      <c r="BK414" s="278"/>
      <c r="BL414" s="278"/>
      <c r="BM414" s="278"/>
      <c r="BN414" s="278"/>
      <c r="BO414" s="278"/>
      <c r="BP414" s="278"/>
      <c r="BQ414" s="278"/>
      <c r="BR414" s="278"/>
      <c r="BS414" s="278"/>
      <c r="BT414" s="278"/>
      <c r="BU414" s="278"/>
      <c r="BV414" s="278"/>
      <c r="BW414" s="278"/>
      <c r="BX414" s="278"/>
      <c r="BY414" s="278"/>
      <c r="BZ414" s="278"/>
      <c r="CA414" s="278"/>
      <c r="CB414" s="278"/>
      <c r="CC414" s="278"/>
      <c r="CD414" s="278"/>
      <c r="CE414" s="278"/>
      <c r="CF414" s="278"/>
      <c r="CG414" s="278"/>
      <c r="CH414" s="278"/>
      <c r="CI414" s="278"/>
      <c r="CJ414" s="278"/>
      <c r="CK414" s="278"/>
      <c r="CL414" s="278"/>
      <c r="CM414" s="278"/>
      <c r="CN414" s="278"/>
    </row>
    <row r="415" spans="1:92" ht="11.25" customHeight="1">
      <c r="A415" s="278"/>
      <c r="B415" s="278"/>
      <c r="C415" s="278"/>
      <c r="D415" s="278"/>
      <c r="E415" s="278"/>
      <c r="F415" s="278"/>
      <c r="G415" s="278"/>
      <c r="H415" s="278"/>
      <c r="I415" s="278"/>
      <c r="J415" s="278"/>
      <c r="K415" s="278"/>
      <c r="L415" s="278"/>
      <c r="M415" s="278"/>
      <c r="N415" s="278"/>
      <c r="O415" s="278"/>
      <c r="P415" s="278"/>
      <c r="Q415" s="278"/>
      <c r="R415" s="278"/>
      <c r="S415" s="278"/>
      <c r="T415" s="278"/>
      <c r="U415" s="278"/>
      <c r="V415" s="278"/>
      <c r="W415" s="278"/>
      <c r="X415" s="278"/>
      <c r="Y415" s="278"/>
      <c r="Z415" s="278"/>
      <c r="AA415" s="278"/>
      <c r="AB415" s="278"/>
      <c r="AC415" s="278"/>
      <c r="AD415" s="278"/>
      <c r="AE415" s="278"/>
      <c r="AF415" s="278"/>
      <c r="AG415" s="278"/>
      <c r="AH415" s="278"/>
      <c r="AI415" s="278"/>
      <c r="AJ415" s="278"/>
      <c r="AK415" s="278"/>
      <c r="AL415" s="278"/>
      <c r="AM415" s="278"/>
      <c r="AN415" s="278"/>
      <c r="AO415" s="278"/>
      <c r="AP415" s="278"/>
      <c r="AQ415" s="278"/>
      <c r="AR415" s="278"/>
      <c r="AS415" s="278"/>
      <c r="AT415" s="278"/>
      <c r="AU415" s="278"/>
      <c r="AV415" s="278"/>
      <c r="AX415" s="278"/>
      <c r="AY415" s="278"/>
      <c r="AZ415" s="278"/>
      <c r="BA415" s="278"/>
      <c r="BB415" s="278"/>
      <c r="BC415" s="278"/>
      <c r="BD415" s="278"/>
      <c r="BE415" s="278"/>
      <c r="BF415" s="278"/>
      <c r="BG415" s="278"/>
      <c r="BH415" s="278"/>
      <c r="BI415" s="278"/>
      <c r="BJ415" s="278"/>
      <c r="BK415" s="278"/>
      <c r="BL415" s="278"/>
      <c r="BM415" s="278"/>
      <c r="BN415" s="278"/>
      <c r="BO415" s="278"/>
      <c r="BP415" s="278"/>
      <c r="BQ415" s="278"/>
      <c r="BR415" s="278"/>
      <c r="BS415" s="278"/>
      <c r="BT415" s="278"/>
      <c r="BU415" s="278"/>
      <c r="BV415" s="278"/>
      <c r="BW415" s="278"/>
      <c r="BX415" s="278"/>
      <c r="BY415" s="278"/>
      <c r="BZ415" s="278"/>
      <c r="CA415" s="278"/>
      <c r="CB415" s="278"/>
      <c r="CC415" s="278"/>
      <c r="CD415" s="278"/>
      <c r="CE415" s="278"/>
      <c r="CF415" s="278"/>
      <c r="CG415" s="278"/>
      <c r="CH415" s="278"/>
      <c r="CI415" s="278"/>
      <c r="CJ415" s="278"/>
      <c r="CK415" s="278"/>
      <c r="CL415" s="278"/>
      <c r="CM415" s="278"/>
      <c r="CN415" s="278"/>
    </row>
    <row r="416" spans="1:92" ht="11.25" customHeight="1"/>
    <row r="417" ht="11.25" customHeight="1"/>
    <row r="418" ht="11.25" customHeight="1"/>
    <row r="419" ht="11.25" customHeight="1"/>
    <row r="420" ht="11.25" customHeight="1"/>
    <row r="421" ht="11.25" customHeight="1"/>
  </sheetData>
  <phoneticPr fontId="6" type="noConversion"/>
  <pageMargins left="0" right="0" top="0" bottom="0" header="0" footer="0"/>
  <pageSetup paperSize="5" orientation="landscape" r:id="rId1"/>
  <headerFooter alignWithMargins="0"/>
  <ignoredErrors>
    <ignoredError sqref="Y105:BJ106 Y108:BJ108 C108:W108 C105:W106 BL63:BM64 BG62:BK64 BL62:BM62 BL114 BI50:BM51 BR114 BR117 BL65:BM65 BI65:BK65 BN65:BU65 BI52:BM53 AU52:BH53 BN52:BU53 BW36 BW42:BW44 BV66:BV67 BV53:BW53 BS50 BW65:BW70 BX50:BY53 BX62:BY65 BX114:BX117 CA65:CB65 CA53:CC53 CD51:CE52 CE53 AW65:BA65 CG53" formula="1"/>
    <ignoredError sqref="BB25:BB27 BB34:BB36 BB42:BB44 BB40 BB32 BH32 BH40 BN32 BN40 BT40 BT32 BV32:BW32 BV40:BW40 BB39:BU39 BB28 BB37 BB45 BH45 BH37 BH28 BW28:BX28 BV45 BB30 BB38 BB46 BH25:BW25 BH30 BH34:BT34 BH38 BH42:BT42 BH46 BN30 BT30 BH44:BT44 BH43:BT43 BH36:BT36 BH35:BT35 BH27:BV27 BH26:BU26 CF25 CF27 BZ34 BZ36 BZ42 BZ44 CF34 CF36 CF42 CF44 BZ28:CD28 BZ37:CD37 BZ45 CF32:CJ32 CF40:CJ40 CF39:CJ39 CF28 CF37 CF45 BW39 BZ27 BZ32:CD32 BZ40 BY25:BZ25 CB40:CD40" evalError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2"/>
  <sheetViews>
    <sheetView workbookViewId="0"/>
  </sheetViews>
  <sheetFormatPr defaultRowHeight="12.75"/>
  <sheetData>
    <row r="1" spans="1:6">
      <c r="A1" t="s">
        <v>324</v>
      </c>
    </row>
    <row r="2" spans="1:6">
      <c r="A2" s="613" t="s">
        <v>322</v>
      </c>
      <c r="B2" s="613" t="s">
        <v>308</v>
      </c>
      <c r="C2" s="613" t="s">
        <v>321</v>
      </c>
      <c r="D2" s="613" t="s">
        <v>585</v>
      </c>
      <c r="E2" s="613" t="s">
        <v>323</v>
      </c>
      <c r="F2" s="613" t="s">
        <v>478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BW126"/>
  <sheetViews>
    <sheetView zoomScaleNormal="100" zoomScaleSheetLayoutView="100" workbookViewId="0">
      <pane xSplit="1" ySplit="4" topLeftCell="B5" activePane="bottomRight" state="frozen"/>
      <selection pane="topRight" activeCell="C1" sqref="C1"/>
      <selection pane="bottomLeft" activeCell="A5" sqref="A5"/>
      <selection pane="bottomRight"/>
    </sheetView>
  </sheetViews>
  <sheetFormatPr defaultRowHeight="12.75" outlineLevelRow="1" outlineLevelCol="1"/>
  <cols>
    <col min="1" max="1" width="22.85546875" style="2061" customWidth="1"/>
    <col min="2" max="8" width="6.7109375" style="2061" hidden="1" customWidth="1" outlineLevel="1"/>
    <col min="9" max="9" width="6.7109375" style="2061" hidden="1" customWidth="1" outlineLevel="1" collapsed="1"/>
    <col min="10" max="10" width="6.7109375" style="2061" hidden="1" customWidth="1" outlineLevel="1"/>
    <col min="11" max="13" width="6.7109375" style="2061" hidden="1" customWidth="1" outlineLevel="1" collapsed="1"/>
    <col min="14" max="15" width="6.7109375" style="2061" hidden="1" customWidth="1" outlineLevel="1"/>
    <col min="16" max="18" width="6.7109375" style="2061" hidden="1" customWidth="1" outlineLevel="1" collapsed="1"/>
    <col min="19" max="19" width="6.7109375" style="2061" hidden="1" customWidth="1" outlineLevel="1"/>
    <col min="20" max="21" width="6.7109375" style="2061" hidden="1" customWidth="1" outlineLevel="1" collapsed="1"/>
    <col min="22" max="22" width="6.7109375" style="2061" hidden="1" customWidth="1" outlineLevel="1"/>
    <col min="23" max="25" width="6.7109375" style="2061" hidden="1" customWidth="1" outlineLevel="1" collapsed="1"/>
    <col min="26" max="27" width="6.7109375" style="2061" hidden="1" customWidth="1" outlineLevel="1"/>
    <col min="28" max="29" width="6.7109375" style="2061" hidden="1" customWidth="1" outlineLevel="1" collapsed="1"/>
    <col min="30" max="33" width="6.7109375" style="2061" hidden="1" customWidth="1" outlineLevel="1"/>
    <col min="34" max="34" width="6.7109375" style="2061" customWidth="1" collapsed="1"/>
    <col min="35" max="49" width="6.7109375" style="2061" customWidth="1"/>
    <col min="50" max="50" width="6.5703125" style="2061" customWidth="1"/>
    <col min="51" max="51" width="7.28515625" style="2061" bestFit="1" customWidth="1"/>
    <col min="52" max="52" width="7.140625" style="2061" customWidth="1"/>
    <col min="53" max="64" width="6" style="2061" customWidth="1"/>
    <col min="65" max="69" width="6.28515625" style="2061" customWidth="1"/>
    <col min="70" max="70" width="6.7109375" style="2061" customWidth="1"/>
    <col min="71" max="72" width="6" style="2061" bestFit="1" customWidth="1"/>
    <col min="73" max="73" width="6" style="2061" customWidth="1"/>
    <col min="74" max="75" width="6" style="2061" bestFit="1" customWidth="1"/>
    <col min="76" max="262" width="9.140625" style="2061"/>
    <col min="263" max="263" width="1.28515625" style="2061" customWidth="1"/>
    <col min="264" max="264" width="15.28515625" style="2061" customWidth="1"/>
    <col min="265" max="294" width="6.85546875" style="2061" customWidth="1"/>
    <col min="295" max="306" width="6.5703125" style="2061" customWidth="1"/>
    <col min="307" max="307" width="6" style="2061" customWidth="1"/>
    <col min="308" max="308" width="7.140625" style="2061" customWidth="1"/>
    <col min="309" max="320" width="6" style="2061" customWidth="1"/>
    <col min="321" max="325" width="6.28515625" style="2061" customWidth="1"/>
    <col min="326" max="326" width="6.7109375" style="2061" customWidth="1"/>
    <col min="327" max="328" width="6" style="2061" bestFit="1" customWidth="1"/>
    <col min="329" max="329" width="6" style="2061" customWidth="1"/>
    <col min="330" max="331" width="6" style="2061" bestFit="1" customWidth="1"/>
    <col min="332" max="518" width="9.140625" style="2061"/>
    <col min="519" max="519" width="1.28515625" style="2061" customWidth="1"/>
    <col min="520" max="520" width="15.28515625" style="2061" customWidth="1"/>
    <col min="521" max="550" width="6.85546875" style="2061" customWidth="1"/>
    <col min="551" max="562" width="6.5703125" style="2061" customWidth="1"/>
    <col min="563" max="563" width="6" style="2061" customWidth="1"/>
    <col min="564" max="564" width="7.140625" style="2061" customWidth="1"/>
    <col min="565" max="576" width="6" style="2061" customWidth="1"/>
    <col min="577" max="581" width="6.28515625" style="2061" customWidth="1"/>
    <col min="582" max="582" width="6.7109375" style="2061" customWidth="1"/>
    <col min="583" max="584" width="6" style="2061" bestFit="1" customWidth="1"/>
    <col min="585" max="585" width="6" style="2061" customWidth="1"/>
    <col min="586" max="587" width="6" style="2061" bestFit="1" customWidth="1"/>
    <col min="588" max="774" width="9.140625" style="2061"/>
    <col min="775" max="775" width="1.28515625" style="2061" customWidth="1"/>
    <col min="776" max="776" width="15.28515625" style="2061" customWidth="1"/>
    <col min="777" max="806" width="6.85546875" style="2061" customWidth="1"/>
    <col min="807" max="818" width="6.5703125" style="2061" customWidth="1"/>
    <col min="819" max="819" width="6" style="2061" customWidth="1"/>
    <col min="820" max="820" width="7.140625" style="2061" customWidth="1"/>
    <col min="821" max="832" width="6" style="2061" customWidth="1"/>
    <col min="833" max="837" width="6.28515625" style="2061" customWidth="1"/>
    <col min="838" max="838" width="6.7109375" style="2061" customWidth="1"/>
    <col min="839" max="840" width="6" style="2061" bestFit="1" customWidth="1"/>
    <col min="841" max="841" width="6" style="2061" customWidth="1"/>
    <col min="842" max="843" width="6" style="2061" bestFit="1" customWidth="1"/>
    <col min="844" max="1030" width="9.140625" style="2061"/>
    <col min="1031" max="1031" width="1.28515625" style="2061" customWidth="1"/>
    <col min="1032" max="1032" width="15.28515625" style="2061" customWidth="1"/>
    <col min="1033" max="1062" width="6.85546875" style="2061" customWidth="1"/>
    <col min="1063" max="1074" width="6.5703125" style="2061" customWidth="1"/>
    <col min="1075" max="1075" width="6" style="2061" customWidth="1"/>
    <col min="1076" max="1076" width="7.140625" style="2061" customWidth="1"/>
    <col min="1077" max="1088" width="6" style="2061" customWidth="1"/>
    <col min="1089" max="1093" width="6.28515625" style="2061" customWidth="1"/>
    <col min="1094" max="1094" width="6.7109375" style="2061" customWidth="1"/>
    <col min="1095" max="1096" width="6" style="2061" bestFit="1" customWidth="1"/>
    <col min="1097" max="1097" width="6" style="2061" customWidth="1"/>
    <col min="1098" max="1099" width="6" style="2061" bestFit="1" customWidth="1"/>
    <col min="1100" max="1286" width="9.140625" style="2061"/>
    <col min="1287" max="1287" width="1.28515625" style="2061" customWidth="1"/>
    <col min="1288" max="1288" width="15.28515625" style="2061" customWidth="1"/>
    <col min="1289" max="1318" width="6.85546875" style="2061" customWidth="1"/>
    <col min="1319" max="1330" width="6.5703125" style="2061" customWidth="1"/>
    <col min="1331" max="1331" width="6" style="2061" customWidth="1"/>
    <col min="1332" max="1332" width="7.140625" style="2061" customWidth="1"/>
    <col min="1333" max="1344" width="6" style="2061" customWidth="1"/>
    <col min="1345" max="1349" width="6.28515625" style="2061" customWidth="1"/>
    <col min="1350" max="1350" width="6.7109375" style="2061" customWidth="1"/>
    <col min="1351" max="1352" width="6" style="2061" bestFit="1" customWidth="1"/>
    <col min="1353" max="1353" width="6" style="2061" customWidth="1"/>
    <col min="1354" max="1355" width="6" style="2061" bestFit="1" customWidth="1"/>
    <col min="1356" max="1542" width="9.140625" style="2061"/>
    <col min="1543" max="1543" width="1.28515625" style="2061" customWidth="1"/>
    <col min="1544" max="1544" width="15.28515625" style="2061" customWidth="1"/>
    <col min="1545" max="1574" width="6.85546875" style="2061" customWidth="1"/>
    <col min="1575" max="1586" width="6.5703125" style="2061" customWidth="1"/>
    <col min="1587" max="1587" width="6" style="2061" customWidth="1"/>
    <col min="1588" max="1588" width="7.140625" style="2061" customWidth="1"/>
    <col min="1589" max="1600" width="6" style="2061" customWidth="1"/>
    <col min="1601" max="1605" width="6.28515625" style="2061" customWidth="1"/>
    <col min="1606" max="1606" width="6.7109375" style="2061" customWidth="1"/>
    <col min="1607" max="1608" width="6" style="2061" bestFit="1" customWidth="1"/>
    <col min="1609" max="1609" width="6" style="2061" customWidth="1"/>
    <col min="1610" max="1611" width="6" style="2061" bestFit="1" customWidth="1"/>
    <col min="1612" max="1798" width="9.140625" style="2061"/>
    <col min="1799" max="1799" width="1.28515625" style="2061" customWidth="1"/>
    <col min="1800" max="1800" width="15.28515625" style="2061" customWidth="1"/>
    <col min="1801" max="1830" width="6.85546875" style="2061" customWidth="1"/>
    <col min="1831" max="1842" width="6.5703125" style="2061" customWidth="1"/>
    <col min="1843" max="1843" width="6" style="2061" customWidth="1"/>
    <col min="1844" max="1844" width="7.140625" style="2061" customWidth="1"/>
    <col min="1845" max="1856" width="6" style="2061" customWidth="1"/>
    <col min="1857" max="1861" width="6.28515625" style="2061" customWidth="1"/>
    <col min="1862" max="1862" width="6.7109375" style="2061" customWidth="1"/>
    <col min="1863" max="1864" width="6" style="2061" bestFit="1" customWidth="1"/>
    <col min="1865" max="1865" width="6" style="2061" customWidth="1"/>
    <col min="1866" max="1867" width="6" style="2061" bestFit="1" customWidth="1"/>
    <col min="1868" max="2054" width="9.140625" style="2061"/>
    <col min="2055" max="2055" width="1.28515625" style="2061" customWidth="1"/>
    <col min="2056" max="2056" width="15.28515625" style="2061" customWidth="1"/>
    <col min="2057" max="2086" width="6.85546875" style="2061" customWidth="1"/>
    <col min="2087" max="2098" width="6.5703125" style="2061" customWidth="1"/>
    <col min="2099" max="2099" width="6" style="2061" customWidth="1"/>
    <col min="2100" max="2100" width="7.140625" style="2061" customWidth="1"/>
    <col min="2101" max="2112" width="6" style="2061" customWidth="1"/>
    <col min="2113" max="2117" width="6.28515625" style="2061" customWidth="1"/>
    <col min="2118" max="2118" width="6.7109375" style="2061" customWidth="1"/>
    <col min="2119" max="2120" width="6" style="2061" bestFit="1" customWidth="1"/>
    <col min="2121" max="2121" width="6" style="2061" customWidth="1"/>
    <col min="2122" max="2123" width="6" style="2061" bestFit="1" customWidth="1"/>
    <col min="2124" max="2310" width="9.140625" style="2061"/>
    <col min="2311" max="2311" width="1.28515625" style="2061" customWidth="1"/>
    <col min="2312" max="2312" width="15.28515625" style="2061" customWidth="1"/>
    <col min="2313" max="2342" width="6.85546875" style="2061" customWidth="1"/>
    <col min="2343" max="2354" width="6.5703125" style="2061" customWidth="1"/>
    <col min="2355" max="2355" width="6" style="2061" customWidth="1"/>
    <col min="2356" max="2356" width="7.140625" style="2061" customWidth="1"/>
    <col min="2357" max="2368" width="6" style="2061" customWidth="1"/>
    <col min="2369" max="2373" width="6.28515625" style="2061" customWidth="1"/>
    <col min="2374" max="2374" width="6.7109375" style="2061" customWidth="1"/>
    <col min="2375" max="2376" width="6" style="2061" bestFit="1" customWidth="1"/>
    <col min="2377" max="2377" width="6" style="2061" customWidth="1"/>
    <col min="2378" max="2379" width="6" style="2061" bestFit="1" customWidth="1"/>
    <col min="2380" max="2566" width="9.140625" style="2061"/>
    <col min="2567" max="2567" width="1.28515625" style="2061" customWidth="1"/>
    <col min="2568" max="2568" width="15.28515625" style="2061" customWidth="1"/>
    <col min="2569" max="2598" width="6.85546875" style="2061" customWidth="1"/>
    <col min="2599" max="2610" width="6.5703125" style="2061" customWidth="1"/>
    <col min="2611" max="2611" width="6" style="2061" customWidth="1"/>
    <col min="2612" max="2612" width="7.140625" style="2061" customWidth="1"/>
    <col min="2613" max="2624" width="6" style="2061" customWidth="1"/>
    <col min="2625" max="2629" width="6.28515625" style="2061" customWidth="1"/>
    <col min="2630" max="2630" width="6.7109375" style="2061" customWidth="1"/>
    <col min="2631" max="2632" width="6" style="2061" bestFit="1" customWidth="1"/>
    <col min="2633" max="2633" width="6" style="2061" customWidth="1"/>
    <col min="2634" max="2635" width="6" style="2061" bestFit="1" customWidth="1"/>
    <col min="2636" max="2822" width="9.140625" style="2061"/>
    <col min="2823" max="2823" width="1.28515625" style="2061" customWidth="1"/>
    <col min="2824" max="2824" width="15.28515625" style="2061" customWidth="1"/>
    <col min="2825" max="2854" width="6.85546875" style="2061" customWidth="1"/>
    <col min="2855" max="2866" width="6.5703125" style="2061" customWidth="1"/>
    <col min="2867" max="2867" width="6" style="2061" customWidth="1"/>
    <col min="2868" max="2868" width="7.140625" style="2061" customWidth="1"/>
    <col min="2869" max="2880" width="6" style="2061" customWidth="1"/>
    <col min="2881" max="2885" width="6.28515625" style="2061" customWidth="1"/>
    <col min="2886" max="2886" width="6.7109375" style="2061" customWidth="1"/>
    <col min="2887" max="2888" width="6" style="2061" bestFit="1" customWidth="1"/>
    <col min="2889" max="2889" width="6" style="2061" customWidth="1"/>
    <col min="2890" max="2891" width="6" style="2061" bestFit="1" customWidth="1"/>
    <col min="2892" max="3078" width="9.140625" style="2061"/>
    <col min="3079" max="3079" width="1.28515625" style="2061" customWidth="1"/>
    <col min="3080" max="3080" width="15.28515625" style="2061" customWidth="1"/>
    <col min="3081" max="3110" width="6.85546875" style="2061" customWidth="1"/>
    <col min="3111" max="3122" width="6.5703125" style="2061" customWidth="1"/>
    <col min="3123" max="3123" width="6" style="2061" customWidth="1"/>
    <col min="3124" max="3124" width="7.140625" style="2061" customWidth="1"/>
    <col min="3125" max="3136" width="6" style="2061" customWidth="1"/>
    <col min="3137" max="3141" width="6.28515625" style="2061" customWidth="1"/>
    <col min="3142" max="3142" width="6.7109375" style="2061" customWidth="1"/>
    <col min="3143" max="3144" width="6" style="2061" bestFit="1" customWidth="1"/>
    <col min="3145" max="3145" width="6" style="2061" customWidth="1"/>
    <col min="3146" max="3147" width="6" style="2061" bestFit="1" customWidth="1"/>
    <col min="3148" max="3334" width="9.140625" style="2061"/>
    <col min="3335" max="3335" width="1.28515625" style="2061" customWidth="1"/>
    <col min="3336" max="3336" width="15.28515625" style="2061" customWidth="1"/>
    <col min="3337" max="3366" width="6.85546875" style="2061" customWidth="1"/>
    <col min="3367" max="3378" width="6.5703125" style="2061" customWidth="1"/>
    <col min="3379" max="3379" width="6" style="2061" customWidth="1"/>
    <col min="3380" max="3380" width="7.140625" style="2061" customWidth="1"/>
    <col min="3381" max="3392" width="6" style="2061" customWidth="1"/>
    <col min="3393" max="3397" width="6.28515625" style="2061" customWidth="1"/>
    <col min="3398" max="3398" width="6.7109375" style="2061" customWidth="1"/>
    <col min="3399" max="3400" width="6" style="2061" bestFit="1" customWidth="1"/>
    <col min="3401" max="3401" width="6" style="2061" customWidth="1"/>
    <col min="3402" max="3403" width="6" style="2061" bestFit="1" customWidth="1"/>
    <col min="3404" max="3590" width="9.140625" style="2061"/>
    <col min="3591" max="3591" width="1.28515625" style="2061" customWidth="1"/>
    <col min="3592" max="3592" width="15.28515625" style="2061" customWidth="1"/>
    <col min="3593" max="3622" width="6.85546875" style="2061" customWidth="1"/>
    <col min="3623" max="3634" width="6.5703125" style="2061" customWidth="1"/>
    <col min="3635" max="3635" width="6" style="2061" customWidth="1"/>
    <col min="3636" max="3636" width="7.140625" style="2061" customWidth="1"/>
    <col min="3637" max="3648" width="6" style="2061" customWidth="1"/>
    <col min="3649" max="3653" width="6.28515625" style="2061" customWidth="1"/>
    <col min="3654" max="3654" width="6.7109375" style="2061" customWidth="1"/>
    <col min="3655" max="3656" width="6" style="2061" bestFit="1" customWidth="1"/>
    <col min="3657" max="3657" width="6" style="2061" customWidth="1"/>
    <col min="3658" max="3659" width="6" style="2061" bestFit="1" customWidth="1"/>
    <col min="3660" max="3846" width="9.140625" style="2061"/>
    <col min="3847" max="3847" width="1.28515625" style="2061" customWidth="1"/>
    <col min="3848" max="3848" width="15.28515625" style="2061" customWidth="1"/>
    <col min="3849" max="3878" width="6.85546875" style="2061" customWidth="1"/>
    <col min="3879" max="3890" width="6.5703125" style="2061" customWidth="1"/>
    <col min="3891" max="3891" width="6" style="2061" customWidth="1"/>
    <col min="3892" max="3892" width="7.140625" style="2061" customWidth="1"/>
    <col min="3893" max="3904" width="6" style="2061" customWidth="1"/>
    <col min="3905" max="3909" width="6.28515625" style="2061" customWidth="1"/>
    <col min="3910" max="3910" width="6.7109375" style="2061" customWidth="1"/>
    <col min="3911" max="3912" width="6" style="2061" bestFit="1" customWidth="1"/>
    <col min="3913" max="3913" width="6" style="2061" customWidth="1"/>
    <col min="3914" max="3915" width="6" style="2061" bestFit="1" customWidth="1"/>
    <col min="3916" max="4102" width="9.140625" style="2061"/>
    <col min="4103" max="4103" width="1.28515625" style="2061" customWidth="1"/>
    <col min="4104" max="4104" width="15.28515625" style="2061" customWidth="1"/>
    <col min="4105" max="4134" width="6.85546875" style="2061" customWidth="1"/>
    <col min="4135" max="4146" width="6.5703125" style="2061" customWidth="1"/>
    <col min="4147" max="4147" width="6" style="2061" customWidth="1"/>
    <col min="4148" max="4148" width="7.140625" style="2061" customWidth="1"/>
    <col min="4149" max="4160" width="6" style="2061" customWidth="1"/>
    <col min="4161" max="4165" width="6.28515625" style="2061" customWidth="1"/>
    <col min="4166" max="4166" width="6.7109375" style="2061" customWidth="1"/>
    <col min="4167" max="4168" width="6" style="2061" bestFit="1" customWidth="1"/>
    <col min="4169" max="4169" width="6" style="2061" customWidth="1"/>
    <col min="4170" max="4171" width="6" style="2061" bestFit="1" customWidth="1"/>
    <col min="4172" max="4358" width="9.140625" style="2061"/>
    <col min="4359" max="4359" width="1.28515625" style="2061" customWidth="1"/>
    <col min="4360" max="4360" width="15.28515625" style="2061" customWidth="1"/>
    <col min="4361" max="4390" width="6.85546875" style="2061" customWidth="1"/>
    <col min="4391" max="4402" width="6.5703125" style="2061" customWidth="1"/>
    <col min="4403" max="4403" width="6" style="2061" customWidth="1"/>
    <col min="4404" max="4404" width="7.140625" style="2061" customWidth="1"/>
    <col min="4405" max="4416" width="6" style="2061" customWidth="1"/>
    <col min="4417" max="4421" width="6.28515625" style="2061" customWidth="1"/>
    <col min="4422" max="4422" width="6.7109375" style="2061" customWidth="1"/>
    <col min="4423" max="4424" width="6" style="2061" bestFit="1" customWidth="1"/>
    <col min="4425" max="4425" width="6" style="2061" customWidth="1"/>
    <col min="4426" max="4427" width="6" style="2061" bestFit="1" customWidth="1"/>
    <col min="4428" max="4614" width="9.140625" style="2061"/>
    <col min="4615" max="4615" width="1.28515625" style="2061" customWidth="1"/>
    <col min="4616" max="4616" width="15.28515625" style="2061" customWidth="1"/>
    <col min="4617" max="4646" width="6.85546875" style="2061" customWidth="1"/>
    <col min="4647" max="4658" width="6.5703125" style="2061" customWidth="1"/>
    <col min="4659" max="4659" width="6" style="2061" customWidth="1"/>
    <col min="4660" max="4660" width="7.140625" style="2061" customWidth="1"/>
    <col min="4661" max="4672" width="6" style="2061" customWidth="1"/>
    <col min="4673" max="4677" width="6.28515625" style="2061" customWidth="1"/>
    <col min="4678" max="4678" width="6.7109375" style="2061" customWidth="1"/>
    <col min="4679" max="4680" width="6" style="2061" bestFit="1" customWidth="1"/>
    <col min="4681" max="4681" width="6" style="2061" customWidth="1"/>
    <col min="4682" max="4683" width="6" style="2061" bestFit="1" customWidth="1"/>
    <col min="4684" max="4870" width="9.140625" style="2061"/>
    <col min="4871" max="4871" width="1.28515625" style="2061" customWidth="1"/>
    <col min="4872" max="4872" width="15.28515625" style="2061" customWidth="1"/>
    <col min="4873" max="4902" width="6.85546875" style="2061" customWidth="1"/>
    <col min="4903" max="4914" width="6.5703125" style="2061" customWidth="1"/>
    <col min="4915" max="4915" width="6" style="2061" customWidth="1"/>
    <col min="4916" max="4916" width="7.140625" style="2061" customWidth="1"/>
    <col min="4917" max="4928" width="6" style="2061" customWidth="1"/>
    <col min="4929" max="4933" width="6.28515625" style="2061" customWidth="1"/>
    <col min="4934" max="4934" width="6.7109375" style="2061" customWidth="1"/>
    <col min="4935" max="4936" width="6" style="2061" bestFit="1" customWidth="1"/>
    <col min="4937" max="4937" width="6" style="2061" customWidth="1"/>
    <col min="4938" max="4939" width="6" style="2061" bestFit="1" customWidth="1"/>
    <col min="4940" max="5126" width="9.140625" style="2061"/>
    <col min="5127" max="5127" width="1.28515625" style="2061" customWidth="1"/>
    <col min="5128" max="5128" width="15.28515625" style="2061" customWidth="1"/>
    <col min="5129" max="5158" width="6.85546875" style="2061" customWidth="1"/>
    <col min="5159" max="5170" width="6.5703125" style="2061" customWidth="1"/>
    <col min="5171" max="5171" width="6" style="2061" customWidth="1"/>
    <col min="5172" max="5172" width="7.140625" style="2061" customWidth="1"/>
    <col min="5173" max="5184" width="6" style="2061" customWidth="1"/>
    <col min="5185" max="5189" width="6.28515625" style="2061" customWidth="1"/>
    <col min="5190" max="5190" width="6.7109375" style="2061" customWidth="1"/>
    <col min="5191" max="5192" width="6" style="2061" bestFit="1" customWidth="1"/>
    <col min="5193" max="5193" width="6" style="2061" customWidth="1"/>
    <col min="5194" max="5195" width="6" style="2061" bestFit="1" customWidth="1"/>
    <col min="5196" max="5382" width="9.140625" style="2061"/>
    <col min="5383" max="5383" width="1.28515625" style="2061" customWidth="1"/>
    <col min="5384" max="5384" width="15.28515625" style="2061" customWidth="1"/>
    <col min="5385" max="5414" width="6.85546875" style="2061" customWidth="1"/>
    <col min="5415" max="5426" width="6.5703125" style="2061" customWidth="1"/>
    <col min="5427" max="5427" width="6" style="2061" customWidth="1"/>
    <col min="5428" max="5428" width="7.140625" style="2061" customWidth="1"/>
    <col min="5429" max="5440" width="6" style="2061" customWidth="1"/>
    <col min="5441" max="5445" width="6.28515625" style="2061" customWidth="1"/>
    <col min="5446" max="5446" width="6.7109375" style="2061" customWidth="1"/>
    <col min="5447" max="5448" width="6" style="2061" bestFit="1" customWidth="1"/>
    <col min="5449" max="5449" width="6" style="2061" customWidth="1"/>
    <col min="5450" max="5451" width="6" style="2061" bestFit="1" customWidth="1"/>
    <col min="5452" max="5638" width="9.140625" style="2061"/>
    <col min="5639" max="5639" width="1.28515625" style="2061" customWidth="1"/>
    <col min="5640" max="5640" width="15.28515625" style="2061" customWidth="1"/>
    <col min="5641" max="5670" width="6.85546875" style="2061" customWidth="1"/>
    <col min="5671" max="5682" width="6.5703125" style="2061" customWidth="1"/>
    <col min="5683" max="5683" width="6" style="2061" customWidth="1"/>
    <col min="5684" max="5684" width="7.140625" style="2061" customWidth="1"/>
    <col min="5685" max="5696" width="6" style="2061" customWidth="1"/>
    <col min="5697" max="5701" width="6.28515625" style="2061" customWidth="1"/>
    <col min="5702" max="5702" width="6.7109375" style="2061" customWidth="1"/>
    <col min="5703" max="5704" width="6" style="2061" bestFit="1" customWidth="1"/>
    <col min="5705" max="5705" width="6" style="2061" customWidth="1"/>
    <col min="5706" max="5707" width="6" style="2061" bestFit="1" customWidth="1"/>
    <col min="5708" max="5894" width="9.140625" style="2061"/>
    <col min="5895" max="5895" width="1.28515625" style="2061" customWidth="1"/>
    <col min="5896" max="5896" width="15.28515625" style="2061" customWidth="1"/>
    <col min="5897" max="5926" width="6.85546875" style="2061" customWidth="1"/>
    <col min="5927" max="5938" width="6.5703125" style="2061" customWidth="1"/>
    <col min="5939" max="5939" width="6" style="2061" customWidth="1"/>
    <col min="5940" max="5940" width="7.140625" style="2061" customWidth="1"/>
    <col min="5941" max="5952" width="6" style="2061" customWidth="1"/>
    <col min="5953" max="5957" width="6.28515625" style="2061" customWidth="1"/>
    <col min="5958" max="5958" width="6.7109375" style="2061" customWidth="1"/>
    <col min="5959" max="5960" width="6" style="2061" bestFit="1" customWidth="1"/>
    <col min="5961" max="5961" width="6" style="2061" customWidth="1"/>
    <col min="5962" max="5963" width="6" style="2061" bestFit="1" customWidth="1"/>
    <col min="5964" max="6150" width="9.140625" style="2061"/>
    <col min="6151" max="6151" width="1.28515625" style="2061" customWidth="1"/>
    <col min="6152" max="6152" width="15.28515625" style="2061" customWidth="1"/>
    <col min="6153" max="6182" width="6.85546875" style="2061" customWidth="1"/>
    <col min="6183" max="6194" width="6.5703125" style="2061" customWidth="1"/>
    <col min="6195" max="6195" width="6" style="2061" customWidth="1"/>
    <col min="6196" max="6196" width="7.140625" style="2061" customWidth="1"/>
    <col min="6197" max="6208" width="6" style="2061" customWidth="1"/>
    <col min="6209" max="6213" width="6.28515625" style="2061" customWidth="1"/>
    <col min="6214" max="6214" width="6.7109375" style="2061" customWidth="1"/>
    <col min="6215" max="6216" width="6" style="2061" bestFit="1" customWidth="1"/>
    <col min="6217" max="6217" width="6" style="2061" customWidth="1"/>
    <col min="6218" max="6219" width="6" style="2061" bestFit="1" customWidth="1"/>
    <col min="6220" max="6406" width="9.140625" style="2061"/>
    <col min="6407" max="6407" width="1.28515625" style="2061" customWidth="1"/>
    <col min="6408" max="6408" width="15.28515625" style="2061" customWidth="1"/>
    <col min="6409" max="6438" width="6.85546875" style="2061" customWidth="1"/>
    <col min="6439" max="6450" width="6.5703125" style="2061" customWidth="1"/>
    <col min="6451" max="6451" width="6" style="2061" customWidth="1"/>
    <col min="6452" max="6452" width="7.140625" style="2061" customWidth="1"/>
    <col min="6453" max="6464" width="6" style="2061" customWidth="1"/>
    <col min="6465" max="6469" width="6.28515625" style="2061" customWidth="1"/>
    <col min="6470" max="6470" width="6.7109375" style="2061" customWidth="1"/>
    <col min="6471" max="6472" width="6" style="2061" bestFit="1" customWidth="1"/>
    <col min="6473" max="6473" width="6" style="2061" customWidth="1"/>
    <col min="6474" max="6475" width="6" style="2061" bestFit="1" customWidth="1"/>
    <col min="6476" max="6662" width="9.140625" style="2061"/>
    <col min="6663" max="6663" width="1.28515625" style="2061" customWidth="1"/>
    <col min="6664" max="6664" width="15.28515625" style="2061" customWidth="1"/>
    <col min="6665" max="6694" width="6.85546875" style="2061" customWidth="1"/>
    <col min="6695" max="6706" width="6.5703125" style="2061" customWidth="1"/>
    <col min="6707" max="6707" width="6" style="2061" customWidth="1"/>
    <col min="6708" max="6708" width="7.140625" style="2061" customWidth="1"/>
    <col min="6709" max="6720" width="6" style="2061" customWidth="1"/>
    <col min="6721" max="6725" width="6.28515625" style="2061" customWidth="1"/>
    <col min="6726" max="6726" width="6.7109375" style="2061" customWidth="1"/>
    <col min="6727" max="6728" width="6" style="2061" bestFit="1" customWidth="1"/>
    <col min="6729" max="6729" width="6" style="2061" customWidth="1"/>
    <col min="6730" max="6731" width="6" style="2061" bestFit="1" customWidth="1"/>
    <col min="6732" max="6918" width="9.140625" style="2061"/>
    <col min="6919" max="6919" width="1.28515625" style="2061" customWidth="1"/>
    <col min="6920" max="6920" width="15.28515625" style="2061" customWidth="1"/>
    <col min="6921" max="6950" width="6.85546875" style="2061" customWidth="1"/>
    <col min="6951" max="6962" width="6.5703125" style="2061" customWidth="1"/>
    <col min="6963" max="6963" width="6" style="2061" customWidth="1"/>
    <col min="6964" max="6964" width="7.140625" style="2061" customWidth="1"/>
    <col min="6965" max="6976" width="6" style="2061" customWidth="1"/>
    <col min="6977" max="6981" width="6.28515625" style="2061" customWidth="1"/>
    <col min="6982" max="6982" width="6.7109375" style="2061" customWidth="1"/>
    <col min="6983" max="6984" width="6" style="2061" bestFit="1" customWidth="1"/>
    <col min="6985" max="6985" width="6" style="2061" customWidth="1"/>
    <col min="6986" max="6987" width="6" style="2061" bestFit="1" customWidth="1"/>
    <col min="6988" max="7174" width="9.140625" style="2061"/>
    <col min="7175" max="7175" width="1.28515625" style="2061" customWidth="1"/>
    <col min="7176" max="7176" width="15.28515625" style="2061" customWidth="1"/>
    <col min="7177" max="7206" width="6.85546875" style="2061" customWidth="1"/>
    <col min="7207" max="7218" width="6.5703125" style="2061" customWidth="1"/>
    <col min="7219" max="7219" width="6" style="2061" customWidth="1"/>
    <col min="7220" max="7220" width="7.140625" style="2061" customWidth="1"/>
    <col min="7221" max="7232" width="6" style="2061" customWidth="1"/>
    <col min="7233" max="7237" width="6.28515625" style="2061" customWidth="1"/>
    <col min="7238" max="7238" width="6.7109375" style="2061" customWidth="1"/>
    <col min="7239" max="7240" width="6" style="2061" bestFit="1" customWidth="1"/>
    <col min="7241" max="7241" width="6" style="2061" customWidth="1"/>
    <col min="7242" max="7243" width="6" style="2061" bestFit="1" customWidth="1"/>
    <col min="7244" max="7430" width="9.140625" style="2061"/>
    <col min="7431" max="7431" width="1.28515625" style="2061" customWidth="1"/>
    <col min="7432" max="7432" width="15.28515625" style="2061" customWidth="1"/>
    <col min="7433" max="7462" width="6.85546875" style="2061" customWidth="1"/>
    <col min="7463" max="7474" width="6.5703125" style="2061" customWidth="1"/>
    <col min="7475" max="7475" width="6" style="2061" customWidth="1"/>
    <col min="7476" max="7476" width="7.140625" style="2061" customWidth="1"/>
    <col min="7477" max="7488" width="6" style="2061" customWidth="1"/>
    <col min="7489" max="7493" width="6.28515625" style="2061" customWidth="1"/>
    <col min="7494" max="7494" width="6.7109375" style="2061" customWidth="1"/>
    <col min="7495" max="7496" width="6" style="2061" bestFit="1" customWidth="1"/>
    <col min="7497" max="7497" width="6" style="2061" customWidth="1"/>
    <col min="7498" max="7499" width="6" style="2061" bestFit="1" customWidth="1"/>
    <col min="7500" max="7686" width="9.140625" style="2061"/>
    <col min="7687" max="7687" width="1.28515625" style="2061" customWidth="1"/>
    <col min="7688" max="7688" width="15.28515625" style="2061" customWidth="1"/>
    <col min="7689" max="7718" width="6.85546875" style="2061" customWidth="1"/>
    <col min="7719" max="7730" width="6.5703125" style="2061" customWidth="1"/>
    <col min="7731" max="7731" width="6" style="2061" customWidth="1"/>
    <col min="7732" max="7732" width="7.140625" style="2061" customWidth="1"/>
    <col min="7733" max="7744" width="6" style="2061" customWidth="1"/>
    <col min="7745" max="7749" width="6.28515625" style="2061" customWidth="1"/>
    <col min="7750" max="7750" width="6.7109375" style="2061" customWidth="1"/>
    <col min="7751" max="7752" width="6" style="2061" bestFit="1" customWidth="1"/>
    <col min="7753" max="7753" width="6" style="2061" customWidth="1"/>
    <col min="7754" max="7755" width="6" style="2061" bestFit="1" customWidth="1"/>
    <col min="7756" max="7942" width="9.140625" style="2061"/>
    <col min="7943" max="7943" width="1.28515625" style="2061" customWidth="1"/>
    <col min="7944" max="7944" width="15.28515625" style="2061" customWidth="1"/>
    <col min="7945" max="7974" width="6.85546875" style="2061" customWidth="1"/>
    <col min="7975" max="7986" width="6.5703125" style="2061" customWidth="1"/>
    <col min="7987" max="7987" width="6" style="2061" customWidth="1"/>
    <col min="7988" max="7988" width="7.140625" style="2061" customWidth="1"/>
    <col min="7989" max="8000" width="6" style="2061" customWidth="1"/>
    <col min="8001" max="8005" width="6.28515625" style="2061" customWidth="1"/>
    <col min="8006" max="8006" width="6.7109375" style="2061" customWidth="1"/>
    <col min="8007" max="8008" width="6" style="2061" bestFit="1" customWidth="1"/>
    <col min="8009" max="8009" width="6" style="2061" customWidth="1"/>
    <col min="8010" max="8011" width="6" style="2061" bestFit="1" customWidth="1"/>
    <col min="8012" max="8198" width="9.140625" style="2061"/>
    <col min="8199" max="8199" width="1.28515625" style="2061" customWidth="1"/>
    <col min="8200" max="8200" width="15.28515625" style="2061" customWidth="1"/>
    <col min="8201" max="8230" width="6.85546875" style="2061" customWidth="1"/>
    <col min="8231" max="8242" width="6.5703125" style="2061" customWidth="1"/>
    <col min="8243" max="8243" width="6" style="2061" customWidth="1"/>
    <col min="8244" max="8244" width="7.140625" style="2061" customWidth="1"/>
    <col min="8245" max="8256" width="6" style="2061" customWidth="1"/>
    <col min="8257" max="8261" width="6.28515625" style="2061" customWidth="1"/>
    <col min="8262" max="8262" width="6.7109375" style="2061" customWidth="1"/>
    <col min="8263" max="8264" width="6" style="2061" bestFit="1" customWidth="1"/>
    <col min="8265" max="8265" width="6" style="2061" customWidth="1"/>
    <col min="8266" max="8267" width="6" style="2061" bestFit="1" customWidth="1"/>
    <col min="8268" max="8454" width="9.140625" style="2061"/>
    <col min="8455" max="8455" width="1.28515625" style="2061" customWidth="1"/>
    <col min="8456" max="8456" width="15.28515625" style="2061" customWidth="1"/>
    <col min="8457" max="8486" width="6.85546875" style="2061" customWidth="1"/>
    <col min="8487" max="8498" width="6.5703125" style="2061" customWidth="1"/>
    <col min="8499" max="8499" width="6" style="2061" customWidth="1"/>
    <col min="8500" max="8500" width="7.140625" style="2061" customWidth="1"/>
    <col min="8501" max="8512" width="6" style="2061" customWidth="1"/>
    <col min="8513" max="8517" width="6.28515625" style="2061" customWidth="1"/>
    <col min="8518" max="8518" width="6.7109375" style="2061" customWidth="1"/>
    <col min="8519" max="8520" width="6" style="2061" bestFit="1" customWidth="1"/>
    <col min="8521" max="8521" width="6" style="2061" customWidth="1"/>
    <col min="8522" max="8523" width="6" style="2061" bestFit="1" customWidth="1"/>
    <col min="8524" max="8710" width="9.140625" style="2061"/>
    <col min="8711" max="8711" width="1.28515625" style="2061" customWidth="1"/>
    <col min="8712" max="8712" width="15.28515625" style="2061" customWidth="1"/>
    <col min="8713" max="8742" width="6.85546875" style="2061" customWidth="1"/>
    <col min="8743" max="8754" width="6.5703125" style="2061" customWidth="1"/>
    <col min="8755" max="8755" width="6" style="2061" customWidth="1"/>
    <col min="8756" max="8756" width="7.140625" style="2061" customWidth="1"/>
    <col min="8757" max="8768" width="6" style="2061" customWidth="1"/>
    <col min="8769" max="8773" width="6.28515625" style="2061" customWidth="1"/>
    <col min="8774" max="8774" width="6.7109375" style="2061" customWidth="1"/>
    <col min="8775" max="8776" width="6" style="2061" bestFit="1" customWidth="1"/>
    <col min="8777" max="8777" width="6" style="2061" customWidth="1"/>
    <col min="8778" max="8779" width="6" style="2061" bestFit="1" customWidth="1"/>
    <col min="8780" max="8966" width="9.140625" style="2061"/>
    <col min="8967" max="8967" width="1.28515625" style="2061" customWidth="1"/>
    <col min="8968" max="8968" width="15.28515625" style="2061" customWidth="1"/>
    <col min="8969" max="8998" width="6.85546875" style="2061" customWidth="1"/>
    <col min="8999" max="9010" width="6.5703125" style="2061" customWidth="1"/>
    <col min="9011" max="9011" width="6" style="2061" customWidth="1"/>
    <col min="9012" max="9012" width="7.140625" style="2061" customWidth="1"/>
    <col min="9013" max="9024" width="6" style="2061" customWidth="1"/>
    <col min="9025" max="9029" width="6.28515625" style="2061" customWidth="1"/>
    <col min="9030" max="9030" width="6.7109375" style="2061" customWidth="1"/>
    <col min="9031" max="9032" width="6" style="2061" bestFit="1" customWidth="1"/>
    <col min="9033" max="9033" width="6" style="2061" customWidth="1"/>
    <col min="9034" max="9035" width="6" style="2061" bestFit="1" customWidth="1"/>
    <col min="9036" max="9222" width="9.140625" style="2061"/>
    <col min="9223" max="9223" width="1.28515625" style="2061" customWidth="1"/>
    <col min="9224" max="9224" width="15.28515625" style="2061" customWidth="1"/>
    <col min="9225" max="9254" width="6.85546875" style="2061" customWidth="1"/>
    <col min="9255" max="9266" width="6.5703125" style="2061" customWidth="1"/>
    <col min="9267" max="9267" width="6" style="2061" customWidth="1"/>
    <col min="9268" max="9268" width="7.140625" style="2061" customWidth="1"/>
    <col min="9269" max="9280" width="6" style="2061" customWidth="1"/>
    <col min="9281" max="9285" width="6.28515625" style="2061" customWidth="1"/>
    <col min="9286" max="9286" width="6.7109375" style="2061" customWidth="1"/>
    <col min="9287" max="9288" width="6" style="2061" bestFit="1" customWidth="1"/>
    <col min="9289" max="9289" width="6" style="2061" customWidth="1"/>
    <col min="9290" max="9291" width="6" style="2061" bestFit="1" customWidth="1"/>
    <col min="9292" max="9478" width="9.140625" style="2061"/>
    <col min="9479" max="9479" width="1.28515625" style="2061" customWidth="1"/>
    <col min="9480" max="9480" width="15.28515625" style="2061" customWidth="1"/>
    <col min="9481" max="9510" width="6.85546875" style="2061" customWidth="1"/>
    <col min="9511" max="9522" width="6.5703125" style="2061" customWidth="1"/>
    <col min="9523" max="9523" width="6" style="2061" customWidth="1"/>
    <col min="9524" max="9524" width="7.140625" style="2061" customWidth="1"/>
    <col min="9525" max="9536" width="6" style="2061" customWidth="1"/>
    <col min="9537" max="9541" width="6.28515625" style="2061" customWidth="1"/>
    <col min="9542" max="9542" width="6.7109375" style="2061" customWidth="1"/>
    <col min="9543" max="9544" width="6" style="2061" bestFit="1" customWidth="1"/>
    <col min="9545" max="9545" width="6" style="2061" customWidth="1"/>
    <col min="9546" max="9547" width="6" style="2061" bestFit="1" customWidth="1"/>
    <col min="9548" max="9734" width="9.140625" style="2061"/>
    <col min="9735" max="9735" width="1.28515625" style="2061" customWidth="1"/>
    <col min="9736" max="9736" width="15.28515625" style="2061" customWidth="1"/>
    <col min="9737" max="9766" width="6.85546875" style="2061" customWidth="1"/>
    <col min="9767" max="9778" width="6.5703125" style="2061" customWidth="1"/>
    <col min="9779" max="9779" width="6" style="2061" customWidth="1"/>
    <col min="9780" max="9780" width="7.140625" style="2061" customWidth="1"/>
    <col min="9781" max="9792" width="6" style="2061" customWidth="1"/>
    <col min="9793" max="9797" width="6.28515625" style="2061" customWidth="1"/>
    <col min="9798" max="9798" width="6.7109375" style="2061" customWidth="1"/>
    <col min="9799" max="9800" width="6" style="2061" bestFit="1" customWidth="1"/>
    <col min="9801" max="9801" width="6" style="2061" customWidth="1"/>
    <col min="9802" max="9803" width="6" style="2061" bestFit="1" customWidth="1"/>
    <col min="9804" max="9990" width="9.140625" style="2061"/>
    <col min="9991" max="9991" width="1.28515625" style="2061" customWidth="1"/>
    <col min="9992" max="9992" width="15.28515625" style="2061" customWidth="1"/>
    <col min="9993" max="10022" width="6.85546875" style="2061" customWidth="1"/>
    <col min="10023" max="10034" width="6.5703125" style="2061" customWidth="1"/>
    <col min="10035" max="10035" width="6" style="2061" customWidth="1"/>
    <col min="10036" max="10036" width="7.140625" style="2061" customWidth="1"/>
    <col min="10037" max="10048" width="6" style="2061" customWidth="1"/>
    <col min="10049" max="10053" width="6.28515625" style="2061" customWidth="1"/>
    <col min="10054" max="10054" width="6.7109375" style="2061" customWidth="1"/>
    <col min="10055" max="10056" width="6" style="2061" bestFit="1" customWidth="1"/>
    <col min="10057" max="10057" width="6" style="2061" customWidth="1"/>
    <col min="10058" max="10059" width="6" style="2061" bestFit="1" customWidth="1"/>
    <col min="10060" max="10246" width="9.140625" style="2061"/>
    <col min="10247" max="10247" width="1.28515625" style="2061" customWidth="1"/>
    <col min="10248" max="10248" width="15.28515625" style="2061" customWidth="1"/>
    <col min="10249" max="10278" width="6.85546875" style="2061" customWidth="1"/>
    <col min="10279" max="10290" width="6.5703125" style="2061" customWidth="1"/>
    <col min="10291" max="10291" width="6" style="2061" customWidth="1"/>
    <col min="10292" max="10292" width="7.140625" style="2061" customWidth="1"/>
    <col min="10293" max="10304" width="6" style="2061" customWidth="1"/>
    <col min="10305" max="10309" width="6.28515625" style="2061" customWidth="1"/>
    <col min="10310" max="10310" width="6.7109375" style="2061" customWidth="1"/>
    <col min="10311" max="10312" width="6" style="2061" bestFit="1" customWidth="1"/>
    <col min="10313" max="10313" width="6" style="2061" customWidth="1"/>
    <col min="10314" max="10315" width="6" style="2061" bestFit="1" customWidth="1"/>
    <col min="10316" max="10502" width="9.140625" style="2061"/>
    <col min="10503" max="10503" width="1.28515625" style="2061" customWidth="1"/>
    <col min="10504" max="10504" width="15.28515625" style="2061" customWidth="1"/>
    <col min="10505" max="10534" width="6.85546875" style="2061" customWidth="1"/>
    <col min="10535" max="10546" width="6.5703125" style="2061" customWidth="1"/>
    <col min="10547" max="10547" width="6" style="2061" customWidth="1"/>
    <col min="10548" max="10548" width="7.140625" style="2061" customWidth="1"/>
    <col min="10549" max="10560" width="6" style="2061" customWidth="1"/>
    <col min="10561" max="10565" width="6.28515625" style="2061" customWidth="1"/>
    <col min="10566" max="10566" width="6.7109375" style="2061" customWidth="1"/>
    <col min="10567" max="10568" width="6" style="2061" bestFit="1" customWidth="1"/>
    <col min="10569" max="10569" width="6" style="2061" customWidth="1"/>
    <col min="10570" max="10571" width="6" style="2061" bestFit="1" customWidth="1"/>
    <col min="10572" max="10758" width="9.140625" style="2061"/>
    <col min="10759" max="10759" width="1.28515625" style="2061" customWidth="1"/>
    <col min="10760" max="10760" width="15.28515625" style="2061" customWidth="1"/>
    <col min="10761" max="10790" width="6.85546875" style="2061" customWidth="1"/>
    <col min="10791" max="10802" width="6.5703125" style="2061" customWidth="1"/>
    <col min="10803" max="10803" width="6" style="2061" customWidth="1"/>
    <col min="10804" max="10804" width="7.140625" style="2061" customWidth="1"/>
    <col min="10805" max="10816" width="6" style="2061" customWidth="1"/>
    <col min="10817" max="10821" width="6.28515625" style="2061" customWidth="1"/>
    <col min="10822" max="10822" width="6.7109375" style="2061" customWidth="1"/>
    <col min="10823" max="10824" width="6" style="2061" bestFit="1" customWidth="1"/>
    <col min="10825" max="10825" width="6" style="2061" customWidth="1"/>
    <col min="10826" max="10827" width="6" style="2061" bestFit="1" customWidth="1"/>
    <col min="10828" max="11014" width="9.140625" style="2061"/>
    <col min="11015" max="11015" width="1.28515625" style="2061" customWidth="1"/>
    <col min="11016" max="11016" width="15.28515625" style="2061" customWidth="1"/>
    <col min="11017" max="11046" width="6.85546875" style="2061" customWidth="1"/>
    <col min="11047" max="11058" width="6.5703125" style="2061" customWidth="1"/>
    <col min="11059" max="11059" width="6" style="2061" customWidth="1"/>
    <col min="11060" max="11060" width="7.140625" style="2061" customWidth="1"/>
    <col min="11061" max="11072" width="6" style="2061" customWidth="1"/>
    <col min="11073" max="11077" width="6.28515625" style="2061" customWidth="1"/>
    <col min="11078" max="11078" width="6.7109375" style="2061" customWidth="1"/>
    <col min="11079" max="11080" width="6" style="2061" bestFit="1" customWidth="1"/>
    <col min="11081" max="11081" width="6" style="2061" customWidth="1"/>
    <col min="11082" max="11083" width="6" style="2061" bestFit="1" customWidth="1"/>
    <col min="11084" max="11270" width="9.140625" style="2061"/>
    <col min="11271" max="11271" width="1.28515625" style="2061" customWidth="1"/>
    <col min="11272" max="11272" width="15.28515625" style="2061" customWidth="1"/>
    <col min="11273" max="11302" width="6.85546875" style="2061" customWidth="1"/>
    <col min="11303" max="11314" width="6.5703125" style="2061" customWidth="1"/>
    <col min="11315" max="11315" width="6" style="2061" customWidth="1"/>
    <col min="11316" max="11316" width="7.140625" style="2061" customWidth="1"/>
    <col min="11317" max="11328" width="6" style="2061" customWidth="1"/>
    <col min="11329" max="11333" width="6.28515625" style="2061" customWidth="1"/>
    <col min="11334" max="11334" width="6.7109375" style="2061" customWidth="1"/>
    <col min="11335" max="11336" width="6" style="2061" bestFit="1" customWidth="1"/>
    <col min="11337" max="11337" width="6" style="2061" customWidth="1"/>
    <col min="11338" max="11339" width="6" style="2061" bestFit="1" customWidth="1"/>
    <col min="11340" max="11526" width="9.140625" style="2061"/>
    <col min="11527" max="11527" width="1.28515625" style="2061" customWidth="1"/>
    <col min="11528" max="11528" width="15.28515625" style="2061" customWidth="1"/>
    <col min="11529" max="11558" width="6.85546875" style="2061" customWidth="1"/>
    <col min="11559" max="11570" width="6.5703125" style="2061" customWidth="1"/>
    <col min="11571" max="11571" width="6" style="2061" customWidth="1"/>
    <col min="11572" max="11572" width="7.140625" style="2061" customWidth="1"/>
    <col min="11573" max="11584" width="6" style="2061" customWidth="1"/>
    <col min="11585" max="11589" width="6.28515625" style="2061" customWidth="1"/>
    <col min="11590" max="11590" width="6.7109375" style="2061" customWidth="1"/>
    <col min="11591" max="11592" width="6" style="2061" bestFit="1" customWidth="1"/>
    <col min="11593" max="11593" width="6" style="2061" customWidth="1"/>
    <col min="11594" max="11595" width="6" style="2061" bestFit="1" customWidth="1"/>
    <col min="11596" max="11782" width="9.140625" style="2061"/>
    <col min="11783" max="11783" width="1.28515625" style="2061" customWidth="1"/>
    <col min="11784" max="11784" width="15.28515625" style="2061" customWidth="1"/>
    <col min="11785" max="11814" width="6.85546875" style="2061" customWidth="1"/>
    <col min="11815" max="11826" width="6.5703125" style="2061" customWidth="1"/>
    <col min="11827" max="11827" width="6" style="2061" customWidth="1"/>
    <col min="11828" max="11828" width="7.140625" style="2061" customWidth="1"/>
    <col min="11829" max="11840" width="6" style="2061" customWidth="1"/>
    <col min="11841" max="11845" width="6.28515625" style="2061" customWidth="1"/>
    <col min="11846" max="11846" width="6.7109375" style="2061" customWidth="1"/>
    <col min="11847" max="11848" width="6" style="2061" bestFit="1" customWidth="1"/>
    <col min="11849" max="11849" width="6" style="2061" customWidth="1"/>
    <col min="11850" max="11851" width="6" style="2061" bestFit="1" customWidth="1"/>
    <col min="11852" max="12038" width="9.140625" style="2061"/>
    <col min="12039" max="12039" width="1.28515625" style="2061" customWidth="1"/>
    <col min="12040" max="12040" width="15.28515625" style="2061" customWidth="1"/>
    <col min="12041" max="12070" width="6.85546875" style="2061" customWidth="1"/>
    <col min="12071" max="12082" width="6.5703125" style="2061" customWidth="1"/>
    <col min="12083" max="12083" width="6" style="2061" customWidth="1"/>
    <col min="12084" max="12084" width="7.140625" style="2061" customWidth="1"/>
    <col min="12085" max="12096" width="6" style="2061" customWidth="1"/>
    <col min="12097" max="12101" width="6.28515625" style="2061" customWidth="1"/>
    <col min="12102" max="12102" width="6.7109375" style="2061" customWidth="1"/>
    <col min="12103" max="12104" width="6" style="2061" bestFit="1" customWidth="1"/>
    <col min="12105" max="12105" width="6" style="2061" customWidth="1"/>
    <col min="12106" max="12107" width="6" style="2061" bestFit="1" customWidth="1"/>
    <col min="12108" max="12294" width="9.140625" style="2061"/>
    <col min="12295" max="12295" width="1.28515625" style="2061" customWidth="1"/>
    <col min="12296" max="12296" width="15.28515625" style="2061" customWidth="1"/>
    <col min="12297" max="12326" width="6.85546875" style="2061" customWidth="1"/>
    <col min="12327" max="12338" width="6.5703125" style="2061" customWidth="1"/>
    <col min="12339" max="12339" width="6" style="2061" customWidth="1"/>
    <col min="12340" max="12340" width="7.140625" style="2061" customWidth="1"/>
    <col min="12341" max="12352" width="6" style="2061" customWidth="1"/>
    <col min="12353" max="12357" width="6.28515625" style="2061" customWidth="1"/>
    <col min="12358" max="12358" width="6.7109375" style="2061" customWidth="1"/>
    <col min="12359" max="12360" width="6" style="2061" bestFit="1" customWidth="1"/>
    <col min="12361" max="12361" width="6" style="2061" customWidth="1"/>
    <col min="12362" max="12363" width="6" style="2061" bestFit="1" customWidth="1"/>
    <col min="12364" max="12550" width="9.140625" style="2061"/>
    <col min="12551" max="12551" width="1.28515625" style="2061" customWidth="1"/>
    <col min="12552" max="12552" width="15.28515625" style="2061" customWidth="1"/>
    <col min="12553" max="12582" width="6.85546875" style="2061" customWidth="1"/>
    <col min="12583" max="12594" width="6.5703125" style="2061" customWidth="1"/>
    <col min="12595" max="12595" width="6" style="2061" customWidth="1"/>
    <col min="12596" max="12596" width="7.140625" style="2061" customWidth="1"/>
    <col min="12597" max="12608" width="6" style="2061" customWidth="1"/>
    <col min="12609" max="12613" width="6.28515625" style="2061" customWidth="1"/>
    <col min="12614" max="12614" width="6.7109375" style="2061" customWidth="1"/>
    <col min="12615" max="12616" width="6" style="2061" bestFit="1" customWidth="1"/>
    <col min="12617" max="12617" width="6" style="2061" customWidth="1"/>
    <col min="12618" max="12619" width="6" style="2061" bestFit="1" customWidth="1"/>
    <col min="12620" max="12806" width="9.140625" style="2061"/>
    <col min="12807" max="12807" width="1.28515625" style="2061" customWidth="1"/>
    <col min="12808" max="12808" width="15.28515625" style="2061" customWidth="1"/>
    <col min="12809" max="12838" width="6.85546875" style="2061" customWidth="1"/>
    <col min="12839" max="12850" width="6.5703125" style="2061" customWidth="1"/>
    <col min="12851" max="12851" width="6" style="2061" customWidth="1"/>
    <col min="12852" max="12852" width="7.140625" style="2061" customWidth="1"/>
    <col min="12853" max="12864" width="6" style="2061" customWidth="1"/>
    <col min="12865" max="12869" width="6.28515625" style="2061" customWidth="1"/>
    <col min="12870" max="12870" width="6.7109375" style="2061" customWidth="1"/>
    <col min="12871" max="12872" width="6" style="2061" bestFit="1" customWidth="1"/>
    <col min="12873" max="12873" width="6" style="2061" customWidth="1"/>
    <col min="12874" max="12875" width="6" style="2061" bestFit="1" customWidth="1"/>
    <col min="12876" max="13062" width="9.140625" style="2061"/>
    <col min="13063" max="13063" width="1.28515625" style="2061" customWidth="1"/>
    <col min="13064" max="13064" width="15.28515625" style="2061" customWidth="1"/>
    <col min="13065" max="13094" width="6.85546875" style="2061" customWidth="1"/>
    <col min="13095" max="13106" width="6.5703125" style="2061" customWidth="1"/>
    <col min="13107" max="13107" width="6" style="2061" customWidth="1"/>
    <col min="13108" max="13108" width="7.140625" style="2061" customWidth="1"/>
    <col min="13109" max="13120" width="6" style="2061" customWidth="1"/>
    <col min="13121" max="13125" width="6.28515625" style="2061" customWidth="1"/>
    <col min="13126" max="13126" width="6.7109375" style="2061" customWidth="1"/>
    <col min="13127" max="13128" width="6" style="2061" bestFit="1" customWidth="1"/>
    <col min="13129" max="13129" width="6" style="2061" customWidth="1"/>
    <col min="13130" max="13131" width="6" style="2061" bestFit="1" customWidth="1"/>
    <col min="13132" max="13318" width="9.140625" style="2061"/>
    <col min="13319" max="13319" width="1.28515625" style="2061" customWidth="1"/>
    <col min="13320" max="13320" width="15.28515625" style="2061" customWidth="1"/>
    <col min="13321" max="13350" width="6.85546875" style="2061" customWidth="1"/>
    <col min="13351" max="13362" width="6.5703125" style="2061" customWidth="1"/>
    <col min="13363" max="13363" width="6" style="2061" customWidth="1"/>
    <col min="13364" max="13364" width="7.140625" style="2061" customWidth="1"/>
    <col min="13365" max="13376" width="6" style="2061" customWidth="1"/>
    <col min="13377" max="13381" width="6.28515625" style="2061" customWidth="1"/>
    <col min="13382" max="13382" width="6.7109375" style="2061" customWidth="1"/>
    <col min="13383" max="13384" width="6" style="2061" bestFit="1" customWidth="1"/>
    <col min="13385" max="13385" width="6" style="2061" customWidth="1"/>
    <col min="13386" max="13387" width="6" style="2061" bestFit="1" customWidth="1"/>
    <col min="13388" max="13574" width="9.140625" style="2061"/>
    <col min="13575" max="13575" width="1.28515625" style="2061" customWidth="1"/>
    <col min="13576" max="13576" width="15.28515625" style="2061" customWidth="1"/>
    <col min="13577" max="13606" width="6.85546875" style="2061" customWidth="1"/>
    <col min="13607" max="13618" width="6.5703125" style="2061" customWidth="1"/>
    <col min="13619" max="13619" width="6" style="2061" customWidth="1"/>
    <col min="13620" max="13620" width="7.140625" style="2061" customWidth="1"/>
    <col min="13621" max="13632" width="6" style="2061" customWidth="1"/>
    <col min="13633" max="13637" width="6.28515625" style="2061" customWidth="1"/>
    <col min="13638" max="13638" width="6.7109375" style="2061" customWidth="1"/>
    <col min="13639" max="13640" width="6" style="2061" bestFit="1" customWidth="1"/>
    <col min="13641" max="13641" width="6" style="2061" customWidth="1"/>
    <col min="13642" max="13643" width="6" style="2061" bestFit="1" customWidth="1"/>
    <col min="13644" max="13830" width="9.140625" style="2061"/>
    <col min="13831" max="13831" width="1.28515625" style="2061" customWidth="1"/>
    <col min="13832" max="13832" width="15.28515625" style="2061" customWidth="1"/>
    <col min="13833" max="13862" width="6.85546875" style="2061" customWidth="1"/>
    <col min="13863" max="13874" width="6.5703125" style="2061" customWidth="1"/>
    <col min="13875" max="13875" width="6" style="2061" customWidth="1"/>
    <col min="13876" max="13876" width="7.140625" style="2061" customWidth="1"/>
    <col min="13877" max="13888" width="6" style="2061" customWidth="1"/>
    <col min="13889" max="13893" width="6.28515625" style="2061" customWidth="1"/>
    <col min="13894" max="13894" width="6.7109375" style="2061" customWidth="1"/>
    <col min="13895" max="13896" width="6" style="2061" bestFit="1" customWidth="1"/>
    <col min="13897" max="13897" width="6" style="2061" customWidth="1"/>
    <col min="13898" max="13899" width="6" style="2061" bestFit="1" customWidth="1"/>
    <col min="13900" max="14086" width="9.140625" style="2061"/>
    <col min="14087" max="14087" width="1.28515625" style="2061" customWidth="1"/>
    <col min="14088" max="14088" width="15.28515625" style="2061" customWidth="1"/>
    <col min="14089" max="14118" width="6.85546875" style="2061" customWidth="1"/>
    <col min="14119" max="14130" width="6.5703125" style="2061" customWidth="1"/>
    <col min="14131" max="14131" width="6" style="2061" customWidth="1"/>
    <col min="14132" max="14132" width="7.140625" style="2061" customWidth="1"/>
    <col min="14133" max="14144" width="6" style="2061" customWidth="1"/>
    <col min="14145" max="14149" width="6.28515625" style="2061" customWidth="1"/>
    <col min="14150" max="14150" width="6.7109375" style="2061" customWidth="1"/>
    <col min="14151" max="14152" width="6" style="2061" bestFit="1" customWidth="1"/>
    <col min="14153" max="14153" width="6" style="2061" customWidth="1"/>
    <col min="14154" max="14155" width="6" style="2061" bestFit="1" customWidth="1"/>
    <col min="14156" max="14342" width="9.140625" style="2061"/>
    <col min="14343" max="14343" width="1.28515625" style="2061" customWidth="1"/>
    <col min="14344" max="14344" width="15.28515625" style="2061" customWidth="1"/>
    <col min="14345" max="14374" width="6.85546875" style="2061" customWidth="1"/>
    <col min="14375" max="14386" width="6.5703125" style="2061" customWidth="1"/>
    <col min="14387" max="14387" width="6" style="2061" customWidth="1"/>
    <col min="14388" max="14388" width="7.140625" style="2061" customWidth="1"/>
    <col min="14389" max="14400" width="6" style="2061" customWidth="1"/>
    <col min="14401" max="14405" width="6.28515625" style="2061" customWidth="1"/>
    <col min="14406" max="14406" width="6.7109375" style="2061" customWidth="1"/>
    <col min="14407" max="14408" width="6" style="2061" bestFit="1" customWidth="1"/>
    <col min="14409" max="14409" width="6" style="2061" customWidth="1"/>
    <col min="14410" max="14411" width="6" style="2061" bestFit="1" customWidth="1"/>
    <col min="14412" max="14598" width="9.140625" style="2061"/>
    <col min="14599" max="14599" width="1.28515625" style="2061" customWidth="1"/>
    <col min="14600" max="14600" width="15.28515625" style="2061" customWidth="1"/>
    <col min="14601" max="14630" width="6.85546875" style="2061" customWidth="1"/>
    <col min="14631" max="14642" width="6.5703125" style="2061" customWidth="1"/>
    <col min="14643" max="14643" width="6" style="2061" customWidth="1"/>
    <col min="14644" max="14644" width="7.140625" style="2061" customWidth="1"/>
    <col min="14645" max="14656" width="6" style="2061" customWidth="1"/>
    <col min="14657" max="14661" width="6.28515625" style="2061" customWidth="1"/>
    <col min="14662" max="14662" width="6.7109375" style="2061" customWidth="1"/>
    <col min="14663" max="14664" width="6" style="2061" bestFit="1" customWidth="1"/>
    <col min="14665" max="14665" width="6" style="2061" customWidth="1"/>
    <col min="14666" max="14667" width="6" style="2061" bestFit="1" customWidth="1"/>
    <col min="14668" max="14854" width="9.140625" style="2061"/>
    <col min="14855" max="14855" width="1.28515625" style="2061" customWidth="1"/>
    <col min="14856" max="14856" width="15.28515625" style="2061" customWidth="1"/>
    <col min="14857" max="14886" width="6.85546875" style="2061" customWidth="1"/>
    <col min="14887" max="14898" width="6.5703125" style="2061" customWidth="1"/>
    <col min="14899" max="14899" width="6" style="2061" customWidth="1"/>
    <col min="14900" max="14900" width="7.140625" style="2061" customWidth="1"/>
    <col min="14901" max="14912" width="6" style="2061" customWidth="1"/>
    <col min="14913" max="14917" width="6.28515625" style="2061" customWidth="1"/>
    <col min="14918" max="14918" width="6.7109375" style="2061" customWidth="1"/>
    <col min="14919" max="14920" width="6" style="2061" bestFit="1" customWidth="1"/>
    <col min="14921" max="14921" width="6" style="2061" customWidth="1"/>
    <col min="14922" max="14923" width="6" style="2061" bestFit="1" customWidth="1"/>
    <col min="14924" max="15110" width="9.140625" style="2061"/>
    <col min="15111" max="15111" width="1.28515625" style="2061" customWidth="1"/>
    <col min="15112" max="15112" width="15.28515625" style="2061" customWidth="1"/>
    <col min="15113" max="15142" width="6.85546875" style="2061" customWidth="1"/>
    <col min="15143" max="15154" width="6.5703125" style="2061" customWidth="1"/>
    <col min="15155" max="15155" width="6" style="2061" customWidth="1"/>
    <col min="15156" max="15156" width="7.140625" style="2061" customWidth="1"/>
    <col min="15157" max="15168" width="6" style="2061" customWidth="1"/>
    <col min="15169" max="15173" width="6.28515625" style="2061" customWidth="1"/>
    <col min="15174" max="15174" width="6.7109375" style="2061" customWidth="1"/>
    <col min="15175" max="15176" width="6" style="2061" bestFit="1" customWidth="1"/>
    <col min="15177" max="15177" width="6" style="2061" customWidth="1"/>
    <col min="15178" max="15179" width="6" style="2061" bestFit="1" customWidth="1"/>
    <col min="15180" max="15366" width="9.140625" style="2061"/>
    <col min="15367" max="15367" width="1.28515625" style="2061" customWidth="1"/>
    <col min="15368" max="15368" width="15.28515625" style="2061" customWidth="1"/>
    <col min="15369" max="15398" width="6.85546875" style="2061" customWidth="1"/>
    <col min="15399" max="15410" width="6.5703125" style="2061" customWidth="1"/>
    <col min="15411" max="15411" width="6" style="2061" customWidth="1"/>
    <col min="15412" max="15412" width="7.140625" style="2061" customWidth="1"/>
    <col min="15413" max="15424" width="6" style="2061" customWidth="1"/>
    <col min="15425" max="15429" width="6.28515625" style="2061" customWidth="1"/>
    <col min="15430" max="15430" width="6.7109375" style="2061" customWidth="1"/>
    <col min="15431" max="15432" width="6" style="2061" bestFit="1" customWidth="1"/>
    <col min="15433" max="15433" width="6" style="2061" customWidth="1"/>
    <col min="15434" max="15435" width="6" style="2061" bestFit="1" customWidth="1"/>
    <col min="15436" max="15622" width="9.140625" style="2061"/>
    <col min="15623" max="15623" width="1.28515625" style="2061" customWidth="1"/>
    <col min="15624" max="15624" width="15.28515625" style="2061" customWidth="1"/>
    <col min="15625" max="15654" width="6.85546875" style="2061" customWidth="1"/>
    <col min="15655" max="15666" width="6.5703125" style="2061" customWidth="1"/>
    <col min="15667" max="15667" width="6" style="2061" customWidth="1"/>
    <col min="15668" max="15668" width="7.140625" style="2061" customWidth="1"/>
    <col min="15669" max="15680" width="6" style="2061" customWidth="1"/>
    <col min="15681" max="15685" width="6.28515625" style="2061" customWidth="1"/>
    <col min="15686" max="15686" width="6.7109375" style="2061" customWidth="1"/>
    <col min="15687" max="15688" width="6" style="2061" bestFit="1" customWidth="1"/>
    <col min="15689" max="15689" width="6" style="2061" customWidth="1"/>
    <col min="15690" max="15691" width="6" style="2061" bestFit="1" customWidth="1"/>
    <col min="15692" max="15878" width="9.140625" style="2061"/>
    <col min="15879" max="15879" width="1.28515625" style="2061" customWidth="1"/>
    <col min="15880" max="15880" width="15.28515625" style="2061" customWidth="1"/>
    <col min="15881" max="15910" width="6.85546875" style="2061" customWidth="1"/>
    <col min="15911" max="15922" width="6.5703125" style="2061" customWidth="1"/>
    <col min="15923" max="15923" width="6" style="2061" customWidth="1"/>
    <col min="15924" max="15924" width="7.140625" style="2061" customWidth="1"/>
    <col min="15925" max="15936" width="6" style="2061" customWidth="1"/>
    <col min="15937" max="15941" width="6.28515625" style="2061" customWidth="1"/>
    <col min="15942" max="15942" width="6.7109375" style="2061" customWidth="1"/>
    <col min="15943" max="15944" width="6" style="2061" bestFit="1" customWidth="1"/>
    <col min="15945" max="15945" width="6" style="2061" customWidth="1"/>
    <col min="15946" max="15947" width="6" style="2061" bestFit="1" customWidth="1"/>
    <col min="15948" max="16134" width="9.140625" style="2061"/>
    <col min="16135" max="16135" width="1.28515625" style="2061" customWidth="1"/>
    <col min="16136" max="16136" width="15.28515625" style="2061" customWidth="1"/>
    <col min="16137" max="16166" width="6.85546875" style="2061" customWidth="1"/>
    <col min="16167" max="16178" width="6.5703125" style="2061" customWidth="1"/>
    <col min="16179" max="16179" width="6" style="2061" customWidth="1"/>
    <col min="16180" max="16180" width="7.140625" style="2061" customWidth="1"/>
    <col min="16181" max="16192" width="6" style="2061" customWidth="1"/>
    <col min="16193" max="16197" width="6.28515625" style="2061" customWidth="1"/>
    <col min="16198" max="16198" width="6.7109375" style="2061" customWidth="1"/>
    <col min="16199" max="16200" width="6" style="2061" bestFit="1" customWidth="1"/>
    <col min="16201" max="16201" width="6" style="2061" customWidth="1"/>
    <col min="16202" max="16203" width="6" style="2061" bestFit="1" customWidth="1"/>
    <col min="16204" max="16384" width="9.140625" style="2061"/>
  </cols>
  <sheetData>
    <row r="1" spans="1:75">
      <c r="B1" s="2047"/>
      <c r="C1" s="2048"/>
      <c r="D1" s="2048"/>
      <c r="E1" s="2048"/>
      <c r="F1" s="2048"/>
      <c r="G1" s="2048"/>
      <c r="H1" s="2048"/>
      <c r="I1" s="2048"/>
      <c r="J1" s="2048"/>
      <c r="K1" s="2063"/>
      <c r="L1" s="2048"/>
      <c r="M1" s="2048"/>
      <c r="N1" s="2063"/>
      <c r="O1" s="2048"/>
      <c r="P1" s="2048"/>
      <c r="Q1" s="2048"/>
      <c r="R1" s="2048"/>
      <c r="S1" s="2048"/>
      <c r="T1" s="2063"/>
      <c r="U1" s="2048"/>
      <c r="V1" s="2063"/>
      <c r="W1" s="2048"/>
      <c r="X1" s="2048"/>
      <c r="Y1" s="2048"/>
      <c r="Z1" s="2073"/>
      <c r="AA1" s="2049"/>
      <c r="AB1" s="2048"/>
      <c r="AC1" s="2048"/>
      <c r="AD1" s="2048"/>
      <c r="AE1" s="2048"/>
      <c r="AF1" s="2073"/>
      <c r="AG1" s="2064"/>
      <c r="AH1" s="2064"/>
      <c r="AI1" s="2064"/>
      <c r="AJ1" s="2064"/>
      <c r="AK1" s="2064"/>
      <c r="AL1" s="2064"/>
      <c r="AM1" s="2064"/>
      <c r="AN1" s="2064"/>
      <c r="AO1" s="2064"/>
      <c r="AP1" s="2064"/>
      <c r="AQ1" s="2064"/>
      <c r="AR1" s="2064"/>
      <c r="AS1" s="2064"/>
      <c r="AT1" s="2064"/>
      <c r="AU1" s="2064"/>
      <c r="AV1" s="2064"/>
      <c r="AW1" s="2064"/>
      <c r="AX1" s="2063"/>
      <c r="AY1" s="2064"/>
    </row>
    <row r="2" spans="1:75">
      <c r="A2" s="823" t="s">
        <v>265</v>
      </c>
      <c r="B2" s="2048"/>
      <c r="C2" s="2048"/>
      <c r="D2" s="2048"/>
      <c r="E2" s="2048"/>
      <c r="F2" s="2048"/>
      <c r="G2" s="2048"/>
      <c r="H2" s="2048"/>
      <c r="I2" s="2048"/>
      <c r="J2" s="2048"/>
      <c r="K2" s="2048"/>
      <c r="L2" s="2048"/>
      <c r="M2" s="2048"/>
      <c r="N2" s="2063"/>
      <c r="O2" s="2048"/>
      <c r="P2" s="2048"/>
      <c r="Q2" s="2048"/>
      <c r="R2" s="2048"/>
      <c r="S2" s="2048"/>
      <c r="T2" s="2048"/>
      <c r="U2" s="2048"/>
      <c r="V2" s="2048"/>
      <c r="W2" s="2048"/>
      <c r="X2" s="2048"/>
      <c r="Y2" s="2048"/>
      <c r="Z2" s="2048"/>
      <c r="AA2" s="2048"/>
      <c r="AB2" s="2048"/>
      <c r="AC2" s="2048"/>
      <c r="AD2" s="2048"/>
      <c r="AE2" s="2048"/>
      <c r="AX2" s="2063"/>
    </row>
    <row r="3" spans="1:75">
      <c r="A3" s="2107" t="s">
        <v>526</v>
      </c>
      <c r="B3" s="2048"/>
      <c r="C3" s="2048"/>
      <c r="D3" s="2048"/>
      <c r="E3" s="2048"/>
      <c r="F3" s="2048"/>
      <c r="G3" s="2048"/>
      <c r="H3" s="2048"/>
      <c r="I3" s="2048"/>
      <c r="J3" s="2048"/>
      <c r="K3" s="2048"/>
      <c r="L3" s="2048"/>
      <c r="M3" s="2048"/>
      <c r="N3" s="2063"/>
      <c r="O3" s="2048"/>
      <c r="P3" s="2048"/>
      <c r="Q3" s="2048"/>
      <c r="R3" s="2048"/>
      <c r="S3" s="2048"/>
      <c r="T3" s="2048"/>
      <c r="U3" s="2048"/>
      <c r="V3" s="2048"/>
      <c r="W3" s="2048"/>
      <c r="X3" s="2048"/>
      <c r="Y3" s="2048"/>
      <c r="Z3" s="2048"/>
      <c r="AA3" s="2048"/>
      <c r="AB3" s="2048"/>
      <c r="AC3" s="2048"/>
      <c r="AD3" s="2048"/>
      <c r="AE3" s="2048"/>
      <c r="AX3" s="2063"/>
    </row>
    <row r="4" spans="1:75">
      <c r="A4" s="2272"/>
      <c r="B4" s="2272" t="s">
        <v>457</v>
      </c>
      <c r="C4" s="2272" t="s">
        <v>458</v>
      </c>
      <c r="D4" s="2272" t="s">
        <v>459</v>
      </c>
      <c r="E4" s="2272" t="s">
        <v>460</v>
      </c>
      <c r="F4" s="2273" t="s">
        <v>422</v>
      </c>
      <c r="G4" s="2272" t="s">
        <v>423</v>
      </c>
      <c r="H4" s="2272" t="s">
        <v>424</v>
      </c>
      <c r="I4" s="2272" t="s">
        <v>425</v>
      </c>
      <c r="J4" s="2273" t="s">
        <v>426</v>
      </c>
      <c r="K4" s="2272" t="s">
        <v>427</v>
      </c>
      <c r="L4" s="2272" t="s">
        <v>428</v>
      </c>
      <c r="M4" s="2272" t="s">
        <v>429</v>
      </c>
      <c r="N4" s="2273" t="s">
        <v>430</v>
      </c>
      <c r="O4" s="2272" t="s">
        <v>431</v>
      </c>
      <c r="P4" s="2272" t="s">
        <v>432</v>
      </c>
      <c r="Q4" s="2272" t="s">
        <v>433</v>
      </c>
      <c r="R4" s="2273" t="s">
        <v>434</v>
      </c>
      <c r="S4" s="2272" t="s">
        <v>435</v>
      </c>
      <c r="T4" s="2272" t="s">
        <v>436</v>
      </c>
      <c r="U4" s="2272" t="s">
        <v>437</v>
      </c>
      <c r="V4" s="2273" t="s">
        <v>438</v>
      </c>
      <c r="W4" s="2272" t="s">
        <v>439</v>
      </c>
      <c r="X4" s="2272" t="s">
        <v>440</v>
      </c>
      <c r="Y4" s="2272" t="s">
        <v>441</v>
      </c>
      <c r="Z4" s="2273" t="s">
        <v>442</v>
      </c>
      <c r="AA4" s="2272" t="s">
        <v>443</v>
      </c>
      <c r="AB4" s="2272" t="s">
        <v>444</v>
      </c>
      <c r="AC4" s="2272" t="s">
        <v>445</v>
      </c>
      <c r="AD4" s="2273" t="s">
        <v>446</v>
      </c>
      <c r="AE4" s="2272" t="s">
        <v>447</v>
      </c>
      <c r="AF4" s="2272" t="s">
        <v>448</v>
      </c>
      <c r="AG4" s="2272" t="s">
        <v>449</v>
      </c>
      <c r="AH4" s="2273" t="s">
        <v>407</v>
      </c>
      <c r="AI4" s="2272" t="s">
        <v>408</v>
      </c>
      <c r="AJ4" s="2272" t="s">
        <v>409</v>
      </c>
      <c r="AK4" s="2272" t="s">
        <v>410</v>
      </c>
      <c r="AL4" s="2273" t="s">
        <v>461</v>
      </c>
      <c r="AM4" s="2272" t="s">
        <v>462</v>
      </c>
      <c r="AN4" s="2272" t="s">
        <v>463</v>
      </c>
      <c r="AO4" s="2272" t="s">
        <v>464</v>
      </c>
      <c r="AP4" s="2273" t="s">
        <v>512</v>
      </c>
      <c r="AQ4" s="2272" t="s">
        <v>513</v>
      </c>
      <c r="AR4" s="2272" t="s">
        <v>514</v>
      </c>
      <c r="AS4" s="2272" t="s">
        <v>515</v>
      </c>
      <c r="AT4" s="2273" t="s">
        <v>546</v>
      </c>
      <c r="AU4" s="2272" t="s">
        <v>543</v>
      </c>
      <c r="AV4" s="2272" t="s">
        <v>544</v>
      </c>
      <c r="AW4" s="2272" t="s">
        <v>545</v>
      </c>
      <c r="AX4" s="2065"/>
      <c r="AY4" s="2065"/>
      <c r="AZ4" s="2065"/>
      <c r="BA4" s="2065"/>
      <c r="BB4" s="2065"/>
      <c r="BC4" s="2065"/>
      <c r="BD4" s="2065"/>
      <c r="BE4" s="2065"/>
      <c r="BF4" s="2065"/>
      <c r="BG4" s="2065"/>
      <c r="BH4" s="2065"/>
      <c r="BI4" s="2065"/>
      <c r="BJ4" s="2065"/>
      <c r="BK4" s="2065"/>
      <c r="BL4" s="2065"/>
      <c r="BM4" s="2065"/>
      <c r="BN4" s="2065"/>
      <c r="BO4" s="2065"/>
      <c r="BP4" s="2065"/>
      <c r="BQ4" s="2065"/>
      <c r="BR4" s="2065"/>
      <c r="BS4" s="2065"/>
      <c r="BT4" s="2065"/>
      <c r="BU4" s="2065"/>
      <c r="BV4" s="2065"/>
      <c r="BW4" s="2065"/>
    </row>
    <row r="5" spans="1:75">
      <c r="A5" s="2053" t="s">
        <v>332</v>
      </c>
      <c r="B5" s="2117" t="str">
        <f>OrgRev!Y8</f>
        <v>ND</v>
      </c>
      <c r="C5" s="2117" t="str">
        <f>OrgRev!Z8</f>
        <v>ND</v>
      </c>
      <c r="D5" s="2117" t="str">
        <f>OrgRev!AA8</f>
        <v>ND</v>
      </c>
      <c r="E5" s="2117" t="str">
        <f>OrgRev!AB8</f>
        <v>ND</v>
      </c>
      <c r="F5" s="2141">
        <f>OrgRev!AE8</f>
        <v>0.17599999999999999</v>
      </c>
      <c r="G5" s="2117">
        <f>OrgRev!AF8</f>
        <v>0.2</v>
      </c>
      <c r="H5" s="2117">
        <f>OrgRev!AG8</f>
        <v>-1.6E-2</v>
      </c>
      <c r="I5" s="2117">
        <f>OrgRev!AH8</f>
        <v>-0.1880231421121252</v>
      </c>
      <c r="J5" s="2141">
        <f>OrgRev!AK8</f>
        <v>-2.4E-2</v>
      </c>
      <c r="K5" s="2117">
        <f>OrgRev!AL8</f>
        <v>-0.13</v>
      </c>
      <c r="L5" s="2117">
        <f>OrgRev!AM8</f>
        <v>9.2999999999999999E-2</v>
      </c>
      <c r="M5" s="2117">
        <f>OrgRev!AN8</f>
        <v>4.4662045060658601E-2</v>
      </c>
      <c r="N5" s="2141">
        <f>OrgRev!AQ8</f>
        <v>8.5999999999999993E-2</v>
      </c>
      <c r="O5" s="2117">
        <f>OrgRev!AR8</f>
        <v>0.184</v>
      </c>
      <c r="P5" s="2117">
        <f>OrgRev!AS8</f>
        <v>0.14899999999999999</v>
      </c>
      <c r="Q5" s="2117">
        <f>OrgRev!AT8</f>
        <v>0.15</v>
      </c>
      <c r="R5" s="2141">
        <f>OrgRev!AW8</f>
        <v>3.3000000000000002E-2</v>
      </c>
      <c r="S5" s="2117">
        <f>OrgRev!AX8</f>
        <v>6.2E-2</v>
      </c>
      <c r="T5" s="2117">
        <f>OrgRev!AY8</f>
        <v>0.109</v>
      </c>
      <c r="U5" s="2117">
        <f>OrgRev!AZ8</f>
        <v>0.123</v>
      </c>
      <c r="V5" s="2141">
        <f>OrgRev!BC8</f>
        <v>0.124</v>
      </c>
      <c r="W5" s="2117">
        <f>OrgRev!BD8</f>
        <v>0.10199999999999999</v>
      </c>
      <c r="X5" s="2117">
        <f>OrgRev!BE8</f>
        <v>9.5000000000000001E-2</v>
      </c>
      <c r="Y5" s="2117">
        <f>OrgRev!BF8</f>
        <v>9.0683053308441786E-2</v>
      </c>
      <c r="Z5" s="2141">
        <f>OrgRev!BI8</f>
        <v>-0.01</v>
      </c>
      <c r="AA5" s="2117">
        <f>OrgRev!BJ8</f>
        <v>7.6999999999999999E-2</v>
      </c>
      <c r="AB5" s="2117">
        <f>OrgRev!BK8</f>
        <v>3.0000000000000001E-3</v>
      </c>
      <c r="AC5" s="2117">
        <f>OrgRev!BL8</f>
        <v>5.8999999999999997E-2</v>
      </c>
      <c r="AD5" s="2141">
        <f>OrgRev!BO8</f>
        <v>6.6000000000000003E-2</v>
      </c>
      <c r="AE5" s="2117">
        <f>OrgRev!BP8</f>
        <v>-2.5000000000000001E-2</v>
      </c>
      <c r="AF5" s="2117">
        <f>OrgRev!BQ8</f>
        <v>-7.0999999999999994E-2</v>
      </c>
      <c r="AG5" s="2117">
        <f>OrgRev!BR8</f>
        <v>6.0000000000000001E-3</v>
      </c>
      <c r="AH5" s="2141">
        <f>OrgRev!BU8</f>
        <v>-3.5999999999999997E-2</v>
      </c>
      <c r="AI5" s="2117">
        <f>OrgRev!BV8</f>
        <v>6.0000000000000001E-3</v>
      </c>
      <c r="AJ5" s="2117">
        <f>OrgRev!BW8</f>
        <v>9.2999999999999999E-2</v>
      </c>
      <c r="AK5" s="2117">
        <f>OrgRev!BX8</f>
        <v>0</v>
      </c>
      <c r="AL5" s="2141">
        <f>OrgRev!CA8</f>
        <v>6.2E-2</v>
      </c>
      <c r="AM5" s="2117">
        <f>OrgRev!CB8</f>
        <v>-8.6999999999999994E-2</v>
      </c>
      <c r="AN5" s="2117">
        <f>OrgRev!CC8</f>
        <v>-3.5000000000000003E-2</v>
      </c>
      <c r="AO5" s="2117">
        <f>OrgRev!CD8</f>
        <v>-3.0000000000000001E-3</v>
      </c>
      <c r="AP5" s="2141">
        <f>OrgRev!CG8</f>
        <v>-1.2E-2</v>
      </c>
      <c r="AQ5" s="2117">
        <f>OrgRev!CH8</f>
        <v>4.3999999999999997E-2</v>
      </c>
      <c r="AR5" s="2117">
        <f>OrgRev!CI8</f>
        <v>4.2000000000000003E-2</v>
      </c>
      <c r="AS5" s="2117">
        <f>OrgRev!CJ8</f>
        <v>3.4000000000000002E-2</v>
      </c>
      <c r="AT5" s="2141">
        <f>OrgRev!CM8</f>
        <v>3.9315349630505661E-2</v>
      </c>
      <c r="AU5" s="2117">
        <f>OrgRev!CN8</f>
        <v>1.9071614105248387E-2</v>
      </c>
      <c r="AV5" s="2117">
        <f>OrgRev!CO8</f>
        <v>8.592824407807946E-3</v>
      </c>
      <c r="AW5" s="2117">
        <f>OrgRev!CP8</f>
        <v>1.1366178060758989E-2</v>
      </c>
      <c r="AX5" s="2065"/>
      <c r="AY5" s="2065"/>
      <c r="AZ5" s="2065"/>
      <c r="BA5" s="2065"/>
      <c r="BB5" s="2065"/>
      <c r="BC5" s="2065"/>
      <c r="BD5" s="2065"/>
      <c r="BE5" s="2065"/>
      <c r="BF5" s="2065"/>
      <c r="BG5" s="2065"/>
      <c r="BH5" s="2065"/>
      <c r="BI5" s="2065"/>
      <c r="BJ5" s="2065"/>
      <c r="BK5" s="2065"/>
      <c r="BL5" s="2065"/>
      <c r="BM5" s="2065"/>
      <c r="BN5" s="2065"/>
      <c r="BO5" s="2065"/>
      <c r="BP5" s="2065"/>
      <c r="BQ5" s="2065"/>
      <c r="BR5" s="2065"/>
      <c r="BS5" s="2065"/>
      <c r="BT5" s="2065"/>
      <c r="BU5" s="2065"/>
      <c r="BV5" s="2065"/>
      <c r="BW5" s="2065"/>
    </row>
    <row r="6" spans="1:75">
      <c r="A6" s="2055" t="s">
        <v>450</v>
      </c>
      <c r="B6" s="2118" t="str">
        <f>OrgRev!Y9</f>
        <v>--</v>
      </c>
      <c r="C6" s="2118" t="str">
        <f>OrgRev!Z9</f>
        <v>--</v>
      </c>
      <c r="D6" s="2118" t="str">
        <f>OrgRev!AA9</f>
        <v>--</v>
      </c>
      <c r="E6" s="2118" t="str">
        <f>OrgRev!AB9</f>
        <v>--</v>
      </c>
      <c r="F6" s="2142" t="str">
        <f>OrgRev!AE9</f>
        <v>--</v>
      </c>
      <c r="G6" s="2118" t="str">
        <f>OrgRev!AF9</f>
        <v>--</v>
      </c>
      <c r="H6" s="2118" t="str">
        <f>OrgRev!AG9</f>
        <v>--</v>
      </c>
      <c r="I6" s="2118" t="str">
        <f>OrgRev!AH9</f>
        <v>--</v>
      </c>
      <c r="J6" s="2142" t="str">
        <f>OrgRev!AK9</f>
        <v>--</v>
      </c>
      <c r="K6" s="2118" t="str">
        <f>OrgRev!AL9</f>
        <v>--</v>
      </c>
      <c r="L6" s="2118" t="str">
        <f>OrgRev!AM9</f>
        <v>--</v>
      </c>
      <c r="M6" s="2118" t="str">
        <f>OrgRev!AN9</f>
        <v>--</v>
      </c>
      <c r="N6" s="2142" t="str">
        <f>OrgRev!AQ9</f>
        <v>--</v>
      </c>
      <c r="O6" s="2118" t="str">
        <f>OrgRev!AR9</f>
        <v>--</v>
      </c>
      <c r="P6" s="2118" t="str">
        <f>OrgRev!AS9</f>
        <v>--</v>
      </c>
      <c r="Q6" s="2118" t="str">
        <f>OrgRev!AT9</f>
        <v>--</v>
      </c>
      <c r="R6" s="2142" t="str">
        <f>OrgRev!AW9</f>
        <v>--</v>
      </c>
      <c r="S6" s="2118" t="str">
        <f>OrgRev!AX9</f>
        <v>--</v>
      </c>
      <c r="T6" s="2118" t="str">
        <f>OrgRev!AY9</f>
        <v>--</v>
      </c>
      <c r="U6" s="2118" t="str">
        <f>OrgRev!AZ9</f>
        <v>--</v>
      </c>
      <c r="V6" s="2142" t="str">
        <f>OrgRev!BC9</f>
        <v>--</v>
      </c>
      <c r="W6" s="2118" t="str">
        <f>OrgRev!BD9</f>
        <v>--</v>
      </c>
      <c r="X6" s="2118" t="str">
        <f>OrgRev!BE9</f>
        <v>--</v>
      </c>
      <c r="Y6" s="2118" t="str">
        <f>OrgRev!BF9</f>
        <v>--</v>
      </c>
      <c r="Z6" s="2142">
        <f>OrgRev!BI9</f>
        <v>5.7720179846601383E-2</v>
      </c>
      <c r="AA6" s="2118">
        <f>OrgRev!BJ9</f>
        <v>0.11263972386653209</v>
      </c>
      <c r="AB6" s="2118">
        <f>OrgRev!BK9</f>
        <v>-5.1711910002445627E-2</v>
      </c>
      <c r="AC6" s="2118">
        <f>OrgRev!BL9</f>
        <v>0.27896287077369841</v>
      </c>
      <c r="AD6" s="2142">
        <f>OrgRev!BO9</f>
        <v>5.8003003003002943E-2</v>
      </c>
      <c r="AE6" s="2118">
        <f>OrgRev!BP9</f>
        <v>2.98387096774194E-2</v>
      </c>
      <c r="AF6" s="2118">
        <f>OrgRev!BQ9</f>
        <v>-3.6103263516804714E-2</v>
      </c>
      <c r="AG6" s="2118">
        <f>OrgRev!BR9</f>
        <v>1.3249004646063989E-2</v>
      </c>
      <c r="AH6" s="2142">
        <f>OrgRev!BU9</f>
        <v>-0.11151821718143863</v>
      </c>
      <c r="AI6" s="2118">
        <f>OrgRev!BV9</f>
        <v>-0.04</v>
      </c>
      <c r="AJ6" s="2118">
        <f>OrgRev!BW9</f>
        <v>0.08</v>
      </c>
      <c r="AK6" s="2118">
        <f>OrgRev!BX9</f>
        <v>-8.0403409109834706E-2</v>
      </c>
      <c r="AL6" s="2142">
        <f>OrgRev!CA9</f>
        <v>0.12</v>
      </c>
      <c r="AM6" s="2118">
        <f>OrgRev!CB9</f>
        <v>-0.01</v>
      </c>
      <c r="AN6" s="2118">
        <f>OrgRev!CC9</f>
        <v>0.05</v>
      </c>
      <c r="AO6" s="2118">
        <f>OrgRev!CD9</f>
        <v>0.03</v>
      </c>
      <c r="AP6" s="2142">
        <f>OrgRev!CG9</f>
        <v>1.7000000000000001E-2</v>
      </c>
      <c r="AQ6" s="2118">
        <f>OrgRev!CH9</f>
        <v>4.4999999999999998E-2</v>
      </c>
      <c r="AR6" s="2118">
        <f>OrgRev!CI9</f>
        <v>0</v>
      </c>
      <c r="AS6" s="2118">
        <f>OrgRev!CJ9</f>
        <v>-3.2000000000000001E-2</v>
      </c>
      <c r="AT6" s="2142">
        <f>OrgRev!CM9</f>
        <v>0.03</v>
      </c>
      <c r="AU6" s="2118">
        <f>OrgRev!CN9</f>
        <v>0.03</v>
      </c>
      <c r="AV6" s="2118">
        <f>OrgRev!CO9</f>
        <v>0.03</v>
      </c>
      <c r="AW6" s="2118">
        <f>OrgRev!CP9</f>
        <v>0.03</v>
      </c>
      <c r="AX6" s="2065"/>
      <c r="AY6" s="2065"/>
      <c r="AZ6" s="2065"/>
      <c r="BA6" s="2065"/>
      <c r="BB6" s="2065"/>
      <c r="BC6" s="2065"/>
      <c r="BD6" s="2065"/>
      <c r="BE6" s="2065"/>
      <c r="BF6" s="2065"/>
      <c r="BG6" s="2065"/>
      <c r="BH6" s="2065"/>
      <c r="BI6" s="2065"/>
      <c r="BJ6" s="2065"/>
      <c r="BK6" s="2065"/>
      <c r="BL6" s="2065"/>
      <c r="BM6" s="2065"/>
      <c r="BN6" s="2065"/>
      <c r="BO6" s="2065"/>
      <c r="BP6" s="2065"/>
      <c r="BQ6" s="2065"/>
      <c r="BR6" s="2065"/>
      <c r="BS6" s="2065"/>
      <c r="BT6" s="2065"/>
      <c r="BU6" s="2065"/>
      <c r="BV6" s="2065"/>
      <c r="BW6" s="2065"/>
    </row>
    <row r="7" spans="1:75">
      <c r="A7" s="2053" t="s">
        <v>451</v>
      </c>
      <c r="B7" s="2057" t="str">
        <f>OrgRev!Y10</f>
        <v>--</v>
      </c>
      <c r="C7" s="2057" t="str">
        <f>OrgRev!Z10</f>
        <v>--</v>
      </c>
      <c r="D7" s="2057" t="str">
        <f>OrgRev!AA10</f>
        <v>--</v>
      </c>
      <c r="E7" s="2057" t="str">
        <f>OrgRev!AB10</f>
        <v>--</v>
      </c>
      <c r="F7" s="2143" t="str">
        <f>OrgRev!AE10</f>
        <v>--</v>
      </c>
      <c r="G7" s="2057" t="str">
        <f>OrgRev!AF10</f>
        <v>--</v>
      </c>
      <c r="H7" s="2057" t="str">
        <f>OrgRev!AG10</f>
        <v>--</v>
      </c>
      <c r="I7" s="2057" t="str">
        <f>OrgRev!AH10</f>
        <v>--</v>
      </c>
      <c r="J7" s="2143" t="str">
        <f>OrgRev!AK10</f>
        <v>--</v>
      </c>
      <c r="K7" s="2057" t="str">
        <f>OrgRev!AL10</f>
        <v>--</v>
      </c>
      <c r="L7" s="2057" t="str">
        <f>OrgRev!AM10</f>
        <v>--</v>
      </c>
      <c r="M7" s="2057" t="str">
        <f>OrgRev!AN10</f>
        <v>--</v>
      </c>
      <c r="N7" s="2143" t="str">
        <f>OrgRev!AQ10</f>
        <v>--</v>
      </c>
      <c r="O7" s="2057" t="str">
        <f>OrgRev!AR10</f>
        <v>--</v>
      </c>
      <c r="P7" s="2057" t="str">
        <f>OrgRev!AS10</f>
        <v>--</v>
      </c>
      <c r="Q7" s="2057" t="str">
        <f>OrgRev!AT10</f>
        <v>--</v>
      </c>
      <c r="R7" s="2143" t="str">
        <f>OrgRev!AW10</f>
        <v>--</v>
      </c>
      <c r="S7" s="2057" t="str">
        <f>OrgRev!AX10</f>
        <v>--</v>
      </c>
      <c r="T7" s="2057" t="str">
        <f>OrgRev!AY10</f>
        <v>--</v>
      </c>
      <c r="U7" s="2057" t="str">
        <f>OrgRev!AZ10</f>
        <v>--</v>
      </c>
      <c r="V7" s="2143" t="str">
        <f>OrgRev!BC10</f>
        <v>--</v>
      </c>
      <c r="W7" s="2057" t="str">
        <f>OrgRev!BD10</f>
        <v>--</v>
      </c>
      <c r="X7" s="2057" t="str">
        <f>OrgRev!BE10</f>
        <v>--</v>
      </c>
      <c r="Y7" s="2057" t="str">
        <f>OrgRev!BF10</f>
        <v>--</v>
      </c>
      <c r="Z7" s="2143">
        <f>OrgRev!BI10</f>
        <v>-0.11227982015339869</v>
      </c>
      <c r="AA7" s="2057">
        <f>OrgRev!BJ10</f>
        <v>0.20232681318995682</v>
      </c>
      <c r="AB7" s="2057">
        <f>OrgRev!BK10</f>
        <v>0.1032880899975544</v>
      </c>
      <c r="AC7" s="2057">
        <f>OrgRev!BL10</f>
        <v>6.3962870773698347E-2</v>
      </c>
      <c r="AD7" s="2143">
        <f>OrgRev!BO10</f>
        <v>0.1130030030030031</v>
      </c>
      <c r="AE7" s="2057">
        <f>OrgRev!BP10</f>
        <v>-3.6815998791408733E-2</v>
      </c>
      <c r="AF7" s="2057">
        <f>OrgRev!BQ10</f>
        <v>5.0307943158122426E-3</v>
      </c>
      <c r="AG7" s="2057">
        <f>OrgRev!BR10</f>
        <v>-3.6102254062500776E-2</v>
      </c>
      <c r="AH7" s="2143">
        <f>OrgRev!BU10</f>
        <v>5.0000000000000001E-3</v>
      </c>
      <c r="AI7" s="2057">
        <f>OrgRev!BV10</f>
        <v>6.0000000000000001E-3</v>
      </c>
      <c r="AJ7" s="2057">
        <f>OrgRev!BW10</f>
        <v>0.22652922257661515</v>
      </c>
      <c r="AK7" s="2057">
        <f>OrgRev!BX10</f>
        <v>4.4910284823135492E-2</v>
      </c>
      <c r="AL7" s="2143">
        <f>OrgRev!CA10</f>
        <v>7.0000000000000007E-2</v>
      </c>
      <c r="AM7" s="2057">
        <f>OrgRev!CB10</f>
        <v>-0.1</v>
      </c>
      <c r="AN7" s="2057">
        <f>OrgRev!CC10</f>
        <v>-7.6499999999999999E-2</v>
      </c>
      <c r="AO7" s="2057">
        <f>OrgRev!CD10</f>
        <v>-8.0000000000000002E-3</v>
      </c>
      <c r="AP7" s="2143">
        <f>OrgRev!CG10</f>
        <v>-8.5000000000000006E-2</v>
      </c>
      <c r="AQ7" s="2057">
        <f>OrgRev!CH10</f>
        <v>0.13</v>
      </c>
      <c r="AR7" s="2057">
        <f>OrgRev!CI10</f>
        <v>0.06</v>
      </c>
      <c r="AS7" s="2057">
        <f>OrgRev!CJ10</f>
        <v>1.1200000000000022E-2</v>
      </c>
      <c r="AT7" s="2143">
        <f>OrgRev!CM10</f>
        <v>0.12</v>
      </c>
      <c r="AU7" s="2057">
        <f>OrgRev!CN10</f>
        <v>0.01</v>
      </c>
      <c r="AV7" s="2057">
        <f>OrgRev!CO10</f>
        <v>0.03</v>
      </c>
      <c r="AW7" s="2057">
        <f>OrgRev!CP10</f>
        <v>0.06</v>
      </c>
      <c r="AX7" s="2065"/>
      <c r="AY7" s="2065"/>
      <c r="AZ7" s="2065"/>
      <c r="BA7" s="2065"/>
      <c r="BB7" s="2065"/>
      <c r="BC7" s="2065"/>
      <c r="BD7" s="2065"/>
      <c r="BE7" s="2065"/>
      <c r="BF7" s="2065"/>
      <c r="BG7" s="2065"/>
      <c r="BH7" s="2065"/>
      <c r="BI7" s="2065"/>
      <c r="BJ7" s="2065"/>
      <c r="BK7" s="2065"/>
      <c r="BL7" s="2065"/>
      <c r="BM7" s="2065"/>
      <c r="BN7" s="2065"/>
      <c r="BO7" s="2065"/>
      <c r="BP7" s="2065"/>
      <c r="BQ7" s="2065"/>
      <c r="BR7" s="2065"/>
      <c r="BS7" s="2065"/>
      <c r="BT7" s="2065"/>
      <c r="BU7" s="2065"/>
      <c r="BV7" s="2065"/>
      <c r="BW7" s="2065"/>
    </row>
    <row r="8" spans="1:75">
      <c r="A8" s="2055" t="s">
        <v>452</v>
      </c>
      <c r="B8" s="2118" t="str">
        <f>OrgRev!Y11</f>
        <v>--</v>
      </c>
      <c r="C8" s="2118" t="str">
        <f>OrgRev!Z11</f>
        <v>--</v>
      </c>
      <c r="D8" s="2118" t="str">
        <f>OrgRev!AA11</f>
        <v>--</v>
      </c>
      <c r="E8" s="2118" t="str">
        <f>OrgRev!AB11</f>
        <v>--</v>
      </c>
      <c r="F8" s="2142" t="str">
        <f>OrgRev!AE11</f>
        <v>--</v>
      </c>
      <c r="G8" s="2118" t="str">
        <f>OrgRev!AF11</f>
        <v>--</v>
      </c>
      <c r="H8" s="2118" t="str">
        <f>OrgRev!AG11</f>
        <v>--</v>
      </c>
      <c r="I8" s="2118" t="str">
        <f>OrgRev!AH11</f>
        <v>--</v>
      </c>
      <c r="J8" s="2142" t="str">
        <f>OrgRev!AK11</f>
        <v>--</v>
      </c>
      <c r="K8" s="2118" t="str">
        <f>OrgRev!AL11</f>
        <v>--</v>
      </c>
      <c r="L8" s="2118" t="str">
        <f>OrgRev!AM11</f>
        <v>--</v>
      </c>
      <c r="M8" s="2118" t="str">
        <f>OrgRev!AN11</f>
        <v>--</v>
      </c>
      <c r="N8" s="2142" t="str">
        <f>OrgRev!AQ11</f>
        <v>--</v>
      </c>
      <c r="O8" s="2118" t="str">
        <f>OrgRev!AR11</f>
        <v>--</v>
      </c>
      <c r="P8" s="2118" t="str">
        <f>OrgRev!AS11</f>
        <v>--</v>
      </c>
      <c r="Q8" s="2118" t="str">
        <f>OrgRev!AT11</f>
        <v>--</v>
      </c>
      <c r="R8" s="2142" t="str">
        <f>OrgRev!AW11</f>
        <v>--</v>
      </c>
      <c r="S8" s="2118" t="str">
        <f>OrgRev!AX11</f>
        <v>--</v>
      </c>
      <c r="T8" s="2118" t="str">
        <f>OrgRev!AY11</f>
        <v>--</v>
      </c>
      <c r="U8" s="2118" t="str">
        <f>OrgRev!AZ11</f>
        <v>--</v>
      </c>
      <c r="V8" s="2142" t="str">
        <f>OrgRev!BC11</f>
        <v>--</v>
      </c>
      <c r="W8" s="2118" t="str">
        <f>OrgRev!BD11</f>
        <v>--</v>
      </c>
      <c r="X8" s="2118" t="str">
        <f>OrgRev!BE11</f>
        <v>--</v>
      </c>
      <c r="Y8" s="2118" t="str">
        <f>OrgRev!BF11</f>
        <v>--</v>
      </c>
      <c r="Z8" s="2142">
        <f>OrgRev!BI11</f>
        <v>-1.3914843519082263E-2</v>
      </c>
      <c r="AA8" s="2118">
        <f>OrgRev!BJ11</f>
        <v>-8.894920308982357E-2</v>
      </c>
      <c r="AB8" s="2118">
        <f>OrgRev!BK11</f>
        <v>-3.2231094637665769E-2</v>
      </c>
      <c r="AC8" s="2118">
        <f>OrgRev!BL11</f>
        <v>-0.13255326832447897</v>
      </c>
      <c r="AD8" s="2142">
        <f>OrgRev!BO11</f>
        <v>6.6300794721248349E-2</v>
      </c>
      <c r="AE8" s="2118">
        <f>OrgRev!BP11</f>
        <v>-2.0481269406550501E-2</v>
      </c>
      <c r="AF8" s="2118">
        <f>OrgRev!BQ11</f>
        <v>-9.0433984921983179E-2</v>
      </c>
      <c r="AG8" s="2118">
        <f>OrgRev!BR11</f>
        <v>5.2469603800038456E-2</v>
      </c>
      <c r="AH8" s="2142">
        <f>OrgRev!BU11</f>
        <v>0.01</v>
      </c>
      <c r="AI8" s="2118">
        <f>OrgRev!BV11</f>
        <v>2.5000000000000001E-2</v>
      </c>
      <c r="AJ8" s="2118">
        <f>OrgRev!BW11</f>
        <v>-0.06</v>
      </c>
      <c r="AK8" s="2118">
        <f>OrgRev!BX11</f>
        <v>5.2803796192288498E-2</v>
      </c>
      <c r="AL8" s="2142">
        <f>OrgRev!CA11</f>
        <v>-8.0684797230032024E-3</v>
      </c>
      <c r="AM8" s="2118">
        <f>OrgRev!CB11</f>
        <v>-0.17499999999999999</v>
      </c>
      <c r="AN8" s="2118">
        <f>OrgRev!CC11</f>
        <v>-9.6000000000000002E-2</v>
      </c>
      <c r="AO8" s="2118">
        <f>OrgRev!CD11</f>
        <v>-5.3499999999999999E-2</v>
      </c>
      <c r="AP8" s="2142">
        <f>OrgRev!CG11</f>
        <v>3.0838500000000008E-2</v>
      </c>
      <c r="AQ8" s="2118">
        <f>OrgRev!CH11</f>
        <v>-2.8000000000000001E-2</v>
      </c>
      <c r="AR8" s="2118">
        <f>OrgRev!CI11</f>
        <v>0.10679999999999999</v>
      </c>
      <c r="AS8" s="2118">
        <f>OrgRev!CJ11</f>
        <v>0.13</v>
      </c>
      <c r="AT8" s="2142">
        <f>OrgRev!CM11</f>
        <v>0.05</v>
      </c>
      <c r="AU8" s="2118">
        <f>OrgRev!CN11</f>
        <v>0.08</v>
      </c>
      <c r="AV8" s="2118">
        <f>OrgRev!CO11</f>
        <v>-0.05</v>
      </c>
      <c r="AW8" s="2118">
        <f>OrgRev!CP11</f>
        <v>-0.02</v>
      </c>
      <c r="AX8" s="2065"/>
      <c r="AY8" s="2065"/>
      <c r="AZ8" s="2065"/>
      <c r="BA8" s="2065"/>
      <c r="BB8" s="2065"/>
      <c r="BC8" s="2065"/>
      <c r="BD8" s="2065"/>
      <c r="BE8" s="2065"/>
      <c r="BF8" s="2065"/>
      <c r="BG8" s="2065"/>
      <c r="BH8" s="2065"/>
      <c r="BI8" s="2065"/>
      <c r="BJ8" s="2065"/>
      <c r="BK8" s="2065"/>
      <c r="BL8" s="2065"/>
      <c r="BM8" s="2065"/>
      <c r="BN8" s="2065"/>
      <c r="BO8" s="2065"/>
      <c r="BP8" s="2065"/>
      <c r="BQ8" s="2065"/>
      <c r="BR8" s="2065"/>
      <c r="BS8" s="2065"/>
      <c r="BT8" s="2065"/>
      <c r="BU8" s="2065"/>
      <c r="BV8" s="2065"/>
      <c r="BW8" s="2065"/>
    </row>
    <row r="9" spans="1:75">
      <c r="A9" s="2053" t="s">
        <v>333</v>
      </c>
      <c r="B9" s="2057" t="str">
        <f>OrgRev!Y12</f>
        <v>ND</v>
      </c>
      <c r="C9" s="2057" t="str">
        <f>OrgRev!Z12</f>
        <v>ND</v>
      </c>
      <c r="D9" s="2057" t="str">
        <f>OrgRev!AA12</f>
        <v>ND</v>
      </c>
      <c r="E9" s="2057" t="str">
        <f>OrgRev!AB12</f>
        <v>ND</v>
      </c>
      <c r="F9" s="2143">
        <f>OrgRev!AE12</f>
        <v>-5.7000000000000002E-2</v>
      </c>
      <c r="G9" s="2057">
        <f>OrgRev!AF12</f>
        <v>0.18</v>
      </c>
      <c r="H9" s="2057">
        <f>OrgRev!AG12</f>
        <v>-9.5000000000000001E-2</v>
      </c>
      <c r="I9" s="2057">
        <f>OrgRev!AH12</f>
        <v>0.22158715596330267</v>
      </c>
      <c r="J9" s="2143">
        <f>OrgRev!AK12</f>
        <v>7.5999999999999998E-2</v>
      </c>
      <c r="K9" s="2057">
        <f>OrgRev!AL12</f>
        <v>0.25600000000000001</v>
      </c>
      <c r="L9" s="2057">
        <f>OrgRev!AM12</f>
        <v>0.46100000000000002</v>
      </c>
      <c r="M9" s="2057">
        <f>OrgRev!AN12</f>
        <v>0.58440336134453785</v>
      </c>
      <c r="N9" s="2143">
        <f>OrgRev!AQ12</f>
        <v>1.407</v>
      </c>
      <c r="O9" s="2057">
        <f>OrgRev!AR12</f>
        <v>0.40899999999999997</v>
      </c>
      <c r="P9" s="2057">
        <f>OrgRev!AS12</f>
        <v>0.73899999999999999</v>
      </c>
      <c r="Q9" s="2057">
        <f>OrgRev!AT12</f>
        <v>0.33</v>
      </c>
      <c r="R9" s="2143">
        <f>OrgRev!AW12</f>
        <v>0.16900000000000001</v>
      </c>
      <c r="S9" s="2057">
        <f>OrgRev!AX12</f>
        <v>0.38100000000000001</v>
      </c>
      <c r="T9" s="2057">
        <f>OrgRev!AY12</f>
        <v>0.129</v>
      </c>
      <c r="U9" s="2057">
        <f>OrgRev!AZ12</f>
        <v>0.156</v>
      </c>
      <c r="V9" s="2143">
        <f>OrgRev!BC12</f>
        <v>0.30399999999999999</v>
      </c>
      <c r="W9" s="2057">
        <f>OrgRev!BD12</f>
        <v>3.2000000000000001E-2</v>
      </c>
      <c r="X9" s="2057">
        <f>OrgRev!BE12</f>
        <v>0.72599999999999998</v>
      </c>
      <c r="Y9" s="2057">
        <f>OrgRev!BF12</f>
        <v>0.16666666666666688</v>
      </c>
      <c r="Z9" s="2143">
        <f>OrgRev!BI12</f>
        <v>3.3000000000000002E-2</v>
      </c>
      <c r="AA9" s="2057">
        <f>OrgRev!BJ12</f>
        <v>0.4</v>
      </c>
      <c r="AB9" s="2057">
        <f>OrgRev!BK12</f>
        <v>-0.27100000000000002</v>
      </c>
      <c r="AC9" s="2057">
        <f>OrgRev!BL12</f>
        <v>0.17399999999999999</v>
      </c>
      <c r="AD9" s="2143">
        <f>OrgRev!BO12</f>
        <v>7.3999999999999996E-2</v>
      </c>
      <c r="AE9" s="2057">
        <f>OrgRev!BP12</f>
        <v>6.3E-2</v>
      </c>
      <c r="AF9" s="2057">
        <f>OrgRev!BQ12</f>
        <v>0.22600000000000001</v>
      </c>
      <c r="AG9" s="2057">
        <f>OrgRev!BR12</f>
        <v>-0.14099999999999999</v>
      </c>
      <c r="AH9" s="2143">
        <f>OrgRev!BU12</f>
        <v>-4.1000000000000002E-2</v>
      </c>
      <c r="AI9" s="2057">
        <f>OrgRev!BV12</f>
        <v>-8.1000000000000003E-2</v>
      </c>
      <c r="AJ9" s="2057">
        <f>OrgRev!BW12</f>
        <v>-2.5999999999999999E-2</v>
      </c>
      <c r="AK9" s="2057">
        <f>OrgRev!BX12</f>
        <v>0.317</v>
      </c>
      <c r="AL9" s="2143">
        <f>OrgRev!CA12</f>
        <v>2E-3</v>
      </c>
      <c r="AM9" s="2057">
        <f>OrgRev!CB12</f>
        <v>-8.8675324675324671E-2</v>
      </c>
      <c r="AN9" s="2057">
        <f>OrgRev!CC12</f>
        <v>8.1000000000000003E-2</v>
      </c>
      <c r="AO9" s="2057">
        <f>OrgRev!CD12</f>
        <v>-0.2016</v>
      </c>
      <c r="AP9" s="2143">
        <f>OrgRev!CG12</f>
        <v>2.9000000000000001E-2</v>
      </c>
      <c r="AQ9" s="2057">
        <f>OrgRev!CH12</f>
        <v>0.432</v>
      </c>
      <c r="AR9" s="2057">
        <f>OrgRev!CI12</f>
        <v>-9.7000000000000003E-2</v>
      </c>
      <c r="AS9" s="2057">
        <f>OrgRev!CJ12</f>
        <v>0.11600000000000001</v>
      </c>
      <c r="AT9" s="2143">
        <f>OrgRev!CM12</f>
        <v>0.03</v>
      </c>
      <c r="AU9" s="2057">
        <f>OrgRev!CN12</f>
        <v>-0.12</v>
      </c>
      <c r="AV9" s="2057">
        <f>OrgRev!CO12</f>
        <v>0.08</v>
      </c>
      <c r="AW9" s="2057">
        <f>OrgRev!CP12</f>
        <v>-0.05</v>
      </c>
      <c r="AX9" s="2065"/>
      <c r="AY9" s="2065"/>
      <c r="AZ9" s="2065"/>
      <c r="BA9" s="2065"/>
      <c r="BB9" s="2065"/>
      <c r="BC9" s="2065"/>
      <c r="BD9" s="2065"/>
      <c r="BE9" s="2065"/>
      <c r="BF9" s="2065"/>
      <c r="BG9" s="2065"/>
      <c r="BH9" s="2065"/>
      <c r="BI9" s="2065"/>
      <c r="BJ9" s="2065"/>
      <c r="BK9" s="2065"/>
      <c r="BL9" s="2065"/>
      <c r="BM9" s="2065"/>
      <c r="BN9" s="2065"/>
      <c r="BO9" s="2065"/>
      <c r="BP9" s="2065"/>
      <c r="BQ9" s="2065"/>
      <c r="BR9" s="2065"/>
      <c r="BS9" s="2065"/>
      <c r="BT9" s="2065"/>
      <c r="BU9" s="2065"/>
      <c r="BV9" s="2065"/>
      <c r="BW9" s="2065"/>
    </row>
    <row r="10" spans="1:75">
      <c r="A10" s="2109" t="s">
        <v>369</v>
      </c>
      <c r="B10" s="2115">
        <f>OrgRev!Y13</f>
        <v>0.106</v>
      </c>
      <c r="C10" s="2115">
        <f>OrgRev!Z13</f>
        <v>0.17</v>
      </c>
      <c r="D10" s="2115">
        <f>OrgRev!AA13</f>
        <v>0.2</v>
      </c>
      <c r="E10" s="2115">
        <f>OrgRev!AB13</f>
        <v>0.26</v>
      </c>
      <c r="F10" s="2144">
        <f>OrgRev!AE13</f>
        <v>0.05</v>
      </c>
      <c r="G10" s="2115">
        <f>OrgRev!AF13</f>
        <v>0.19400000000000001</v>
      </c>
      <c r="H10" s="2115">
        <f>OrgRev!AG13</f>
        <v>-5.5E-2</v>
      </c>
      <c r="I10" s="2115">
        <f>OrgRev!AH13</f>
        <v>-0.03</v>
      </c>
      <c r="J10" s="2144">
        <f>OrgRev!AK13</f>
        <v>4.4999999999999998E-2</v>
      </c>
      <c r="K10" s="2115">
        <f>OrgRev!AL13</f>
        <v>-0.111</v>
      </c>
      <c r="L10" s="2115">
        <f>OrgRev!AM13</f>
        <v>0.114</v>
      </c>
      <c r="M10" s="2115">
        <f>OrgRev!AN13</f>
        <v>0.06</v>
      </c>
      <c r="N10" s="2144">
        <f>OrgRev!AQ13</f>
        <v>0.124</v>
      </c>
      <c r="O10" s="2115">
        <f>OrgRev!AR13</f>
        <v>0.2</v>
      </c>
      <c r="P10" s="2115">
        <f>OrgRev!AS13</f>
        <v>0.17399999999999999</v>
      </c>
      <c r="Q10" s="2115">
        <f>OrgRev!AT13</f>
        <v>0.17</v>
      </c>
      <c r="R10" s="2144">
        <f>OrgRev!AW13</f>
        <v>4.4999999999999998E-2</v>
      </c>
      <c r="S10" s="2115">
        <f>OrgRev!AX13</f>
        <v>7.4999999999999997E-2</v>
      </c>
      <c r="T10" s="2115">
        <f>OrgRev!AY13</f>
        <v>0.109</v>
      </c>
      <c r="U10" s="2115">
        <f>OrgRev!AZ13</f>
        <v>0.122</v>
      </c>
      <c r="V10" s="2144">
        <f>OrgRev!BC13</f>
        <v>0.13700000000000001</v>
      </c>
      <c r="W10" s="2115">
        <f>OrgRev!BD13</f>
        <v>0.104</v>
      </c>
      <c r="X10" s="2115">
        <f>OrgRev!BE13</f>
        <v>0.13800000000000001</v>
      </c>
      <c r="Y10" s="2115">
        <f>OrgRev!BF13</f>
        <v>0.10199999999999999</v>
      </c>
      <c r="Z10" s="2144">
        <f>OrgRev!BI13</f>
        <v>-1.0999999999999999E-2</v>
      </c>
      <c r="AA10" s="2115">
        <f>OrgRev!BJ13</f>
        <v>9.5000000000000001E-2</v>
      </c>
      <c r="AB10" s="2115">
        <f>OrgRev!BK13</f>
        <v>-2.4E-2</v>
      </c>
      <c r="AC10" s="2115">
        <f>OrgRev!BL13</f>
        <v>6.2E-2</v>
      </c>
      <c r="AD10" s="2144">
        <f>OrgRev!BO13</f>
        <v>6.6000000000000003E-2</v>
      </c>
      <c r="AE10" s="2115">
        <f>OrgRev!BP13</f>
        <v>-2.4E-2</v>
      </c>
      <c r="AF10" s="2115">
        <f>OrgRev!BQ13</f>
        <v>-4.8000000000000001E-2</v>
      </c>
      <c r="AG10" s="2115">
        <f>OrgRev!BR13</f>
        <v>-5.0000000000000001E-3</v>
      </c>
      <c r="AH10" s="2144">
        <f>OrgRev!BU13</f>
        <v>-0.03</v>
      </c>
      <c r="AI10" s="2115">
        <f>OrgRev!BV13</f>
        <v>7.0000000000000001E-3</v>
      </c>
      <c r="AJ10" s="2115">
        <f>OrgRev!BW13</f>
        <v>8.1000000000000003E-2</v>
      </c>
      <c r="AK10" s="2115">
        <f>OrgRev!BX13</f>
        <v>2.5000000000000001E-2</v>
      </c>
      <c r="AL10" s="2144">
        <f>OrgRev!CA13</f>
        <v>5.5951909476661843E-2</v>
      </c>
      <c r="AM10" s="2115">
        <f>OrgRev!CB13</f>
        <v>-9.2363636363636287E-2</v>
      </c>
      <c r="AN10" s="2115">
        <f>OrgRev!CC13</f>
        <v>-2.3554152991668839E-2</v>
      </c>
      <c r="AO10" s="2115">
        <f>OrgRev!CD13</f>
        <v>-2.255541991904108E-2</v>
      </c>
      <c r="AP10" s="2144">
        <f>OrgRev!CG13</f>
        <v>-7.7689930740543825E-3</v>
      </c>
      <c r="AQ10" s="2115">
        <f>OrgRev!CH13</f>
        <v>7.6222760290556774E-2</v>
      </c>
      <c r="AR10" s="2115">
        <f>OrgRev!CI13</f>
        <v>3.3501904036557513E-2</v>
      </c>
      <c r="AS10" s="2115">
        <f>OrgRev!CJ13</f>
        <v>4.0310660114897409E-2</v>
      </c>
      <c r="AT10" s="2144">
        <f>OrgRev!CM13</f>
        <v>3.4065405946750463E-2</v>
      </c>
      <c r="AU10" s="2115">
        <f>OrgRev!CN13</f>
        <v>-3.34713092911431E-3</v>
      </c>
      <c r="AV10" s="2115">
        <f>OrgRev!CO13</f>
        <v>1.041023695771414E-2</v>
      </c>
      <c r="AW10" s="2115">
        <f>OrgRev!CP13</f>
        <v>6.3697724106939746E-3</v>
      </c>
      <c r="AX10" s="2065"/>
      <c r="AY10" s="2065"/>
      <c r="AZ10" s="2065"/>
      <c r="BA10" s="2065"/>
      <c r="BB10" s="2065"/>
      <c r="BC10" s="2065"/>
      <c r="BD10" s="2065"/>
      <c r="BE10" s="2065"/>
      <c r="BF10" s="2065"/>
      <c r="BG10" s="2065"/>
      <c r="BH10" s="2065"/>
      <c r="BI10" s="2065"/>
      <c r="BJ10" s="2065"/>
      <c r="BK10" s="2065"/>
      <c r="BL10" s="2065"/>
      <c r="BM10" s="2065"/>
      <c r="BN10" s="2065"/>
      <c r="BO10" s="2065"/>
      <c r="BP10" s="2065"/>
      <c r="BQ10" s="2065"/>
      <c r="BR10" s="2065"/>
      <c r="BS10" s="2065"/>
      <c r="BT10" s="2065"/>
      <c r="BU10" s="2065"/>
      <c r="BV10" s="2065"/>
      <c r="BW10" s="2065"/>
    </row>
    <row r="11" spans="1:75">
      <c r="A11" s="2060" t="s">
        <v>535</v>
      </c>
      <c r="B11" s="2054"/>
      <c r="C11" s="2054"/>
      <c r="D11" s="2054"/>
      <c r="E11" s="2054"/>
      <c r="F11" s="2145"/>
      <c r="G11" s="2054"/>
      <c r="H11" s="2054"/>
      <c r="I11" s="2054"/>
      <c r="J11" s="2145"/>
      <c r="K11" s="2054"/>
      <c r="L11" s="2054"/>
      <c r="M11" s="2054"/>
      <c r="N11" s="2145"/>
      <c r="O11" s="2054"/>
      <c r="P11" s="2054"/>
      <c r="Q11" s="2054"/>
      <c r="R11" s="2145">
        <f>RevBuild!AW155</f>
        <v>0.18952604940042206</v>
      </c>
      <c r="S11" s="2054">
        <f>RevBuild!AX155</f>
        <v>0.23373065889261357</v>
      </c>
      <c r="T11" s="2054">
        <f>RevBuild!AY155</f>
        <v>0.2480486162492006</v>
      </c>
      <c r="U11" s="2054">
        <f>RevBuild!AZ155</f>
        <v>5.6498622999063386E-2</v>
      </c>
      <c r="V11" s="2145">
        <f>RevBuild!BC155</f>
        <v>0.27791076302619455</v>
      </c>
      <c r="W11" s="2054">
        <f>RevBuild!BD155</f>
        <v>0.17945774183752894</v>
      </c>
      <c r="X11" s="2054">
        <f>RevBuild!BE155</f>
        <v>0.20382459245796292</v>
      </c>
      <c r="Y11" s="2054">
        <f>RevBuild!BF155</f>
        <v>0.22469584864570114</v>
      </c>
      <c r="Z11" s="2145">
        <f>RevBuild!BI155</f>
        <v>-9.9214159753554965E-2</v>
      </c>
      <c r="AA11" s="2054">
        <f>RevBuild!BJ155</f>
        <v>4.2193058058423993E-3</v>
      </c>
      <c r="AB11" s="2054">
        <f>RevBuild!BK155</f>
        <v>-8.9530142295749515E-2</v>
      </c>
      <c r="AC11" s="2054">
        <f>RevBuild!BL155</f>
        <v>-8.8020156403131322E-3</v>
      </c>
      <c r="AD11" s="2145">
        <f>RevBuild!BO155</f>
        <v>0.18012785789217256</v>
      </c>
      <c r="AE11" s="2054">
        <f>RevBuild!BP155</f>
        <v>0.10175537363214926</v>
      </c>
      <c r="AF11" s="2054">
        <f>RevBuild!BQ155</f>
        <v>4.7810793857717027E-2</v>
      </c>
      <c r="AG11" s="2054">
        <f>RevBuild!BR155</f>
        <v>8.209810537586959E-3</v>
      </c>
      <c r="AH11" s="2145">
        <f>RevBuild!BU155</f>
        <v>-8.7842747114525777E-2</v>
      </c>
      <c r="AI11" s="2054">
        <f>RevBuild!BV155</f>
        <v>-5.346258133982873E-2</v>
      </c>
      <c r="AJ11" s="2054">
        <f>RevBuild!BW155</f>
        <v>3.1575857902595539E-2</v>
      </c>
      <c r="AK11" s="2054">
        <f>RevBuild!BX155</f>
        <v>2.9164082528764679E-2</v>
      </c>
      <c r="AL11" s="2145">
        <f>RevBuild!CA155</f>
        <v>0.20466733603630116</v>
      </c>
      <c r="AM11" s="2054">
        <f>RevBuild!CB155</f>
        <v>6.4779447730226147E-2</v>
      </c>
      <c r="AN11" s="2054">
        <f>RevBuild!CC155</f>
        <v>0.1280891523028207</v>
      </c>
      <c r="AO11" s="2054">
        <f>RevBuild!CD155</f>
        <v>0.11564928549509812</v>
      </c>
      <c r="AP11" s="2145">
        <f>RevBuild!CG155</f>
        <v>2.5306339904102026E-2</v>
      </c>
      <c r="AQ11" s="2054">
        <f>RevBuild!CH155</f>
        <v>0.11622276029055656</v>
      </c>
      <c r="AR11" s="2054">
        <f>RevBuild!CI155</f>
        <v>0.10586443259710587</v>
      </c>
      <c r="AS11" s="2054">
        <f>RevBuild!CJ155</f>
        <v>0.12800340208377681</v>
      </c>
      <c r="AT11" s="2145">
        <f>RevBuild!CM155</f>
        <v>0.1007461473722191</v>
      </c>
      <c r="AU11" s="2054">
        <f>RevBuild!CN155</f>
        <v>4.6720452637178056E-2</v>
      </c>
      <c r="AV11" s="2054">
        <f>RevBuild!CO155</f>
        <v>3.535305831464286E-2</v>
      </c>
      <c r="AW11" s="2054">
        <f>RevBuild!CP155</f>
        <v>5.1437722496280758E-2</v>
      </c>
      <c r="AX11" s="2065"/>
      <c r="AY11" s="2065"/>
      <c r="AZ11" s="2065"/>
      <c r="BA11" s="2065"/>
      <c r="BB11" s="2065"/>
      <c r="BC11" s="2065"/>
      <c r="BD11" s="2065"/>
      <c r="BE11" s="2065"/>
      <c r="BF11" s="2065"/>
      <c r="BG11" s="2065"/>
      <c r="BH11" s="2065"/>
      <c r="BI11" s="2065"/>
      <c r="BJ11" s="2065"/>
      <c r="BK11" s="2065"/>
      <c r="BL11" s="2065"/>
      <c r="BM11" s="2065"/>
      <c r="BN11" s="2065"/>
      <c r="BO11" s="2065"/>
      <c r="BP11" s="2065"/>
      <c r="BQ11" s="2065"/>
      <c r="BR11" s="2065"/>
      <c r="BS11" s="2065"/>
      <c r="BT11" s="2065"/>
      <c r="BU11" s="2065"/>
      <c r="BV11" s="2065"/>
      <c r="BW11" s="2065"/>
    </row>
    <row r="12" spans="1:75">
      <c r="A12" s="2059" t="s">
        <v>536</v>
      </c>
      <c r="B12" s="2116"/>
      <c r="C12" s="2116"/>
      <c r="D12" s="2116"/>
      <c r="E12" s="2116"/>
      <c r="F12" s="2146"/>
      <c r="G12" s="2116"/>
      <c r="H12" s="2116"/>
      <c r="I12" s="2116"/>
      <c r="J12" s="2146"/>
      <c r="K12" s="2116"/>
      <c r="L12" s="2116"/>
      <c r="M12" s="2116"/>
      <c r="N12" s="2146"/>
      <c r="O12" s="2116"/>
      <c r="P12" s="2116"/>
      <c r="Q12" s="2116"/>
      <c r="R12" s="2146">
        <f>(RevBuild!AW145-RevBuild!AW141)/(RevBuild!AQ145-RevBuild!AQ141)-1</f>
        <v>0.30991671685159017</v>
      </c>
      <c r="S12" s="2116">
        <f>(RevBuild!AX145-RevBuild!AX141)/(RevBuild!AR145-RevBuild!AR141)-1</f>
        <v>0.35859522789798937</v>
      </c>
      <c r="T12" s="2116">
        <f>(RevBuild!AY145-RevBuild!AY141)/(RevBuild!AS145-RevBuild!AS141)-1</f>
        <v>0.37436229050415526</v>
      </c>
      <c r="U12" s="2116">
        <f>(RevBuild!AZ145-RevBuild!AZ141)/(RevBuild!AT145-RevBuild!AT141)-1</f>
        <v>0.16342572598113647</v>
      </c>
      <c r="V12" s="2146">
        <f>(RevBuild!BC145-RevBuild!BC141)/(RevBuild!AW145-RevBuild!AW141)-1</f>
        <v>0.10348102002474868</v>
      </c>
      <c r="W12" s="2116">
        <f>(RevBuild!BD145-RevBuild!BD141)/(RevBuild!AX145-RevBuild!AX141)-1</f>
        <v>1.8466445150587374E-2</v>
      </c>
      <c r="X12" s="2116">
        <f>(RevBuild!BE145-RevBuild!BE141)/(RevBuild!AY145-RevBuild!AY141)-1</f>
        <v>3.9507317451993984E-2</v>
      </c>
      <c r="Y12" s="2116">
        <f>(RevBuild!BF145-RevBuild!BF141)/(RevBuild!AZ145-RevBuild!AZ141)-1</f>
        <v>5.7529730075473351E-2</v>
      </c>
      <c r="Z12" s="2146">
        <f>(RevBuild!BI145-RevBuild!BI141)/(RevBuild!BC145-RevBuild!BC141)-1</f>
        <v>-1.1638914067523931E-2</v>
      </c>
      <c r="AA12" s="2116">
        <f>(RevBuild!BJ145-RevBuild!BJ141)/(RevBuild!BD145-RevBuild!BD141)-1</f>
        <v>0.10185045019032946</v>
      </c>
      <c r="AB12" s="2116">
        <f>(RevBuild!BK145-RevBuild!BK141)/(RevBuild!BE145-RevBuild!BE141)-1</f>
        <v>-1.0134073342397132E-3</v>
      </c>
      <c r="AC12" s="2116">
        <f>(RevBuild!BL145-RevBuild!BL141)/(RevBuild!BF145-RevBuild!BF141)-1</f>
        <v>8.7563183639517428E-2</v>
      </c>
      <c r="AD12" s="2146">
        <f>(RevBuild!BO145-RevBuild!BO141)/(RevBuild!BI145-RevBuild!BI141)-1</f>
        <v>5.1956578922339736E-2</v>
      </c>
      <c r="AE12" s="2116">
        <f>(RevBuild!BP145-RevBuild!BP141)/(RevBuild!BJ145-RevBuild!BJ141)-1</f>
        <v>-1.7904029716348635E-2</v>
      </c>
      <c r="AF12" s="2116">
        <f>(RevBuild!BQ145-RevBuild!BQ141)/(RevBuild!BK145-RevBuild!BK141)-1</f>
        <v>-6.5989798738250727E-2</v>
      </c>
      <c r="AG12" s="2116">
        <f>(RevBuild!BR145-RevBuild!BR141)/(RevBuild!BL145-RevBuild!BL141)-1</f>
        <v>-0.10128980005320221</v>
      </c>
      <c r="AH12" s="2146">
        <f>(RevBuild!BU145-RevBuild!BU141)/(RevBuild!BO145-RevBuild!BO141)-1</f>
        <v>-0.18691100536251171</v>
      </c>
      <c r="AI12" s="2116">
        <f>(RevBuild!BV145-RevBuild!BV141)/(RevBuild!BP145-RevBuild!BP141)-1</f>
        <v>-0.15626482638757078</v>
      </c>
      <c r="AJ12" s="2116">
        <f>(RevBuild!BW145-RevBuild!BW141)/(RevBuild!BQ145-RevBuild!BQ141)-1</f>
        <v>-8.0462305659442457E-2</v>
      </c>
      <c r="AK12" s="2116">
        <f>(RevBuild!BX145-RevBuild!BX141)/(RevBuild!BR145-RevBuild!BR141)-1</f>
        <v>-8.2612141126733096E-2</v>
      </c>
      <c r="AL12" s="2146">
        <f>(RevBuild!CA145-RevBuild!CA141)/(RevBuild!BU145-RevBuild!BU141)-1</f>
        <v>1.8290217130444653E-2</v>
      </c>
      <c r="AM12" s="2116">
        <f>(RevBuild!CB145-RevBuild!CB141)/(RevBuild!BV145-RevBuild!BV141)-1</f>
        <v>-9.9955263506394165E-2</v>
      </c>
      <c r="AN12" s="2116">
        <f>(RevBuild!CC145-RevBuild!CC141)/(RevBuild!BW145-RevBuild!BW141)-1</f>
        <v>-4.6440362846923544E-2</v>
      </c>
      <c r="AO12" s="2116">
        <f>(RevBuild!CD145-RevBuild!CD141)/(RevBuild!BX145-RevBuild!BX141)-1</f>
        <v>-5.6955626516634328E-2</v>
      </c>
      <c r="AP12" s="2146">
        <f>(RevBuild!CG145-RevBuild!CG141)/(RevBuild!CA145-RevBuild!CA141)-1</f>
        <v>2.5306339904102249E-2</v>
      </c>
      <c r="AQ12" s="2116">
        <f>(RevBuild!CH145-RevBuild!CH141)/(RevBuild!CB145-RevBuild!CB141)-1</f>
        <v>0.11622276029055656</v>
      </c>
      <c r="AR12" s="2116">
        <f>(RevBuild!CI145-RevBuild!CI141)/(RevBuild!CC145-RevBuild!CC141)-1</f>
        <v>0.10586443259710565</v>
      </c>
      <c r="AS12" s="2116">
        <f>(RevBuild!CJ145-RevBuild!CJ141)/(RevBuild!CD145-RevBuild!CD141)-1</f>
        <v>0.12800340208377681</v>
      </c>
      <c r="AT12" s="2146">
        <f>(RevBuild!CM145-RevBuild!CM141)/(RevBuild!CG145-RevBuild!CG141)-1</f>
        <v>0.1007461473722191</v>
      </c>
      <c r="AU12" s="2116">
        <f>(RevBuild!CN145-RevBuild!CN141)/(RevBuild!CH145-RevBuild!CH141)-1</f>
        <v>4.6720452637178056E-2</v>
      </c>
      <c r="AV12" s="2116">
        <f>(RevBuild!CO145-RevBuild!CO141)/(RevBuild!CI145-RevBuild!CI141)-1</f>
        <v>3.5353058314642638E-2</v>
      </c>
      <c r="AW12" s="2116">
        <f>(RevBuild!CP145-RevBuild!CP141)/(RevBuild!CJ145-RevBuild!CJ141)-1</f>
        <v>5.143772249628098E-2</v>
      </c>
      <c r="AY12" s="2065"/>
      <c r="AZ12" s="2065"/>
    </row>
    <row r="13" spans="1:75" s="2065" customFormat="1">
      <c r="A13" s="2052"/>
      <c r="B13" s="2052"/>
      <c r="C13" s="2052"/>
      <c r="D13" s="2052"/>
      <c r="E13" s="2052"/>
      <c r="F13" s="2052"/>
      <c r="G13" s="2052"/>
      <c r="H13" s="2052"/>
      <c r="I13" s="2052"/>
      <c r="J13" s="2052"/>
      <c r="K13" s="2052"/>
      <c r="L13" s="2052"/>
      <c r="M13" s="2052"/>
      <c r="N13" s="2052"/>
      <c r="O13" s="2052"/>
      <c r="P13" s="2052"/>
      <c r="Q13" s="2052"/>
      <c r="R13" s="2052"/>
      <c r="S13" s="2052"/>
      <c r="T13" s="2052"/>
      <c r="U13" s="2052"/>
      <c r="V13" s="2052"/>
      <c r="W13" s="2052"/>
      <c r="X13" s="2052"/>
      <c r="Y13" s="2052"/>
      <c r="Z13" s="2052"/>
      <c r="AA13" s="2052"/>
      <c r="AB13" s="2052"/>
      <c r="AC13" s="2052"/>
      <c r="AD13" s="2052"/>
      <c r="AE13" s="2052"/>
      <c r="AF13" s="2052"/>
      <c r="AG13" s="2052"/>
      <c r="AH13" s="2052"/>
      <c r="AI13" s="2074"/>
      <c r="AJ13" s="2074"/>
      <c r="AK13" s="2074"/>
      <c r="AL13" s="2074"/>
      <c r="AM13" s="2052"/>
      <c r="AN13" s="2052"/>
      <c r="AO13" s="2052"/>
      <c r="AP13" s="2052"/>
      <c r="AQ13" s="2052"/>
      <c r="AR13" s="2052"/>
      <c r="AS13" s="2052"/>
      <c r="AT13" s="2052"/>
      <c r="AU13" s="2052"/>
      <c r="AV13" s="2052"/>
      <c r="AW13" s="2052"/>
    </row>
    <row r="14" spans="1:75" s="2065" customFormat="1">
      <c r="A14" s="2108" t="s">
        <v>518</v>
      </c>
      <c r="B14" s="2064"/>
      <c r="C14" s="2064"/>
      <c r="D14" s="2050"/>
      <c r="E14" s="2050"/>
      <c r="F14" s="2050"/>
      <c r="G14" s="2050"/>
      <c r="H14" s="2050"/>
      <c r="I14" s="2050"/>
      <c r="J14" s="2050"/>
      <c r="K14" s="2050"/>
      <c r="L14" s="2050"/>
      <c r="M14" s="2050"/>
      <c r="N14" s="2050"/>
      <c r="O14" s="2052"/>
      <c r="P14" s="2052"/>
      <c r="Q14" s="2052"/>
      <c r="R14" s="2052"/>
      <c r="S14" s="2052"/>
      <c r="T14" s="2052"/>
      <c r="U14" s="2052"/>
      <c r="V14" s="2052"/>
      <c r="W14" s="2052"/>
      <c r="X14" s="2052"/>
      <c r="Y14" s="2052"/>
      <c r="Z14" s="2052"/>
      <c r="AA14" s="2052"/>
      <c r="AB14" s="2052"/>
      <c r="AC14" s="2052"/>
      <c r="AD14" s="2052"/>
      <c r="AE14" s="2052"/>
      <c r="AF14" s="2052"/>
      <c r="AG14" s="2052"/>
      <c r="AH14" s="2052"/>
      <c r="AI14" s="2052"/>
      <c r="AJ14" s="2052"/>
      <c r="AK14" s="2052"/>
      <c r="AL14" s="2052"/>
      <c r="AM14" s="2052"/>
      <c r="AN14" s="2052"/>
      <c r="AO14" s="2052"/>
      <c r="AP14" s="2052"/>
      <c r="AQ14" s="2052"/>
      <c r="AR14" s="2052"/>
      <c r="AS14" s="2052"/>
      <c r="AT14" s="2052"/>
      <c r="AU14" s="2052"/>
      <c r="AV14" s="2052"/>
      <c r="AW14" s="2052"/>
    </row>
    <row r="15" spans="1:75">
      <c r="A15" s="2272"/>
      <c r="B15" s="2272"/>
      <c r="C15" s="2272"/>
      <c r="D15" s="2272"/>
      <c r="E15" s="2272"/>
      <c r="F15" s="2273" t="str">
        <f t="shared" ref="F15:AP15" si="0">F4</f>
        <v>1Q08</v>
      </c>
      <c r="G15" s="2272" t="str">
        <f t="shared" si="0"/>
        <v>2Q08</v>
      </c>
      <c r="H15" s="2272" t="str">
        <f t="shared" si="0"/>
        <v>3Q08</v>
      </c>
      <c r="I15" s="2272" t="str">
        <f t="shared" si="0"/>
        <v>4Q08</v>
      </c>
      <c r="J15" s="2273" t="str">
        <f t="shared" si="0"/>
        <v>1Q09</v>
      </c>
      <c r="K15" s="2272" t="str">
        <f t="shared" si="0"/>
        <v>2Q09</v>
      </c>
      <c r="L15" s="2272" t="str">
        <f t="shared" si="0"/>
        <v>3Q09</v>
      </c>
      <c r="M15" s="2272" t="str">
        <f t="shared" si="0"/>
        <v>4Q09</v>
      </c>
      <c r="N15" s="2273" t="str">
        <f t="shared" si="0"/>
        <v>1Q10</v>
      </c>
      <c r="O15" s="2272" t="str">
        <f t="shared" si="0"/>
        <v>2Q10</v>
      </c>
      <c r="P15" s="2272" t="str">
        <f t="shared" si="0"/>
        <v>3Q10</v>
      </c>
      <c r="Q15" s="2272" t="str">
        <f t="shared" si="0"/>
        <v>4Q10</v>
      </c>
      <c r="R15" s="2273" t="str">
        <f t="shared" si="0"/>
        <v>1Q11</v>
      </c>
      <c r="S15" s="2272" t="str">
        <f t="shared" si="0"/>
        <v>2Q11</v>
      </c>
      <c r="T15" s="2272" t="str">
        <f t="shared" si="0"/>
        <v>3Q11</v>
      </c>
      <c r="U15" s="2272" t="str">
        <f t="shared" si="0"/>
        <v>4Q11</v>
      </c>
      <c r="V15" s="2273" t="str">
        <f t="shared" si="0"/>
        <v>1Q12</v>
      </c>
      <c r="W15" s="2272" t="str">
        <f t="shared" si="0"/>
        <v>2Q12</v>
      </c>
      <c r="X15" s="2272" t="str">
        <f t="shared" si="0"/>
        <v>3Q12</v>
      </c>
      <c r="Y15" s="2272" t="str">
        <f t="shared" si="0"/>
        <v>4Q12</v>
      </c>
      <c r="Z15" s="2273" t="str">
        <f t="shared" si="0"/>
        <v>1Q13</v>
      </c>
      <c r="AA15" s="2272" t="str">
        <f t="shared" si="0"/>
        <v>2Q13</v>
      </c>
      <c r="AB15" s="2272" t="str">
        <f t="shared" si="0"/>
        <v>3Q13</v>
      </c>
      <c r="AC15" s="2272" t="str">
        <f t="shared" si="0"/>
        <v>4Q13</v>
      </c>
      <c r="AD15" s="2273" t="str">
        <f t="shared" si="0"/>
        <v>1Q14</v>
      </c>
      <c r="AE15" s="2272" t="str">
        <f t="shared" si="0"/>
        <v>2Q14</v>
      </c>
      <c r="AF15" s="2272" t="str">
        <f t="shared" si="0"/>
        <v>3Q14</v>
      </c>
      <c r="AG15" s="2272" t="str">
        <f t="shared" si="0"/>
        <v>4Q14</v>
      </c>
      <c r="AH15" s="2273" t="str">
        <f t="shared" si="0"/>
        <v>1Q15</v>
      </c>
      <c r="AI15" s="2272" t="str">
        <f t="shared" si="0"/>
        <v>2Q15</v>
      </c>
      <c r="AJ15" s="2272" t="str">
        <f t="shared" si="0"/>
        <v>3Q15</v>
      </c>
      <c r="AK15" s="2272" t="str">
        <f t="shared" si="0"/>
        <v>4Q15</v>
      </c>
      <c r="AL15" s="2273" t="str">
        <f t="shared" si="0"/>
        <v>1Q16</v>
      </c>
      <c r="AM15" s="2272" t="str">
        <f t="shared" si="0"/>
        <v>2Q16</v>
      </c>
      <c r="AN15" s="2272" t="str">
        <f t="shared" si="0"/>
        <v>3Q16</v>
      </c>
      <c r="AO15" s="2272" t="str">
        <f t="shared" si="0"/>
        <v>4Q16</v>
      </c>
      <c r="AP15" s="2273" t="str">
        <f t="shared" si="0"/>
        <v>1Q17</v>
      </c>
      <c r="AQ15" s="2272" t="str">
        <f t="shared" ref="AQ15:AS15" si="1">AQ4</f>
        <v>2Q17</v>
      </c>
      <c r="AR15" s="2272" t="str">
        <f t="shared" si="1"/>
        <v>3Q17</v>
      </c>
      <c r="AS15" s="2272" t="str">
        <f t="shared" si="1"/>
        <v>4Q17</v>
      </c>
      <c r="AT15" s="2273" t="str">
        <f t="shared" ref="AT15:AW15" si="2">AT4</f>
        <v>1Q18E</v>
      </c>
      <c r="AU15" s="2272" t="str">
        <f t="shared" si="2"/>
        <v>2Q18E</v>
      </c>
      <c r="AV15" s="2272" t="str">
        <f t="shared" si="2"/>
        <v>3Q18E</v>
      </c>
      <c r="AW15" s="2272" t="str">
        <f t="shared" si="2"/>
        <v>4Q18E</v>
      </c>
      <c r="AX15" s="2065"/>
      <c r="AY15" s="2065"/>
      <c r="AZ15" s="2065"/>
      <c r="BA15" s="2065"/>
      <c r="BB15" s="2065"/>
      <c r="BC15" s="2065"/>
      <c r="BD15" s="2065"/>
      <c r="BE15" s="2065"/>
      <c r="BF15" s="2065"/>
      <c r="BG15" s="2065"/>
      <c r="BH15" s="2065"/>
      <c r="BI15" s="2065"/>
      <c r="BJ15" s="2065"/>
      <c r="BK15" s="2065"/>
      <c r="BL15" s="2065"/>
      <c r="BM15" s="2065"/>
      <c r="BN15" s="2065"/>
      <c r="BO15" s="2065"/>
      <c r="BP15" s="2065"/>
      <c r="BQ15" s="2065"/>
      <c r="BR15" s="2065"/>
      <c r="BS15" s="2065"/>
      <c r="BT15" s="2065"/>
      <c r="BU15" s="2065"/>
      <c r="BV15" s="2065"/>
      <c r="BW15" s="2065"/>
    </row>
    <row r="16" spans="1:75">
      <c r="A16" s="2053" t="str">
        <f>A5</f>
        <v>BSI</v>
      </c>
      <c r="B16" s="2065"/>
      <c r="C16" s="2065"/>
      <c r="D16" s="2065"/>
      <c r="E16" s="2065"/>
      <c r="F16" s="2141" t="str">
        <f t="shared" ref="F16:O21" si="3">IFERROR(F5+B5,"NM")</f>
        <v>NM</v>
      </c>
      <c r="G16" s="2117" t="str">
        <f t="shared" si="3"/>
        <v>NM</v>
      </c>
      <c r="H16" s="2117" t="str">
        <f t="shared" si="3"/>
        <v>NM</v>
      </c>
      <c r="I16" s="2117" t="str">
        <f t="shared" si="3"/>
        <v>NM</v>
      </c>
      <c r="J16" s="2141">
        <f t="shared" si="3"/>
        <v>0.152</v>
      </c>
      <c r="K16" s="2117">
        <f t="shared" si="3"/>
        <v>7.0000000000000007E-2</v>
      </c>
      <c r="L16" s="2117">
        <f t="shared" si="3"/>
        <v>7.6999999999999999E-2</v>
      </c>
      <c r="M16" s="2117">
        <f t="shared" si="3"/>
        <v>-0.1433610970514666</v>
      </c>
      <c r="N16" s="2141">
        <f t="shared" si="3"/>
        <v>6.1999999999999993E-2</v>
      </c>
      <c r="O16" s="2117">
        <f t="shared" si="3"/>
        <v>5.3999999999999992E-2</v>
      </c>
      <c r="P16" s="2117">
        <f t="shared" ref="P16:Y21" si="4">IFERROR(P5+L5,"NM")</f>
        <v>0.24199999999999999</v>
      </c>
      <c r="Q16" s="2117">
        <f t="shared" si="4"/>
        <v>0.1946620450606586</v>
      </c>
      <c r="R16" s="2141">
        <f t="shared" si="4"/>
        <v>0.11899999999999999</v>
      </c>
      <c r="S16" s="2117">
        <f t="shared" si="4"/>
        <v>0.246</v>
      </c>
      <c r="T16" s="2117">
        <f t="shared" si="4"/>
        <v>0.25800000000000001</v>
      </c>
      <c r="U16" s="2117">
        <f t="shared" si="4"/>
        <v>0.27300000000000002</v>
      </c>
      <c r="V16" s="2141">
        <f t="shared" si="4"/>
        <v>0.157</v>
      </c>
      <c r="W16" s="2117">
        <f t="shared" si="4"/>
        <v>0.16399999999999998</v>
      </c>
      <c r="X16" s="2117">
        <f t="shared" si="4"/>
        <v>0.20400000000000001</v>
      </c>
      <c r="Y16" s="2117">
        <f t="shared" si="4"/>
        <v>0.21368305330844178</v>
      </c>
      <c r="Z16" s="2141">
        <f t="shared" ref="Z16:AI21" si="5">IFERROR(Z5+V5,"NM")</f>
        <v>0.114</v>
      </c>
      <c r="AA16" s="2117">
        <f t="shared" si="5"/>
        <v>0.17899999999999999</v>
      </c>
      <c r="AB16" s="2117">
        <f t="shared" si="5"/>
        <v>9.8000000000000004E-2</v>
      </c>
      <c r="AC16" s="2117">
        <f t="shared" si="5"/>
        <v>0.14968305330844178</v>
      </c>
      <c r="AD16" s="2145">
        <f t="shared" si="5"/>
        <v>5.6000000000000001E-2</v>
      </c>
      <c r="AE16" s="2054">
        <f t="shared" si="5"/>
        <v>5.1999999999999998E-2</v>
      </c>
      <c r="AF16" s="2054">
        <f t="shared" si="5"/>
        <v>-6.7999999999999991E-2</v>
      </c>
      <c r="AG16" s="2054">
        <f t="shared" si="5"/>
        <v>6.5000000000000002E-2</v>
      </c>
      <c r="AH16" s="2145">
        <f t="shared" si="5"/>
        <v>3.0000000000000006E-2</v>
      </c>
      <c r="AI16" s="2054">
        <f t="shared" si="5"/>
        <v>-1.9000000000000003E-2</v>
      </c>
      <c r="AJ16" s="2054">
        <f t="shared" ref="AJ16:AS21" si="6">IFERROR(AJ5+AF5,"NM")</f>
        <v>2.2000000000000006E-2</v>
      </c>
      <c r="AK16" s="2054">
        <f t="shared" si="6"/>
        <v>6.0000000000000001E-3</v>
      </c>
      <c r="AL16" s="2145">
        <f t="shared" si="6"/>
        <v>2.6000000000000002E-2</v>
      </c>
      <c r="AM16" s="2054">
        <f t="shared" si="6"/>
        <v>-8.0999999999999989E-2</v>
      </c>
      <c r="AN16" s="2054">
        <f t="shared" si="6"/>
        <v>5.7999999999999996E-2</v>
      </c>
      <c r="AO16" s="2054">
        <f t="shared" si="6"/>
        <v>-3.0000000000000001E-3</v>
      </c>
      <c r="AP16" s="2145">
        <f t="shared" si="6"/>
        <v>0.05</v>
      </c>
      <c r="AQ16" s="2054">
        <f t="shared" si="6"/>
        <v>-4.2999999999999997E-2</v>
      </c>
      <c r="AR16" s="2054">
        <f t="shared" si="6"/>
        <v>6.9999999999999993E-3</v>
      </c>
      <c r="AS16" s="2054">
        <f t="shared" si="6"/>
        <v>3.1000000000000003E-2</v>
      </c>
      <c r="AT16" s="2145">
        <f t="shared" ref="AT16:AT23" si="7">IFERROR(AT5+AP5,"NM")</f>
        <v>2.7315349630505661E-2</v>
      </c>
      <c r="AU16" s="2054">
        <f t="shared" ref="AU16:AU23" si="8">IFERROR(AU5+AQ5,"NM")</f>
        <v>6.3071614105248391E-2</v>
      </c>
      <c r="AV16" s="2054">
        <f t="shared" ref="AV16:AV23" si="9">IFERROR(AV5+AR5,"NM")</f>
        <v>5.0592824407807949E-2</v>
      </c>
      <c r="AW16" s="2054">
        <f t="shared" ref="AW16:AW23" si="10">IFERROR(AW5+AS5,"NM")</f>
        <v>4.5366178060758988E-2</v>
      </c>
    </row>
    <row r="17" spans="1:75">
      <c r="A17" s="2110" t="str">
        <f t="shared" ref="A17:A23" si="11">A6</f>
        <v xml:space="preserve">    BIOSPIN</v>
      </c>
      <c r="B17" s="2075"/>
      <c r="C17" s="2075"/>
      <c r="D17" s="2075"/>
      <c r="E17" s="2075"/>
      <c r="F17" s="2142" t="str">
        <f t="shared" si="3"/>
        <v>NM</v>
      </c>
      <c r="G17" s="2118" t="str">
        <f t="shared" si="3"/>
        <v>NM</v>
      </c>
      <c r="H17" s="2118" t="str">
        <f t="shared" si="3"/>
        <v>NM</v>
      </c>
      <c r="I17" s="2118" t="str">
        <f t="shared" si="3"/>
        <v>NM</v>
      </c>
      <c r="J17" s="2142" t="str">
        <f t="shared" si="3"/>
        <v>NM</v>
      </c>
      <c r="K17" s="2118" t="str">
        <f t="shared" si="3"/>
        <v>NM</v>
      </c>
      <c r="L17" s="2118" t="str">
        <f t="shared" si="3"/>
        <v>NM</v>
      </c>
      <c r="M17" s="2118" t="str">
        <f t="shared" si="3"/>
        <v>NM</v>
      </c>
      <c r="N17" s="2142" t="str">
        <f t="shared" si="3"/>
        <v>NM</v>
      </c>
      <c r="O17" s="2118" t="str">
        <f t="shared" si="3"/>
        <v>NM</v>
      </c>
      <c r="P17" s="2118" t="str">
        <f t="shared" si="4"/>
        <v>NM</v>
      </c>
      <c r="Q17" s="2118" t="str">
        <f t="shared" si="4"/>
        <v>NM</v>
      </c>
      <c r="R17" s="2142" t="str">
        <f t="shared" si="4"/>
        <v>NM</v>
      </c>
      <c r="S17" s="2118" t="str">
        <f t="shared" si="4"/>
        <v>NM</v>
      </c>
      <c r="T17" s="2118" t="str">
        <f t="shared" si="4"/>
        <v>NM</v>
      </c>
      <c r="U17" s="2118" t="str">
        <f t="shared" si="4"/>
        <v>NM</v>
      </c>
      <c r="V17" s="2142" t="str">
        <f t="shared" si="4"/>
        <v>NM</v>
      </c>
      <c r="W17" s="2118" t="str">
        <f t="shared" si="4"/>
        <v>NM</v>
      </c>
      <c r="X17" s="2118" t="str">
        <f t="shared" si="4"/>
        <v>NM</v>
      </c>
      <c r="Y17" s="2118" t="str">
        <f t="shared" si="4"/>
        <v>NM</v>
      </c>
      <c r="Z17" s="2142" t="str">
        <f t="shared" si="5"/>
        <v>NM</v>
      </c>
      <c r="AA17" s="2118" t="str">
        <f t="shared" si="5"/>
        <v>NM</v>
      </c>
      <c r="AB17" s="2118" t="str">
        <f t="shared" si="5"/>
        <v>NM</v>
      </c>
      <c r="AC17" s="2118" t="str">
        <f t="shared" si="5"/>
        <v>NM</v>
      </c>
      <c r="AD17" s="2159">
        <f t="shared" si="5"/>
        <v>0.11572318284960433</v>
      </c>
      <c r="AE17" s="2056">
        <f t="shared" si="5"/>
        <v>0.14247843354395148</v>
      </c>
      <c r="AF17" s="2056">
        <f t="shared" si="5"/>
        <v>-8.7815173519250334E-2</v>
      </c>
      <c r="AG17" s="2056">
        <f t="shared" si="5"/>
        <v>0.2922118754197624</v>
      </c>
      <c r="AH17" s="2159">
        <f t="shared" si="5"/>
        <v>-5.3515214178435688E-2</v>
      </c>
      <c r="AI17" s="2056">
        <f t="shared" si="5"/>
        <v>-1.0161290322580601E-2</v>
      </c>
      <c r="AJ17" s="2056">
        <f t="shared" si="6"/>
        <v>4.3896736483195288E-2</v>
      </c>
      <c r="AK17" s="2056">
        <f t="shared" si="6"/>
        <v>-6.7154404463770717E-2</v>
      </c>
      <c r="AL17" s="2159">
        <f t="shared" si="6"/>
        <v>8.4817828185613647E-3</v>
      </c>
      <c r="AM17" s="2056">
        <f t="shared" si="6"/>
        <v>-0.05</v>
      </c>
      <c r="AN17" s="2056">
        <f t="shared" si="6"/>
        <v>0.13</v>
      </c>
      <c r="AO17" s="2056">
        <f t="shared" si="6"/>
        <v>-5.0403409109834707E-2</v>
      </c>
      <c r="AP17" s="2159">
        <f t="shared" si="6"/>
        <v>0.13700000000000001</v>
      </c>
      <c r="AQ17" s="2056">
        <f t="shared" si="6"/>
        <v>3.4999999999999996E-2</v>
      </c>
      <c r="AR17" s="2056">
        <f t="shared" si="6"/>
        <v>0.05</v>
      </c>
      <c r="AS17" s="2056">
        <f t="shared" si="6"/>
        <v>-2.0000000000000018E-3</v>
      </c>
      <c r="AT17" s="2159">
        <f t="shared" si="7"/>
        <v>4.7E-2</v>
      </c>
      <c r="AU17" s="2056">
        <f t="shared" si="8"/>
        <v>7.4999999999999997E-2</v>
      </c>
      <c r="AV17" s="2056">
        <f t="shared" si="9"/>
        <v>0.03</v>
      </c>
      <c r="AW17" s="2056">
        <f t="shared" si="10"/>
        <v>-2.0000000000000018E-3</v>
      </c>
    </row>
    <row r="18" spans="1:75">
      <c r="A18" s="2111" t="str">
        <f t="shared" si="11"/>
        <v xml:space="preserve">    CALID</v>
      </c>
      <c r="B18" s="2065"/>
      <c r="C18" s="2065"/>
      <c r="D18" s="2065"/>
      <c r="E18" s="2065"/>
      <c r="F18" s="2143" t="str">
        <f t="shared" si="3"/>
        <v>NM</v>
      </c>
      <c r="G18" s="2057" t="str">
        <f t="shared" si="3"/>
        <v>NM</v>
      </c>
      <c r="H18" s="2057" t="str">
        <f t="shared" si="3"/>
        <v>NM</v>
      </c>
      <c r="I18" s="2057" t="str">
        <f t="shared" si="3"/>
        <v>NM</v>
      </c>
      <c r="J18" s="2143" t="str">
        <f t="shared" si="3"/>
        <v>NM</v>
      </c>
      <c r="K18" s="2057" t="str">
        <f t="shared" si="3"/>
        <v>NM</v>
      </c>
      <c r="L18" s="2057" t="str">
        <f t="shared" si="3"/>
        <v>NM</v>
      </c>
      <c r="M18" s="2057" t="str">
        <f t="shared" si="3"/>
        <v>NM</v>
      </c>
      <c r="N18" s="2143" t="str">
        <f t="shared" si="3"/>
        <v>NM</v>
      </c>
      <c r="O18" s="2057" t="str">
        <f t="shared" si="3"/>
        <v>NM</v>
      </c>
      <c r="P18" s="2057" t="str">
        <f t="shared" si="4"/>
        <v>NM</v>
      </c>
      <c r="Q18" s="2057" t="str">
        <f t="shared" si="4"/>
        <v>NM</v>
      </c>
      <c r="R18" s="2143" t="str">
        <f t="shared" si="4"/>
        <v>NM</v>
      </c>
      <c r="S18" s="2057" t="str">
        <f t="shared" si="4"/>
        <v>NM</v>
      </c>
      <c r="T18" s="2057" t="str">
        <f t="shared" si="4"/>
        <v>NM</v>
      </c>
      <c r="U18" s="2057" t="str">
        <f t="shared" si="4"/>
        <v>NM</v>
      </c>
      <c r="V18" s="2143" t="str">
        <f t="shared" si="4"/>
        <v>NM</v>
      </c>
      <c r="W18" s="2057" t="str">
        <f t="shared" si="4"/>
        <v>NM</v>
      </c>
      <c r="X18" s="2057" t="str">
        <f t="shared" si="4"/>
        <v>NM</v>
      </c>
      <c r="Y18" s="2057" t="str">
        <f t="shared" si="4"/>
        <v>NM</v>
      </c>
      <c r="Z18" s="2143" t="str">
        <f t="shared" si="5"/>
        <v>NM</v>
      </c>
      <c r="AA18" s="2057" t="str">
        <f t="shared" si="5"/>
        <v>NM</v>
      </c>
      <c r="AB18" s="2057" t="str">
        <f t="shared" si="5"/>
        <v>NM</v>
      </c>
      <c r="AC18" s="2057" t="str">
        <f t="shared" si="5"/>
        <v>NM</v>
      </c>
      <c r="AD18" s="2143">
        <f t="shared" si="5"/>
        <v>7.2318284960441737E-4</v>
      </c>
      <c r="AE18" s="2057">
        <f t="shared" si="5"/>
        <v>0.16551081439854809</v>
      </c>
      <c r="AF18" s="2057">
        <f t="shared" si="5"/>
        <v>0.10831888431336664</v>
      </c>
      <c r="AG18" s="2057">
        <f t="shared" si="5"/>
        <v>2.7860616711197571E-2</v>
      </c>
      <c r="AH18" s="2143">
        <f t="shared" si="5"/>
        <v>0.11800300300300311</v>
      </c>
      <c r="AI18" s="2057">
        <f t="shared" si="5"/>
        <v>-3.0815998791408734E-2</v>
      </c>
      <c r="AJ18" s="2057">
        <f t="shared" si="6"/>
        <v>0.23156001689242739</v>
      </c>
      <c r="AK18" s="2057">
        <f t="shared" si="6"/>
        <v>8.8080307606347163E-3</v>
      </c>
      <c r="AL18" s="2143">
        <f t="shared" si="6"/>
        <v>7.5000000000000011E-2</v>
      </c>
      <c r="AM18" s="2057">
        <f t="shared" si="6"/>
        <v>-9.4E-2</v>
      </c>
      <c r="AN18" s="2057">
        <f t="shared" si="6"/>
        <v>0.15002922257661516</v>
      </c>
      <c r="AO18" s="2057">
        <f t="shared" si="6"/>
        <v>3.6910284823135492E-2</v>
      </c>
      <c r="AP18" s="2143">
        <f t="shared" si="6"/>
        <v>-1.4999999999999999E-2</v>
      </c>
      <c r="AQ18" s="2057">
        <f t="shared" si="6"/>
        <v>0.03</v>
      </c>
      <c r="AR18" s="2057">
        <f t="shared" si="6"/>
        <v>-1.6500000000000001E-2</v>
      </c>
      <c r="AS18" s="2057">
        <f t="shared" si="6"/>
        <v>3.2000000000000223E-3</v>
      </c>
      <c r="AT18" s="2143">
        <f t="shared" si="7"/>
        <v>3.4999999999999989E-2</v>
      </c>
      <c r="AU18" s="2057">
        <f t="shared" si="8"/>
        <v>0.14000000000000001</v>
      </c>
      <c r="AV18" s="2057">
        <f t="shared" si="9"/>
        <v>0.09</v>
      </c>
      <c r="AW18" s="2057">
        <f t="shared" si="10"/>
        <v>7.1200000000000013E-2</v>
      </c>
    </row>
    <row r="19" spans="1:75">
      <c r="A19" s="2110" t="str">
        <f t="shared" si="11"/>
        <v xml:space="preserve">    NANO</v>
      </c>
      <c r="B19" s="2075"/>
      <c r="C19" s="2075"/>
      <c r="D19" s="2075"/>
      <c r="E19" s="2075"/>
      <c r="F19" s="2142" t="str">
        <f t="shared" si="3"/>
        <v>NM</v>
      </c>
      <c r="G19" s="2118" t="str">
        <f t="shared" si="3"/>
        <v>NM</v>
      </c>
      <c r="H19" s="2118" t="str">
        <f t="shared" si="3"/>
        <v>NM</v>
      </c>
      <c r="I19" s="2118" t="str">
        <f t="shared" si="3"/>
        <v>NM</v>
      </c>
      <c r="J19" s="2142" t="str">
        <f t="shared" si="3"/>
        <v>NM</v>
      </c>
      <c r="K19" s="2118" t="str">
        <f t="shared" si="3"/>
        <v>NM</v>
      </c>
      <c r="L19" s="2118" t="str">
        <f t="shared" si="3"/>
        <v>NM</v>
      </c>
      <c r="M19" s="2118" t="str">
        <f t="shared" si="3"/>
        <v>NM</v>
      </c>
      <c r="N19" s="2142" t="str">
        <f t="shared" si="3"/>
        <v>NM</v>
      </c>
      <c r="O19" s="2118" t="str">
        <f t="shared" si="3"/>
        <v>NM</v>
      </c>
      <c r="P19" s="2118" t="str">
        <f t="shared" si="4"/>
        <v>NM</v>
      </c>
      <c r="Q19" s="2118" t="str">
        <f t="shared" si="4"/>
        <v>NM</v>
      </c>
      <c r="R19" s="2142" t="str">
        <f t="shared" si="4"/>
        <v>NM</v>
      </c>
      <c r="S19" s="2118" t="str">
        <f t="shared" si="4"/>
        <v>NM</v>
      </c>
      <c r="T19" s="2118" t="str">
        <f t="shared" si="4"/>
        <v>NM</v>
      </c>
      <c r="U19" s="2118" t="str">
        <f t="shared" si="4"/>
        <v>NM</v>
      </c>
      <c r="V19" s="2142" t="str">
        <f t="shared" si="4"/>
        <v>NM</v>
      </c>
      <c r="W19" s="2118" t="str">
        <f t="shared" si="4"/>
        <v>NM</v>
      </c>
      <c r="X19" s="2118" t="str">
        <f t="shared" si="4"/>
        <v>NM</v>
      </c>
      <c r="Y19" s="2118" t="str">
        <f t="shared" si="4"/>
        <v>NM</v>
      </c>
      <c r="Z19" s="2142" t="str">
        <f t="shared" si="5"/>
        <v>NM</v>
      </c>
      <c r="AA19" s="2118" t="str">
        <f t="shared" si="5"/>
        <v>NM</v>
      </c>
      <c r="AB19" s="2118" t="str">
        <f t="shared" si="5"/>
        <v>NM</v>
      </c>
      <c r="AC19" s="2118" t="str">
        <f t="shared" si="5"/>
        <v>NM</v>
      </c>
      <c r="AD19" s="2159">
        <f t="shared" si="5"/>
        <v>5.2385951202166089E-2</v>
      </c>
      <c r="AE19" s="2056">
        <f t="shared" si="5"/>
        <v>-0.10943047249637407</v>
      </c>
      <c r="AF19" s="2056">
        <f t="shared" si="5"/>
        <v>-0.12266507955964895</v>
      </c>
      <c r="AG19" s="2056">
        <f t="shared" si="5"/>
        <v>-8.0083664524440518E-2</v>
      </c>
      <c r="AH19" s="2159">
        <f t="shared" si="5"/>
        <v>7.6300794721248344E-2</v>
      </c>
      <c r="AI19" s="2056">
        <f t="shared" si="5"/>
        <v>4.5187305934494999E-3</v>
      </c>
      <c r="AJ19" s="2056">
        <f t="shared" si="6"/>
        <v>-0.15043398492198318</v>
      </c>
      <c r="AK19" s="2056">
        <f t="shared" si="6"/>
        <v>0.10527339999232696</v>
      </c>
      <c r="AL19" s="2159">
        <f t="shared" si="6"/>
        <v>1.9315202769967978E-3</v>
      </c>
      <c r="AM19" s="2056">
        <f t="shared" si="6"/>
        <v>-0.15</v>
      </c>
      <c r="AN19" s="2056">
        <f t="shared" si="6"/>
        <v>-0.156</v>
      </c>
      <c r="AO19" s="2056">
        <f t="shared" si="6"/>
        <v>-6.9620380771150125E-4</v>
      </c>
      <c r="AP19" s="2159">
        <f t="shared" si="6"/>
        <v>2.2770020276996806E-2</v>
      </c>
      <c r="AQ19" s="2056">
        <f t="shared" si="6"/>
        <v>-0.20299999999999999</v>
      </c>
      <c r="AR19" s="2056">
        <f t="shared" si="6"/>
        <v>1.079999999999999E-2</v>
      </c>
      <c r="AS19" s="2056">
        <f t="shared" si="6"/>
        <v>7.6500000000000012E-2</v>
      </c>
      <c r="AT19" s="2159">
        <f t="shared" si="7"/>
        <v>8.0838500000000008E-2</v>
      </c>
      <c r="AU19" s="2056">
        <f t="shared" si="8"/>
        <v>5.2000000000000005E-2</v>
      </c>
      <c r="AV19" s="2056">
        <f t="shared" si="9"/>
        <v>5.6799999999999989E-2</v>
      </c>
      <c r="AW19" s="2056">
        <f t="shared" si="10"/>
        <v>0.11</v>
      </c>
    </row>
    <row r="20" spans="1:75">
      <c r="A20" s="2053" t="str">
        <f t="shared" si="11"/>
        <v>BEST</v>
      </c>
      <c r="B20" s="2065"/>
      <c r="C20" s="2065"/>
      <c r="D20" s="2065"/>
      <c r="E20" s="2065"/>
      <c r="F20" s="2143" t="str">
        <f t="shared" si="3"/>
        <v>NM</v>
      </c>
      <c r="G20" s="2057" t="str">
        <f t="shared" si="3"/>
        <v>NM</v>
      </c>
      <c r="H20" s="2057" t="str">
        <f t="shared" si="3"/>
        <v>NM</v>
      </c>
      <c r="I20" s="2057" t="str">
        <f t="shared" si="3"/>
        <v>NM</v>
      </c>
      <c r="J20" s="2143">
        <f t="shared" si="3"/>
        <v>1.8999999999999996E-2</v>
      </c>
      <c r="K20" s="2057">
        <f t="shared" si="3"/>
        <v>0.436</v>
      </c>
      <c r="L20" s="2057">
        <f t="shared" si="3"/>
        <v>0.36599999999999999</v>
      </c>
      <c r="M20" s="2057">
        <f t="shared" si="3"/>
        <v>0.80599051730784055</v>
      </c>
      <c r="N20" s="2143">
        <f t="shared" si="3"/>
        <v>1.4830000000000001</v>
      </c>
      <c r="O20" s="2057">
        <f t="shared" si="3"/>
        <v>0.66500000000000004</v>
      </c>
      <c r="P20" s="2057">
        <f t="shared" si="4"/>
        <v>1.2</v>
      </c>
      <c r="Q20" s="2057">
        <f t="shared" si="4"/>
        <v>0.91440336134453792</v>
      </c>
      <c r="R20" s="2143">
        <f t="shared" si="4"/>
        <v>1.5760000000000001</v>
      </c>
      <c r="S20" s="2057">
        <f t="shared" si="4"/>
        <v>0.79</v>
      </c>
      <c r="T20" s="2057">
        <f t="shared" si="4"/>
        <v>0.86799999999999999</v>
      </c>
      <c r="U20" s="2057">
        <f t="shared" si="4"/>
        <v>0.48599999999999999</v>
      </c>
      <c r="V20" s="2143">
        <f t="shared" si="4"/>
        <v>0.47299999999999998</v>
      </c>
      <c r="W20" s="2057">
        <f t="shared" si="4"/>
        <v>0.41300000000000003</v>
      </c>
      <c r="X20" s="2057">
        <f t="shared" si="4"/>
        <v>0.85499999999999998</v>
      </c>
      <c r="Y20" s="2057">
        <f t="shared" si="4"/>
        <v>0.32266666666666688</v>
      </c>
      <c r="Z20" s="2143">
        <f t="shared" si="5"/>
        <v>0.33699999999999997</v>
      </c>
      <c r="AA20" s="2057">
        <f t="shared" si="5"/>
        <v>0.43200000000000005</v>
      </c>
      <c r="AB20" s="2057">
        <f t="shared" si="5"/>
        <v>0.45499999999999996</v>
      </c>
      <c r="AC20" s="2057">
        <f t="shared" si="5"/>
        <v>0.3406666666666669</v>
      </c>
      <c r="AD20" s="2143">
        <f t="shared" si="5"/>
        <v>0.107</v>
      </c>
      <c r="AE20" s="2057">
        <f t="shared" si="5"/>
        <v>0.46300000000000002</v>
      </c>
      <c r="AF20" s="2057">
        <f t="shared" si="5"/>
        <v>-4.5000000000000012E-2</v>
      </c>
      <c r="AG20" s="2057">
        <f t="shared" si="5"/>
        <v>3.3000000000000002E-2</v>
      </c>
      <c r="AH20" s="2143">
        <f t="shared" si="5"/>
        <v>3.2999999999999995E-2</v>
      </c>
      <c r="AI20" s="2057">
        <f t="shared" si="5"/>
        <v>-1.8000000000000002E-2</v>
      </c>
      <c r="AJ20" s="2057">
        <f t="shared" si="6"/>
        <v>0.2</v>
      </c>
      <c r="AK20" s="2057">
        <f t="shared" si="6"/>
        <v>0.17600000000000002</v>
      </c>
      <c r="AL20" s="2143">
        <f t="shared" si="6"/>
        <v>-3.9E-2</v>
      </c>
      <c r="AM20" s="2057">
        <f t="shared" si="6"/>
        <v>-0.16967532467532467</v>
      </c>
      <c r="AN20" s="2057">
        <f t="shared" si="6"/>
        <v>5.5000000000000007E-2</v>
      </c>
      <c r="AO20" s="2057">
        <f t="shared" si="6"/>
        <v>0.1154</v>
      </c>
      <c r="AP20" s="2143">
        <f t="shared" si="6"/>
        <v>3.1E-2</v>
      </c>
      <c r="AQ20" s="2057">
        <f t="shared" si="6"/>
        <v>0.34332467532467531</v>
      </c>
      <c r="AR20" s="2057">
        <f t="shared" si="6"/>
        <v>-1.6E-2</v>
      </c>
      <c r="AS20" s="2057">
        <f t="shared" si="6"/>
        <v>-8.5599999999999996E-2</v>
      </c>
      <c r="AT20" s="2143">
        <f t="shared" si="7"/>
        <v>5.8999999999999997E-2</v>
      </c>
      <c r="AU20" s="2057">
        <f t="shared" si="8"/>
        <v>0.312</v>
      </c>
      <c r="AV20" s="2057">
        <f t="shared" si="9"/>
        <v>-1.7000000000000001E-2</v>
      </c>
      <c r="AW20" s="2057">
        <f t="shared" si="10"/>
        <v>6.6000000000000003E-2</v>
      </c>
    </row>
    <row r="21" spans="1:75">
      <c r="A21" s="2109" t="str">
        <f t="shared" si="11"/>
        <v>Organic Growth</v>
      </c>
      <c r="B21" s="2115"/>
      <c r="C21" s="2115"/>
      <c r="D21" s="2115"/>
      <c r="E21" s="2115"/>
      <c r="F21" s="2144">
        <f t="shared" si="3"/>
        <v>0.156</v>
      </c>
      <c r="G21" s="2115">
        <f t="shared" si="3"/>
        <v>0.36399999999999999</v>
      </c>
      <c r="H21" s="2115">
        <f t="shared" si="3"/>
        <v>0.14500000000000002</v>
      </c>
      <c r="I21" s="2115">
        <f t="shared" si="3"/>
        <v>0.23</v>
      </c>
      <c r="J21" s="2144">
        <f t="shared" si="3"/>
        <v>9.5000000000000001E-2</v>
      </c>
      <c r="K21" s="2115">
        <f t="shared" si="3"/>
        <v>8.3000000000000004E-2</v>
      </c>
      <c r="L21" s="2115">
        <f t="shared" si="3"/>
        <v>5.9000000000000004E-2</v>
      </c>
      <c r="M21" s="2115">
        <f t="shared" si="3"/>
        <v>0.03</v>
      </c>
      <c r="N21" s="2144">
        <f t="shared" si="3"/>
        <v>0.16899999999999998</v>
      </c>
      <c r="O21" s="2115">
        <f t="shared" si="3"/>
        <v>8.900000000000001E-2</v>
      </c>
      <c r="P21" s="2115">
        <f t="shared" si="4"/>
        <v>0.28799999999999998</v>
      </c>
      <c r="Q21" s="2115">
        <f t="shared" si="4"/>
        <v>0.23</v>
      </c>
      <c r="R21" s="2144">
        <f t="shared" si="4"/>
        <v>0.16899999999999998</v>
      </c>
      <c r="S21" s="2115">
        <f t="shared" si="4"/>
        <v>0.27500000000000002</v>
      </c>
      <c r="T21" s="2115">
        <f t="shared" si="4"/>
        <v>0.28299999999999997</v>
      </c>
      <c r="U21" s="2115">
        <f t="shared" si="4"/>
        <v>0.29200000000000004</v>
      </c>
      <c r="V21" s="2144">
        <f t="shared" si="4"/>
        <v>0.182</v>
      </c>
      <c r="W21" s="2115">
        <f t="shared" si="4"/>
        <v>0.17899999999999999</v>
      </c>
      <c r="X21" s="2115">
        <f t="shared" si="4"/>
        <v>0.247</v>
      </c>
      <c r="Y21" s="2115">
        <f t="shared" si="4"/>
        <v>0.22399999999999998</v>
      </c>
      <c r="Z21" s="2144">
        <f t="shared" si="5"/>
        <v>0.126</v>
      </c>
      <c r="AA21" s="2115">
        <f t="shared" si="5"/>
        <v>0.19900000000000001</v>
      </c>
      <c r="AB21" s="2115">
        <f t="shared" si="5"/>
        <v>0.11400000000000002</v>
      </c>
      <c r="AC21" s="2115">
        <f t="shared" si="5"/>
        <v>0.16399999999999998</v>
      </c>
      <c r="AD21" s="2144">
        <f t="shared" si="5"/>
        <v>5.5000000000000007E-2</v>
      </c>
      <c r="AE21" s="2115">
        <f t="shared" si="5"/>
        <v>7.1000000000000008E-2</v>
      </c>
      <c r="AF21" s="2115">
        <f t="shared" si="5"/>
        <v>-7.2000000000000008E-2</v>
      </c>
      <c r="AG21" s="2115">
        <f t="shared" si="5"/>
        <v>5.7000000000000002E-2</v>
      </c>
      <c r="AH21" s="2144">
        <f t="shared" si="5"/>
        <v>3.6000000000000004E-2</v>
      </c>
      <c r="AI21" s="2115">
        <f t="shared" si="5"/>
        <v>-1.7000000000000001E-2</v>
      </c>
      <c r="AJ21" s="2115">
        <f t="shared" si="6"/>
        <v>3.3000000000000002E-2</v>
      </c>
      <c r="AK21" s="2115">
        <f t="shared" si="6"/>
        <v>0.02</v>
      </c>
      <c r="AL21" s="2144">
        <f t="shared" si="6"/>
        <v>2.5951909476661844E-2</v>
      </c>
      <c r="AM21" s="2115">
        <f t="shared" si="6"/>
        <v>-8.536363636363628E-2</v>
      </c>
      <c r="AN21" s="2115">
        <f t="shared" si="6"/>
        <v>5.7445847008331163E-2</v>
      </c>
      <c r="AO21" s="2115">
        <f t="shared" si="6"/>
        <v>2.4445800809589219E-3</v>
      </c>
      <c r="AP21" s="2144">
        <f t="shared" si="6"/>
        <v>4.8182916402607461E-2</v>
      </c>
      <c r="AQ21" s="2115">
        <f t="shared" si="6"/>
        <v>-1.6140876073079513E-2</v>
      </c>
      <c r="AR21" s="2115">
        <f t="shared" si="6"/>
        <v>9.9477510448886738E-3</v>
      </c>
      <c r="AS21" s="2115">
        <f t="shared" si="6"/>
        <v>1.775524019585633E-2</v>
      </c>
      <c r="AT21" s="2144">
        <f t="shared" si="7"/>
        <v>2.629641287269608E-2</v>
      </c>
      <c r="AU21" s="2115">
        <f t="shared" si="8"/>
        <v>7.2875629361442457E-2</v>
      </c>
      <c r="AV21" s="2115">
        <f t="shared" si="9"/>
        <v>4.3912140994271653E-2</v>
      </c>
      <c r="AW21" s="2115">
        <f t="shared" si="10"/>
        <v>4.6680432525591384E-2</v>
      </c>
      <c r="AX21" s="2065"/>
      <c r="AY21" s="2065"/>
      <c r="AZ21" s="2065"/>
      <c r="BA21" s="2065"/>
      <c r="BB21" s="2065"/>
      <c r="BC21" s="2065"/>
      <c r="BD21" s="2065"/>
      <c r="BE21" s="2065"/>
      <c r="BF21" s="2065"/>
      <c r="BG21" s="2065"/>
      <c r="BH21" s="2065"/>
      <c r="BI21" s="2065"/>
      <c r="BJ21" s="2065"/>
      <c r="BK21" s="2065"/>
      <c r="BL21" s="2065"/>
      <c r="BM21" s="2065"/>
      <c r="BN21" s="2065"/>
      <c r="BO21" s="2065"/>
      <c r="BP21" s="2065"/>
      <c r="BQ21" s="2065"/>
      <c r="BR21" s="2065"/>
      <c r="BS21" s="2065"/>
      <c r="BT21" s="2065"/>
      <c r="BU21" s="2065"/>
      <c r="BV21" s="2065"/>
      <c r="BW21" s="2065"/>
    </row>
    <row r="22" spans="1:75">
      <c r="A22" s="2060" t="str">
        <f t="shared" si="11"/>
        <v>US (reported)</v>
      </c>
      <c r="B22" s="2054"/>
      <c r="C22" s="2054"/>
      <c r="D22" s="2054"/>
      <c r="E22" s="2054"/>
      <c r="F22" s="2145"/>
      <c r="G22" s="2054"/>
      <c r="H22" s="2054"/>
      <c r="I22" s="2054"/>
      <c r="J22" s="2145"/>
      <c r="K22" s="2054"/>
      <c r="L22" s="2054"/>
      <c r="M22" s="2054"/>
      <c r="N22" s="2145"/>
      <c r="O22" s="2054"/>
      <c r="P22" s="2054"/>
      <c r="Q22" s="2054"/>
      <c r="R22" s="2141"/>
      <c r="S22" s="2117"/>
      <c r="T22" s="2117"/>
      <c r="U22" s="2117"/>
      <c r="V22" s="2141">
        <f t="shared" ref="V22:AE23" si="12">IFERROR(V11+R11,"NM")</f>
        <v>0.46743681242661661</v>
      </c>
      <c r="W22" s="2117">
        <f t="shared" si="12"/>
        <v>0.41318840073014251</v>
      </c>
      <c r="X22" s="2117">
        <f t="shared" si="12"/>
        <v>0.45187320870716352</v>
      </c>
      <c r="Y22" s="2117">
        <f t="shared" si="12"/>
        <v>0.28119447164476452</v>
      </c>
      <c r="Z22" s="2141">
        <f t="shared" si="12"/>
        <v>0.17869660327263959</v>
      </c>
      <c r="AA22" s="2117">
        <f t="shared" si="12"/>
        <v>0.18367704764337134</v>
      </c>
      <c r="AB22" s="2117">
        <f t="shared" si="12"/>
        <v>0.1142944501622134</v>
      </c>
      <c r="AC22" s="2117">
        <f t="shared" si="12"/>
        <v>0.215893833005388</v>
      </c>
      <c r="AD22" s="2145">
        <f t="shared" si="12"/>
        <v>8.0913698138617596E-2</v>
      </c>
      <c r="AE22" s="2054">
        <f t="shared" si="12"/>
        <v>0.10597467943799166</v>
      </c>
      <c r="AF22" s="2054">
        <f t="shared" ref="AF22:AO23" si="13">IFERROR(AF11+AB11,"NM")</f>
        <v>-4.1719348438032489E-2</v>
      </c>
      <c r="AG22" s="2054">
        <f t="shared" si="13"/>
        <v>-5.9220510272617322E-4</v>
      </c>
      <c r="AH22" s="2145">
        <f t="shared" si="13"/>
        <v>9.2285110777646784E-2</v>
      </c>
      <c r="AI22" s="2054">
        <f t="shared" si="13"/>
        <v>4.829279229232053E-2</v>
      </c>
      <c r="AJ22" s="2054">
        <f t="shared" si="13"/>
        <v>7.9386651760312565E-2</v>
      </c>
      <c r="AK22" s="2054">
        <f t="shared" si="13"/>
        <v>3.7373893066351638E-2</v>
      </c>
      <c r="AL22" s="2145">
        <f t="shared" si="13"/>
        <v>0.11682458892177539</v>
      </c>
      <c r="AM22" s="2054">
        <f t="shared" si="13"/>
        <v>1.1316866390397418E-2</v>
      </c>
      <c r="AN22" s="2054">
        <f t="shared" si="13"/>
        <v>0.15966501020541624</v>
      </c>
      <c r="AO22" s="2054">
        <f t="shared" si="13"/>
        <v>0.1448133680238628</v>
      </c>
      <c r="AP22" s="2145">
        <f t="shared" ref="AP22:AS23" si="14">IFERROR(AP11+AL11,"NM")</f>
        <v>0.22997367594040319</v>
      </c>
      <c r="AQ22" s="2054">
        <f t="shared" si="14"/>
        <v>0.18100220802078271</v>
      </c>
      <c r="AR22" s="2054">
        <f t="shared" si="14"/>
        <v>0.23395358489992657</v>
      </c>
      <c r="AS22" s="2054">
        <f t="shared" si="14"/>
        <v>0.24365268757887493</v>
      </c>
      <c r="AT22" s="2145">
        <f t="shared" si="7"/>
        <v>0.12605248727632112</v>
      </c>
      <c r="AU22" s="2054">
        <f t="shared" si="8"/>
        <v>0.16294321292773462</v>
      </c>
      <c r="AV22" s="2054">
        <f t="shared" si="9"/>
        <v>0.14121749091174873</v>
      </c>
      <c r="AW22" s="2054">
        <f t="shared" si="10"/>
        <v>0.17944112458005756</v>
      </c>
      <c r="AX22" s="2065"/>
      <c r="AY22" s="2065"/>
      <c r="AZ22" s="2065"/>
      <c r="BA22" s="2065"/>
      <c r="BB22" s="2065"/>
      <c r="BC22" s="2065"/>
      <c r="BD22" s="2065"/>
      <c r="BE22" s="2065"/>
      <c r="BF22" s="2065"/>
      <c r="BG22" s="2065"/>
      <c r="BH22" s="2065"/>
      <c r="BI22" s="2065"/>
      <c r="BJ22" s="2065"/>
      <c r="BK22" s="2065"/>
      <c r="BL22" s="2065"/>
      <c r="BM22" s="2065"/>
      <c r="BN22" s="2065"/>
      <c r="BO22" s="2065"/>
      <c r="BP22" s="2065"/>
      <c r="BQ22" s="2065"/>
      <c r="BR22" s="2065"/>
      <c r="BS22" s="2065"/>
      <c r="BT22" s="2065"/>
      <c r="BU22" s="2065"/>
      <c r="BV22" s="2065"/>
      <c r="BW22" s="2065"/>
    </row>
    <row r="23" spans="1:75">
      <c r="A23" s="2059" t="str">
        <f t="shared" si="11"/>
        <v>International (reported)</v>
      </c>
      <c r="B23" s="2116"/>
      <c r="C23" s="2116"/>
      <c r="D23" s="2116"/>
      <c r="E23" s="2116"/>
      <c r="F23" s="2146"/>
      <c r="G23" s="2116"/>
      <c r="H23" s="2116"/>
      <c r="I23" s="2116"/>
      <c r="J23" s="2146"/>
      <c r="K23" s="2116"/>
      <c r="L23" s="2116"/>
      <c r="M23" s="2116"/>
      <c r="N23" s="2146"/>
      <c r="O23" s="2116"/>
      <c r="P23" s="2116"/>
      <c r="Q23" s="2116"/>
      <c r="R23" s="2146"/>
      <c r="S23" s="2116"/>
      <c r="T23" s="2116"/>
      <c r="U23" s="2116"/>
      <c r="V23" s="2146">
        <f t="shared" si="12"/>
        <v>0.41339773687633885</v>
      </c>
      <c r="W23" s="2116">
        <f t="shared" si="12"/>
        <v>0.37706167304857674</v>
      </c>
      <c r="X23" s="2116">
        <f t="shared" si="12"/>
        <v>0.41386960795614924</v>
      </c>
      <c r="Y23" s="2116">
        <f t="shared" si="12"/>
        <v>0.22095545605660982</v>
      </c>
      <c r="Z23" s="2146">
        <f t="shared" si="12"/>
        <v>9.1842105957224751E-2</v>
      </c>
      <c r="AA23" s="2116">
        <f t="shared" si="12"/>
        <v>0.12031689534091683</v>
      </c>
      <c r="AB23" s="2116">
        <f t="shared" si="12"/>
        <v>3.8493910117754271E-2</v>
      </c>
      <c r="AC23" s="2116">
        <f t="shared" si="12"/>
        <v>0.14509291371499078</v>
      </c>
      <c r="AD23" s="2146">
        <f t="shared" si="12"/>
        <v>4.0317664854815805E-2</v>
      </c>
      <c r="AE23" s="2116">
        <f t="shared" si="12"/>
        <v>8.3946420473980821E-2</v>
      </c>
      <c r="AF23" s="2116">
        <f t="shared" si="13"/>
        <v>-6.700320607249044E-2</v>
      </c>
      <c r="AG23" s="2116">
        <f t="shared" si="13"/>
        <v>-1.3726616413684778E-2</v>
      </c>
      <c r="AH23" s="2146">
        <f t="shared" si="13"/>
        <v>-0.13495442644017197</v>
      </c>
      <c r="AI23" s="2116">
        <f t="shared" si="13"/>
        <v>-0.17416885610391941</v>
      </c>
      <c r="AJ23" s="2116">
        <f t="shared" si="13"/>
        <v>-0.14645210439769318</v>
      </c>
      <c r="AK23" s="2116">
        <f t="shared" si="13"/>
        <v>-0.1839019411799353</v>
      </c>
      <c r="AL23" s="2146">
        <f t="shared" si="13"/>
        <v>-0.16862078823206705</v>
      </c>
      <c r="AM23" s="2116">
        <f t="shared" si="13"/>
        <v>-0.25622008989396494</v>
      </c>
      <c r="AN23" s="2116">
        <f t="shared" si="13"/>
        <v>-0.126902668506366</v>
      </c>
      <c r="AO23" s="2116">
        <f t="shared" si="13"/>
        <v>-0.13956776764336742</v>
      </c>
      <c r="AP23" s="2146">
        <f t="shared" si="14"/>
        <v>4.3596557034546901E-2</v>
      </c>
      <c r="AQ23" s="2116">
        <f t="shared" si="14"/>
        <v>1.6267496784162394E-2</v>
      </c>
      <c r="AR23" s="2116">
        <f t="shared" si="14"/>
        <v>5.9424069750182107E-2</v>
      </c>
      <c r="AS23" s="2116">
        <f t="shared" si="14"/>
        <v>7.1047775567142479E-2</v>
      </c>
      <c r="AT23" s="2146">
        <f t="shared" si="7"/>
        <v>0.12605248727632135</v>
      </c>
      <c r="AU23" s="2116">
        <f t="shared" si="8"/>
        <v>0.16294321292773462</v>
      </c>
      <c r="AV23" s="2116">
        <f t="shared" si="9"/>
        <v>0.14121749091174829</v>
      </c>
      <c r="AW23" s="2116">
        <f t="shared" si="10"/>
        <v>0.17944112458005779</v>
      </c>
      <c r="AY23" s="2065"/>
      <c r="AZ23" s="2065"/>
    </row>
    <row r="24" spans="1:75" s="2065" customFormat="1" hidden="1" outlineLevel="1">
      <c r="A24" s="2076"/>
      <c r="B24" s="2076"/>
      <c r="C24" s="2076"/>
      <c r="D24" s="2076"/>
      <c r="E24" s="2076"/>
      <c r="F24" s="2076"/>
      <c r="G24" s="2076"/>
      <c r="H24" s="2076"/>
      <c r="I24" s="2076"/>
      <c r="J24" s="2076"/>
      <c r="K24" s="2076"/>
      <c r="L24" s="2076"/>
      <c r="M24" s="2076"/>
      <c r="N24" s="2076"/>
      <c r="O24" s="2076"/>
      <c r="P24" s="2076"/>
      <c r="Q24" s="2076"/>
      <c r="R24" s="2076"/>
      <c r="S24" s="2076"/>
      <c r="T24" s="2076"/>
      <c r="U24" s="2076"/>
      <c r="V24" s="2076"/>
      <c r="W24" s="2076"/>
      <c r="X24" s="2076"/>
      <c r="Y24" s="2076"/>
      <c r="Z24" s="2076"/>
      <c r="AA24" s="2076"/>
      <c r="AB24" s="2076"/>
      <c r="AC24" s="2076"/>
      <c r="AD24" s="2076"/>
      <c r="AE24" s="2076"/>
      <c r="AF24" s="2076"/>
      <c r="AG24" s="2076"/>
      <c r="AH24" s="2076"/>
      <c r="AI24" s="2077"/>
      <c r="AJ24" s="2076"/>
      <c r="AK24" s="2076"/>
      <c r="AL24" s="2076"/>
      <c r="AM24" s="2076"/>
      <c r="AN24" s="2076"/>
      <c r="AO24" s="2076"/>
      <c r="AP24" s="2076"/>
      <c r="AQ24" s="2076"/>
      <c r="AR24" s="2076"/>
      <c r="AS24" s="2076"/>
      <c r="AT24" s="2076"/>
      <c r="AU24" s="2076"/>
      <c r="AV24" s="2076"/>
      <c r="AW24" s="2076"/>
      <c r="AX24" s="2081"/>
      <c r="AY24" s="2081"/>
      <c r="AZ24" s="2081"/>
      <c r="BA24" s="2081"/>
      <c r="BB24" s="2081"/>
      <c r="BC24" s="2081"/>
      <c r="BD24" s="2081"/>
      <c r="BE24" s="2081"/>
      <c r="BF24" s="2081"/>
      <c r="BG24" s="2081"/>
      <c r="BH24" s="2081"/>
      <c r="BI24" s="2081"/>
      <c r="BJ24" s="2081"/>
      <c r="BK24" s="2081"/>
      <c r="BL24" s="2081"/>
      <c r="BM24" s="2081"/>
      <c r="BN24" s="2081"/>
      <c r="BO24" s="2081"/>
      <c r="BP24" s="2081"/>
      <c r="BQ24" s="2081"/>
      <c r="BR24" s="2081"/>
      <c r="BS24" s="2081"/>
      <c r="BT24" s="2081"/>
      <c r="BU24" s="2081"/>
      <c r="BV24" s="2081"/>
      <c r="BW24" s="2081"/>
    </row>
    <row r="25" spans="1:75" s="2065" customFormat="1" collapsed="1">
      <c r="A25" s="2076"/>
      <c r="B25" s="2076"/>
      <c r="C25" s="2076"/>
      <c r="D25" s="2076"/>
      <c r="E25" s="2076"/>
      <c r="F25" s="2076"/>
      <c r="G25" s="2076"/>
      <c r="H25" s="2076"/>
      <c r="I25" s="2076"/>
      <c r="J25" s="2076"/>
      <c r="K25" s="2076"/>
      <c r="L25" s="2076"/>
      <c r="M25" s="2076"/>
      <c r="N25" s="2076"/>
      <c r="O25" s="2076"/>
      <c r="P25" s="2076"/>
      <c r="Q25" s="2076"/>
      <c r="R25" s="2076"/>
      <c r="S25" s="2076"/>
      <c r="T25" s="2076"/>
      <c r="U25" s="2076"/>
      <c r="V25" s="2076"/>
      <c r="W25" s="2076"/>
      <c r="X25" s="2076"/>
      <c r="Y25" s="2076"/>
      <c r="Z25" s="2076"/>
      <c r="AA25" s="2076"/>
      <c r="AB25" s="2076"/>
      <c r="AC25" s="2076"/>
      <c r="AD25" s="2076"/>
      <c r="AE25" s="2076"/>
      <c r="AF25" s="2076"/>
      <c r="AG25" s="2076"/>
      <c r="AH25" s="2076"/>
      <c r="AI25" s="2077"/>
      <c r="AJ25" s="2076"/>
      <c r="AK25" s="2076"/>
      <c r="AL25" s="2076"/>
      <c r="AM25" s="2076"/>
      <c r="AN25" s="2076"/>
      <c r="AO25" s="2076"/>
      <c r="AP25" s="2076"/>
      <c r="AQ25" s="2076"/>
      <c r="AR25" s="2076"/>
      <c r="AS25" s="2076"/>
      <c r="AT25" s="2076"/>
      <c r="AU25" s="2076"/>
      <c r="AV25" s="2076"/>
      <c r="AW25" s="2076"/>
      <c r="AX25" s="2081"/>
      <c r="AY25" s="2081"/>
      <c r="AZ25" s="2081"/>
      <c r="BA25" s="2081"/>
      <c r="BB25" s="2081"/>
      <c r="BC25" s="2081"/>
      <c r="BD25" s="2081"/>
      <c r="BE25" s="2081"/>
      <c r="BF25" s="2081"/>
      <c r="BG25" s="2081"/>
      <c r="BH25" s="2081"/>
      <c r="BI25" s="2081"/>
      <c r="BJ25" s="2081"/>
      <c r="BK25" s="2081"/>
      <c r="BL25" s="2081"/>
      <c r="BM25" s="2081"/>
      <c r="BN25" s="2081"/>
      <c r="BO25" s="2081"/>
      <c r="BP25" s="2081"/>
      <c r="BQ25" s="2081"/>
      <c r="BR25" s="2081"/>
      <c r="BS25" s="2081"/>
      <c r="BT25" s="2081"/>
      <c r="BU25" s="2081"/>
      <c r="BV25" s="2081"/>
      <c r="BW25" s="2081"/>
    </row>
    <row r="26" spans="1:75" s="2065" customFormat="1">
      <c r="A26" s="2076"/>
      <c r="B26" s="2076"/>
      <c r="C26" s="2076"/>
      <c r="D26" s="2076"/>
      <c r="E26" s="2076"/>
      <c r="F26" s="2076"/>
      <c r="G26" s="2076"/>
      <c r="H26" s="2076"/>
      <c r="I26" s="2076"/>
      <c r="J26" s="2076"/>
      <c r="K26" s="2076"/>
      <c r="L26" s="2076"/>
      <c r="M26" s="2076"/>
      <c r="N26" s="2076"/>
      <c r="O26" s="2076"/>
      <c r="P26" s="2076"/>
      <c r="Q26" s="2076"/>
      <c r="R26" s="2076"/>
      <c r="S26" s="2076"/>
      <c r="T26" s="2076"/>
      <c r="U26" s="2076"/>
      <c r="V26" s="2076"/>
      <c r="W26" s="2076"/>
      <c r="X26" s="2076"/>
      <c r="Y26" s="2076"/>
      <c r="Z26" s="2076"/>
      <c r="AA26" s="2076"/>
      <c r="AB26" s="2076"/>
      <c r="AC26" s="2076"/>
      <c r="AD26" s="2076"/>
      <c r="AE26" s="2076"/>
      <c r="AF26" s="2076"/>
      <c r="AG26" s="2076"/>
      <c r="AH26" s="2076"/>
      <c r="AI26" s="2077"/>
      <c r="AJ26" s="2076"/>
      <c r="AK26" s="2076"/>
      <c r="AL26" s="2076"/>
      <c r="AM26" s="2076"/>
      <c r="AN26" s="2076"/>
      <c r="AO26" s="2076"/>
      <c r="AP26" s="2076"/>
      <c r="AQ26" s="2076"/>
      <c r="AR26" s="2076"/>
      <c r="AS26" s="2076"/>
      <c r="AT26" s="2076"/>
      <c r="AU26" s="2076"/>
      <c r="AV26" s="2076"/>
      <c r="AW26" s="2076"/>
      <c r="AX26" s="2081"/>
      <c r="AY26" s="2081"/>
      <c r="AZ26" s="2081"/>
      <c r="BA26" s="2081"/>
      <c r="BB26" s="2081"/>
      <c r="BC26" s="2081"/>
      <c r="BD26" s="2081"/>
      <c r="BE26" s="2081"/>
      <c r="BF26" s="2081"/>
      <c r="BG26" s="2081"/>
      <c r="BH26" s="2081"/>
      <c r="BI26" s="2081"/>
      <c r="BJ26" s="2081"/>
      <c r="BK26" s="2081"/>
      <c r="BL26" s="2081"/>
      <c r="BM26" s="2081"/>
      <c r="BN26" s="2081"/>
      <c r="BO26" s="2081"/>
      <c r="BP26" s="2081"/>
      <c r="BQ26" s="2081"/>
      <c r="BR26" s="2081"/>
      <c r="BS26" s="2081"/>
      <c r="BT26" s="2081"/>
      <c r="BU26" s="2081"/>
      <c r="BV26" s="2081"/>
      <c r="BW26" s="2081"/>
    </row>
    <row r="27" spans="1:75" s="2065" customFormat="1">
      <c r="A27" s="2107" t="s">
        <v>519</v>
      </c>
      <c r="B27" s="2078"/>
      <c r="C27" s="2078"/>
      <c r="D27" s="2078"/>
      <c r="E27" s="2078"/>
      <c r="F27" s="2078"/>
      <c r="G27" s="2078"/>
      <c r="H27" s="2078"/>
      <c r="I27" s="2078"/>
      <c r="J27" s="2078"/>
      <c r="K27" s="2078"/>
      <c r="L27" s="2078"/>
      <c r="M27" s="2078"/>
      <c r="N27" s="2078"/>
      <c r="O27" s="2078"/>
      <c r="P27" s="2078"/>
      <c r="Q27" s="2078"/>
      <c r="R27" s="2078"/>
      <c r="S27" s="2078"/>
      <c r="T27" s="2078"/>
      <c r="U27" s="2078"/>
      <c r="V27" s="2078"/>
      <c r="W27" s="2078"/>
      <c r="X27" s="2078"/>
      <c r="Y27" s="2078"/>
      <c r="Z27" s="2078"/>
      <c r="AA27" s="2078"/>
      <c r="AB27" s="2078"/>
      <c r="AC27" s="2078"/>
      <c r="AD27" s="2078"/>
      <c r="AE27" s="2078"/>
      <c r="AF27" s="2078"/>
      <c r="AG27" s="2078"/>
      <c r="AH27" s="2078"/>
      <c r="AI27" s="2078"/>
      <c r="AJ27" s="2078"/>
      <c r="AK27" s="2078"/>
      <c r="AL27" s="2078"/>
      <c r="AM27" s="2078"/>
      <c r="AN27" s="2078"/>
      <c r="AO27" s="2078"/>
      <c r="AP27" s="2078"/>
      <c r="AQ27" s="2078"/>
      <c r="AR27" s="2078"/>
      <c r="AS27" s="2078"/>
      <c r="AT27" s="2078"/>
      <c r="AU27" s="2078"/>
      <c r="AV27" s="2078"/>
      <c r="AW27" s="2078"/>
      <c r="AX27" s="2081"/>
      <c r="AY27" s="2081"/>
      <c r="AZ27" s="2081"/>
      <c r="BA27" s="2081"/>
      <c r="BB27" s="2081"/>
      <c r="BC27" s="2081"/>
      <c r="BD27" s="2081"/>
      <c r="BE27" s="2081"/>
      <c r="BF27" s="2081"/>
      <c r="BG27" s="2081"/>
      <c r="BH27" s="2081"/>
      <c r="BI27" s="2081"/>
      <c r="BJ27" s="2081"/>
      <c r="BK27" s="2081"/>
      <c r="BL27" s="2081"/>
      <c r="BM27" s="2081"/>
      <c r="BN27" s="2081"/>
      <c r="BO27" s="2081"/>
      <c r="BP27" s="2081"/>
      <c r="BQ27" s="2081"/>
      <c r="BR27" s="2081"/>
      <c r="BS27" s="2081"/>
      <c r="BT27" s="2081"/>
      <c r="BU27" s="2081"/>
      <c r="BV27" s="2081"/>
      <c r="BW27" s="2081"/>
    </row>
    <row r="28" spans="1:75">
      <c r="A28" s="2272"/>
      <c r="B28" s="2272" t="str">
        <f>B$4</f>
        <v>1Q07</v>
      </c>
      <c r="C28" s="2272" t="str">
        <f t="shared" ref="C28:AW28" si="15">C$4</f>
        <v>2Q07</v>
      </c>
      <c r="D28" s="2272" t="str">
        <f t="shared" si="15"/>
        <v>3Q07</v>
      </c>
      <c r="E28" s="2272" t="str">
        <f t="shared" si="15"/>
        <v>4Q07</v>
      </c>
      <c r="F28" s="2273" t="str">
        <f t="shared" si="15"/>
        <v>1Q08</v>
      </c>
      <c r="G28" s="2272" t="str">
        <f t="shared" si="15"/>
        <v>2Q08</v>
      </c>
      <c r="H28" s="2272" t="str">
        <f t="shared" si="15"/>
        <v>3Q08</v>
      </c>
      <c r="I28" s="2272" t="str">
        <f t="shared" si="15"/>
        <v>4Q08</v>
      </c>
      <c r="J28" s="2273" t="str">
        <f t="shared" si="15"/>
        <v>1Q09</v>
      </c>
      <c r="K28" s="2272" t="str">
        <f t="shared" si="15"/>
        <v>2Q09</v>
      </c>
      <c r="L28" s="2272" t="str">
        <f t="shared" si="15"/>
        <v>3Q09</v>
      </c>
      <c r="M28" s="2272" t="str">
        <f t="shared" si="15"/>
        <v>4Q09</v>
      </c>
      <c r="N28" s="2273" t="str">
        <f t="shared" si="15"/>
        <v>1Q10</v>
      </c>
      <c r="O28" s="2272" t="str">
        <f t="shared" si="15"/>
        <v>2Q10</v>
      </c>
      <c r="P28" s="2272" t="str">
        <f t="shared" si="15"/>
        <v>3Q10</v>
      </c>
      <c r="Q28" s="2272" t="str">
        <f t="shared" si="15"/>
        <v>4Q10</v>
      </c>
      <c r="R28" s="2273" t="str">
        <f t="shared" si="15"/>
        <v>1Q11</v>
      </c>
      <c r="S28" s="2272" t="str">
        <f t="shared" si="15"/>
        <v>2Q11</v>
      </c>
      <c r="T28" s="2272" t="str">
        <f t="shared" si="15"/>
        <v>3Q11</v>
      </c>
      <c r="U28" s="2272" t="str">
        <f t="shared" si="15"/>
        <v>4Q11</v>
      </c>
      <c r="V28" s="2273" t="str">
        <f t="shared" si="15"/>
        <v>1Q12</v>
      </c>
      <c r="W28" s="2272" t="str">
        <f t="shared" si="15"/>
        <v>2Q12</v>
      </c>
      <c r="X28" s="2272" t="str">
        <f t="shared" si="15"/>
        <v>3Q12</v>
      </c>
      <c r="Y28" s="2272" t="str">
        <f t="shared" si="15"/>
        <v>4Q12</v>
      </c>
      <c r="Z28" s="2273" t="str">
        <f t="shared" si="15"/>
        <v>1Q13</v>
      </c>
      <c r="AA28" s="2272" t="str">
        <f t="shared" si="15"/>
        <v>2Q13</v>
      </c>
      <c r="AB28" s="2272" t="str">
        <f t="shared" si="15"/>
        <v>3Q13</v>
      </c>
      <c r="AC28" s="2272" t="str">
        <f t="shared" si="15"/>
        <v>4Q13</v>
      </c>
      <c r="AD28" s="2273" t="str">
        <f t="shared" si="15"/>
        <v>1Q14</v>
      </c>
      <c r="AE28" s="2272" t="str">
        <f t="shared" si="15"/>
        <v>2Q14</v>
      </c>
      <c r="AF28" s="2272" t="str">
        <f t="shared" si="15"/>
        <v>3Q14</v>
      </c>
      <c r="AG28" s="2272" t="str">
        <f t="shared" si="15"/>
        <v>4Q14</v>
      </c>
      <c r="AH28" s="2273" t="str">
        <f t="shared" si="15"/>
        <v>1Q15</v>
      </c>
      <c r="AI28" s="2272" t="str">
        <f t="shared" si="15"/>
        <v>2Q15</v>
      </c>
      <c r="AJ28" s="2272" t="str">
        <f t="shared" si="15"/>
        <v>3Q15</v>
      </c>
      <c r="AK28" s="2272" t="str">
        <f t="shared" si="15"/>
        <v>4Q15</v>
      </c>
      <c r="AL28" s="2273" t="str">
        <f t="shared" si="15"/>
        <v>1Q16</v>
      </c>
      <c r="AM28" s="2272" t="str">
        <f t="shared" si="15"/>
        <v>2Q16</v>
      </c>
      <c r="AN28" s="2272" t="str">
        <f t="shared" si="15"/>
        <v>3Q16</v>
      </c>
      <c r="AO28" s="2272" t="str">
        <f t="shared" si="15"/>
        <v>4Q16</v>
      </c>
      <c r="AP28" s="2273" t="str">
        <f t="shared" si="15"/>
        <v>1Q17</v>
      </c>
      <c r="AQ28" s="2272" t="str">
        <f t="shared" si="15"/>
        <v>2Q17</v>
      </c>
      <c r="AR28" s="2272" t="str">
        <f t="shared" si="15"/>
        <v>3Q17</v>
      </c>
      <c r="AS28" s="2272" t="str">
        <f t="shared" si="15"/>
        <v>4Q17</v>
      </c>
      <c r="AT28" s="2273" t="str">
        <f t="shared" si="15"/>
        <v>1Q18E</v>
      </c>
      <c r="AU28" s="2272" t="str">
        <f t="shared" si="15"/>
        <v>2Q18E</v>
      </c>
      <c r="AV28" s="2272" t="str">
        <f t="shared" si="15"/>
        <v>3Q18E</v>
      </c>
      <c r="AW28" s="2272" t="str">
        <f t="shared" si="15"/>
        <v>4Q18E</v>
      </c>
      <c r="AX28" s="2065"/>
      <c r="AY28" s="2065"/>
      <c r="AZ28" s="2065"/>
      <c r="BA28" s="2065"/>
      <c r="BB28" s="2065"/>
      <c r="BC28" s="2065"/>
      <c r="BD28" s="2065"/>
      <c r="BE28" s="2065"/>
      <c r="BF28" s="2065"/>
      <c r="BG28" s="2065"/>
      <c r="BH28" s="2065"/>
      <c r="BI28" s="2065"/>
      <c r="BJ28" s="2065"/>
      <c r="BK28" s="2065"/>
      <c r="BL28" s="2065"/>
      <c r="BM28" s="2065"/>
      <c r="BN28" s="2065"/>
      <c r="BO28" s="2065"/>
      <c r="BP28" s="2065"/>
      <c r="BQ28" s="2065"/>
      <c r="BR28" s="2065"/>
      <c r="BS28" s="2065"/>
      <c r="BT28" s="2065"/>
      <c r="BU28" s="2065"/>
      <c r="BV28" s="2065"/>
      <c r="BW28" s="2065"/>
    </row>
    <row r="29" spans="1:75">
      <c r="A29" s="2053" t="str">
        <f>A38</f>
        <v>BSI</v>
      </c>
      <c r="B29" s="1368"/>
      <c r="C29" s="1368"/>
      <c r="D29" s="1368"/>
      <c r="E29" s="1368"/>
      <c r="F29" s="2149"/>
      <c r="G29" s="1368"/>
      <c r="H29" s="1368"/>
      <c r="I29" s="1368"/>
      <c r="J29" s="2149"/>
      <c r="K29" s="1368"/>
      <c r="L29" s="1368"/>
      <c r="M29" s="1368"/>
      <c r="N29" s="2149">
        <f t="shared" ref="N29:AS29" si="16">(N57/2)/J38</f>
        <v>3.0629695885509834E-2</v>
      </c>
      <c r="O29" s="1368">
        <f t="shared" si="16"/>
        <v>1.9381268130957311E-2</v>
      </c>
      <c r="P29" s="1368">
        <f t="shared" si="16"/>
        <v>6.3832472178060415E-2</v>
      </c>
      <c r="Q29" s="1368">
        <f t="shared" si="16"/>
        <v>9.016761656889806E-2</v>
      </c>
      <c r="R29" s="2166">
        <f t="shared" si="16"/>
        <v>8.9753952578380772E-2</v>
      </c>
      <c r="S29" s="1321">
        <f t="shared" si="16"/>
        <v>7.8871972621972625E-2</v>
      </c>
      <c r="T29" s="1321">
        <f t="shared" si="16"/>
        <v>0.11292246127366609</v>
      </c>
      <c r="U29" s="1321">
        <f t="shared" si="16"/>
        <v>0.1084868387262455</v>
      </c>
      <c r="V29" s="2166">
        <f t="shared" si="16"/>
        <v>0.11171478558665873</v>
      </c>
      <c r="W29" s="1321">
        <f t="shared" si="16"/>
        <v>7.0414593807885686E-2</v>
      </c>
      <c r="X29" s="1321">
        <f t="shared" si="16"/>
        <v>7.9422896604156107E-2</v>
      </c>
      <c r="Y29" s="1321">
        <f t="shared" si="16"/>
        <v>8.830989522482241E-2</v>
      </c>
      <c r="Z29" s="2166">
        <f t="shared" si="16"/>
        <v>8.3430907937650997E-2</v>
      </c>
      <c r="AA29" s="1321">
        <f t="shared" si="16"/>
        <v>6.7363350125944577E-2</v>
      </c>
      <c r="AB29" s="1321">
        <f t="shared" si="16"/>
        <v>6.592595989239422E-2</v>
      </c>
      <c r="AC29" s="1321">
        <f t="shared" si="16"/>
        <v>5.5789309876012945E-2</v>
      </c>
      <c r="AD29" s="2166">
        <f t="shared" si="16"/>
        <v>6.0923563448609989E-2</v>
      </c>
      <c r="AE29" s="1321">
        <f t="shared" si="16"/>
        <v>2.3970469639468691E-2</v>
      </c>
      <c r="AF29" s="1321">
        <f t="shared" si="16"/>
        <v>-4.8081466147101813E-3</v>
      </c>
      <c r="AG29" s="1321">
        <f t="shared" si="16"/>
        <v>1.7534246575342447E-3</v>
      </c>
      <c r="AH29" s="2166">
        <f t="shared" si="16"/>
        <v>2.6342536176694593E-2</v>
      </c>
      <c r="AI29" s="1321">
        <f t="shared" si="16"/>
        <v>1.1769869513641772E-3</v>
      </c>
      <c r="AJ29" s="1321">
        <f t="shared" si="16"/>
        <v>-9.8291601460615691E-4</v>
      </c>
      <c r="AK29" s="1321">
        <f t="shared" si="16"/>
        <v>5.0281630937368624E-3</v>
      </c>
      <c r="AL29" s="2166">
        <f t="shared" si="16"/>
        <v>7.015725190839696E-3</v>
      </c>
      <c r="AM29" s="1321">
        <f t="shared" si="16"/>
        <v>-1.5842299290005461E-2</v>
      </c>
      <c r="AN29" s="1321">
        <f t="shared" si="16"/>
        <v>-4.4361702127659582E-3</v>
      </c>
      <c r="AO29" s="1321">
        <f t="shared" si="16"/>
        <v>1.2244939617445204E-2</v>
      </c>
      <c r="AP29" s="2166">
        <f t="shared" si="16"/>
        <v>1.0547123819958291E-2</v>
      </c>
      <c r="AQ29" s="1321">
        <f t="shared" si="16"/>
        <v>-3.9658663581139262E-4</v>
      </c>
      <c r="AR29" s="1321">
        <f t="shared" si="16"/>
        <v>-9.8869986168741309E-3</v>
      </c>
      <c r="AS29" s="1321">
        <f t="shared" si="16"/>
        <v>9.0946257161227239E-3</v>
      </c>
      <c r="AT29" s="2166">
        <f t="shared" ref="AT29:AW29" si="17">(AT57/2)/AP38</f>
        <v>1.6517527322503389E-2</v>
      </c>
      <c r="AU29" s="1321">
        <f t="shared" si="17"/>
        <v>2.1750549810454968E-2</v>
      </c>
      <c r="AV29" s="1321">
        <f t="shared" si="17"/>
        <v>2.6026380777548857E-2</v>
      </c>
      <c r="AW29" s="1321">
        <f t="shared" si="17"/>
        <v>2.0049594721369475E-2</v>
      </c>
      <c r="AX29" s="2063"/>
      <c r="AY29" s="2063"/>
      <c r="AZ29" s="2063"/>
      <c r="BA29" s="2063"/>
      <c r="BB29" s="2063"/>
      <c r="BC29" s="2063"/>
      <c r="BD29" s="2063"/>
      <c r="BE29" s="2063"/>
      <c r="BF29" s="2063"/>
      <c r="BG29" s="2063"/>
      <c r="BH29" s="2063"/>
      <c r="BI29" s="2063"/>
      <c r="BJ29" s="2063"/>
      <c r="BK29" s="2063"/>
      <c r="BL29" s="2063"/>
      <c r="BM29" s="2063"/>
      <c r="BN29" s="2063"/>
      <c r="BO29" s="2063"/>
      <c r="BP29" s="2063"/>
      <c r="BQ29" s="2063"/>
      <c r="BR29" s="2063"/>
      <c r="BS29" s="2063"/>
      <c r="BT29" s="2063"/>
      <c r="BU29" s="2063"/>
      <c r="BV29" s="2063"/>
      <c r="BW29" s="2063"/>
    </row>
    <row r="30" spans="1:75">
      <c r="A30" s="2110" t="str">
        <f>A39</f>
        <v xml:space="preserve">    BIOSPIN</v>
      </c>
      <c r="B30" s="2087"/>
      <c r="C30" s="2087"/>
      <c r="D30" s="2087"/>
      <c r="E30" s="2087"/>
      <c r="F30" s="2150"/>
      <c r="G30" s="2087"/>
      <c r="H30" s="2087"/>
      <c r="I30" s="2087"/>
      <c r="J30" s="2150"/>
      <c r="K30" s="2087"/>
      <c r="L30" s="2087"/>
      <c r="M30" s="2087"/>
      <c r="N30" s="2153" t="s">
        <v>270</v>
      </c>
      <c r="O30" s="2121" t="s">
        <v>270</v>
      </c>
      <c r="P30" s="2121" t="s">
        <v>270</v>
      </c>
      <c r="Q30" s="2121" t="s">
        <v>270</v>
      </c>
      <c r="R30" s="2153" t="s">
        <v>270</v>
      </c>
      <c r="S30" s="2121" t="s">
        <v>270</v>
      </c>
      <c r="T30" s="2121" t="s">
        <v>270</v>
      </c>
      <c r="U30" s="2121" t="s">
        <v>270</v>
      </c>
      <c r="V30" s="2153" t="s">
        <v>270</v>
      </c>
      <c r="W30" s="2121" t="s">
        <v>270</v>
      </c>
      <c r="X30" s="2121" t="s">
        <v>270</v>
      </c>
      <c r="Y30" s="2121" t="s">
        <v>270</v>
      </c>
      <c r="Z30" s="2153" t="s">
        <v>270</v>
      </c>
      <c r="AA30" s="2121" t="s">
        <v>270</v>
      </c>
      <c r="AB30" s="2121" t="s">
        <v>270</v>
      </c>
      <c r="AC30" s="2121" t="s">
        <v>270</v>
      </c>
      <c r="AD30" s="2168">
        <f t="shared" ref="AD30:AS30" si="18">(AD59/2)/Z39</f>
        <v>5.5848096778990483E-2</v>
      </c>
      <c r="AE30" s="2126">
        <f t="shared" si="18"/>
        <v>5.8738333912110807E-2</v>
      </c>
      <c r="AF30" s="2126">
        <f t="shared" si="18"/>
        <v>1.0233830486375699E-2</v>
      </c>
      <c r="AG30" s="2126">
        <f t="shared" si="18"/>
        <v>3.978491158690621E-2</v>
      </c>
      <c r="AH30" s="2168">
        <f t="shared" si="18"/>
        <v>6.082293547894424E-2</v>
      </c>
      <c r="AI30" s="2126">
        <f t="shared" si="18"/>
        <v>-1.5988900618776603E-2</v>
      </c>
      <c r="AJ30" s="2126">
        <f t="shared" si="18"/>
        <v>7.44321940000554E-3</v>
      </c>
      <c r="AK30" s="2126">
        <f t="shared" si="18"/>
        <v>-8.1167200183268149E-3</v>
      </c>
      <c r="AL30" s="2168">
        <f t="shared" si="18"/>
        <v>-3.1745458871236407E-2</v>
      </c>
      <c r="AM30" s="2126">
        <f t="shared" si="18"/>
        <v>-1.842365330853039E-2</v>
      </c>
      <c r="AN30" s="2126">
        <f t="shared" si="18"/>
        <v>1.9374237815313302E-2</v>
      </c>
      <c r="AO30" s="2126">
        <f t="shared" si="18"/>
        <v>1.4052817872248531E-2</v>
      </c>
      <c r="AP30" s="2168">
        <f t="shared" si="18"/>
        <v>1.204296764369996E-2</v>
      </c>
      <c r="AQ30" s="2126">
        <f t="shared" si="18"/>
        <v>3.7609928733025759E-2</v>
      </c>
      <c r="AR30" s="2126">
        <f t="shared" si="18"/>
        <v>1.9973151949538168E-2</v>
      </c>
      <c r="AS30" s="2126">
        <f t="shared" si="18"/>
        <v>1.037386325947349E-2</v>
      </c>
      <c r="AT30" s="2168">
        <f t="shared" ref="AT30:AW30" si="19">(AT59/2)/AP39</f>
        <v>1.0966161855718859E-2</v>
      </c>
      <c r="AU30" s="2126">
        <f t="shared" si="19"/>
        <v>2.8994451048812382E-2</v>
      </c>
      <c r="AV30" s="2126">
        <f t="shared" si="19"/>
        <v>2.4647824192368807E-2</v>
      </c>
      <c r="AW30" s="2126">
        <f t="shared" si="19"/>
        <v>6.6397065966602277E-3</v>
      </c>
      <c r="AX30" s="2063"/>
      <c r="AY30" s="2063"/>
      <c r="AZ30" s="2063"/>
      <c r="BA30" s="2063"/>
      <c r="BB30" s="2063"/>
      <c r="BC30" s="2063"/>
      <c r="BD30" s="2063"/>
      <c r="BE30" s="2063"/>
      <c r="BF30" s="2063"/>
      <c r="BG30" s="2063"/>
      <c r="BH30" s="2063"/>
      <c r="BI30" s="2063"/>
      <c r="BJ30" s="2063"/>
      <c r="BK30" s="2063"/>
      <c r="BL30" s="2063"/>
      <c r="BM30" s="2063"/>
      <c r="BN30" s="2063"/>
      <c r="BO30" s="2063"/>
      <c r="BP30" s="2063"/>
      <c r="BQ30" s="2063"/>
      <c r="BR30" s="2063"/>
      <c r="BS30" s="2063"/>
      <c r="BT30" s="2063"/>
      <c r="BU30" s="2063"/>
      <c r="BV30" s="2063"/>
      <c r="BW30" s="2063"/>
    </row>
    <row r="31" spans="1:75">
      <c r="A31" s="2111" t="str">
        <f>A40</f>
        <v xml:space="preserve">    CALID</v>
      </c>
      <c r="B31" s="1368"/>
      <c r="C31" s="1368"/>
      <c r="D31" s="1368"/>
      <c r="E31" s="1368"/>
      <c r="F31" s="2149"/>
      <c r="G31" s="1368"/>
      <c r="H31" s="1368"/>
      <c r="I31" s="1368"/>
      <c r="J31" s="2149"/>
      <c r="K31" s="1368"/>
      <c r="L31" s="1368"/>
      <c r="M31" s="1368"/>
      <c r="N31" s="2154" t="s">
        <v>270</v>
      </c>
      <c r="O31" s="2122" t="s">
        <v>270</v>
      </c>
      <c r="P31" s="2122" t="s">
        <v>270</v>
      </c>
      <c r="Q31" s="2122" t="s">
        <v>270</v>
      </c>
      <c r="R31" s="2154" t="s">
        <v>270</v>
      </c>
      <c r="S31" s="2122" t="s">
        <v>270</v>
      </c>
      <c r="T31" s="2122" t="s">
        <v>270</v>
      </c>
      <c r="U31" s="2122" t="s">
        <v>270</v>
      </c>
      <c r="V31" s="2154" t="s">
        <v>270</v>
      </c>
      <c r="W31" s="2122" t="s">
        <v>270</v>
      </c>
      <c r="X31" s="2122" t="s">
        <v>270</v>
      </c>
      <c r="Y31" s="2122" t="s">
        <v>270</v>
      </c>
      <c r="Z31" s="2154" t="s">
        <v>270</v>
      </c>
      <c r="AA31" s="2122" t="s">
        <v>270</v>
      </c>
      <c r="AB31" s="2122" t="s">
        <v>270</v>
      </c>
      <c r="AC31" s="2122" t="s">
        <v>270</v>
      </c>
      <c r="AD31" s="2166">
        <f t="shared" ref="AD31:AS31" si="20">(AD61/2)/Z40</f>
        <v>-8.0271307705666647E-3</v>
      </c>
      <c r="AE31" s="1321">
        <f t="shared" si="20"/>
        <v>3.0030462025675907E-2</v>
      </c>
      <c r="AF31" s="1321">
        <f t="shared" si="20"/>
        <v>6.005134000641639E-2</v>
      </c>
      <c r="AG31" s="1321">
        <f t="shared" si="20"/>
        <v>2.596034165832815E-2</v>
      </c>
      <c r="AH31" s="2166">
        <f t="shared" si="20"/>
        <v>3.4569068389843693E-2</v>
      </c>
      <c r="AI31" s="1321">
        <f t="shared" si="20"/>
        <v>1.6545438964172585E-2</v>
      </c>
      <c r="AJ31" s="1321">
        <f t="shared" si="20"/>
        <v>4.9062841112981377E-2</v>
      </c>
      <c r="AK31" s="1321">
        <f t="shared" si="20"/>
        <v>5.1749652073584271E-2</v>
      </c>
      <c r="AL31" s="2166">
        <f t="shared" si="20"/>
        <v>1.9977523418260819E-2</v>
      </c>
      <c r="AM31" s="1321">
        <f t="shared" si="20"/>
        <v>-5.4324973292141643E-3</v>
      </c>
      <c r="AN31" s="1321">
        <f t="shared" si="20"/>
        <v>1.5711087251043653E-2</v>
      </c>
      <c r="AO31" s="1321">
        <f t="shared" si="20"/>
        <v>4.6600685845481805E-2</v>
      </c>
      <c r="AP31" s="2166">
        <f t="shared" si="20"/>
        <v>7.4379409214578246E-3</v>
      </c>
      <c r="AQ31" s="1321">
        <f t="shared" si="20"/>
        <v>-5.2911111325742522E-4</v>
      </c>
      <c r="AR31" s="1321">
        <f t="shared" si="20"/>
        <v>-1.7382425615109984E-3</v>
      </c>
      <c r="AS31" s="1321">
        <f t="shared" si="20"/>
        <v>-4.6868631713274144E-3</v>
      </c>
      <c r="AT31" s="2166">
        <f t="shared" ref="AT31:AW31" si="21">(AT61/2)/AP40</f>
        <v>7.612770516823345E-3</v>
      </c>
      <c r="AU31" s="1321">
        <f t="shared" si="21"/>
        <v>3.7414875656513615E-2</v>
      </c>
      <c r="AV31" s="1321">
        <f t="shared" si="21"/>
        <v>4.7879055455956089E-2</v>
      </c>
      <c r="AW31" s="1321">
        <f t="shared" si="21"/>
        <v>3.8138652857374715E-2</v>
      </c>
      <c r="AX31" s="2063"/>
      <c r="AY31" s="2063"/>
      <c r="AZ31" s="2063"/>
      <c r="BA31" s="2063"/>
      <c r="BB31" s="2063"/>
      <c r="BC31" s="2063"/>
      <c r="BD31" s="2063"/>
      <c r="BE31" s="2063"/>
      <c r="BF31" s="2063"/>
      <c r="BG31" s="2063"/>
      <c r="BH31" s="2063"/>
      <c r="BI31" s="2063"/>
      <c r="BJ31" s="2063"/>
      <c r="BK31" s="2063"/>
      <c r="BL31" s="2063"/>
      <c r="BM31" s="2063"/>
      <c r="BN31" s="2063"/>
      <c r="BO31" s="2063"/>
      <c r="BP31" s="2063"/>
      <c r="BQ31" s="2063"/>
      <c r="BR31" s="2063"/>
      <c r="BS31" s="2063"/>
      <c r="BT31" s="2063"/>
      <c r="BU31" s="2063"/>
      <c r="BV31" s="2063"/>
      <c r="BW31" s="2063"/>
    </row>
    <row r="32" spans="1:75">
      <c r="A32" s="2110" t="str">
        <f>A41</f>
        <v xml:space="preserve">    NANO</v>
      </c>
      <c r="B32" s="2087"/>
      <c r="C32" s="2087"/>
      <c r="D32" s="2087"/>
      <c r="E32" s="2087"/>
      <c r="F32" s="2150"/>
      <c r="G32" s="2087"/>
      <c r="H32" s="2087"/>
      <c r="I32" s="2087"/>
      <c r="J32" s="2150"/>
      <c r="K32" s="2087"/>
      <c r="L32" s="2087"/>
      <c r="M32" s="2087"/>
      <c r="N32" s="2153" t="s">
        <v>270</v>
      </c>
      <c r="O32" s="2121" t="s">
        <v>270</v>
      </c>
      <c r="P32" s="2121" t="s">
        <v>270</v>
      </c>
      <c r="Q32" s="2121" t="s">
        <v>270</v>
      </c>
      <c r="R32" s="2153" t="s">
        <v>270</v>
      </c>
      <c r="S32" s="2121" t="s">
        <v>270</v>
      </c>
      <c r="T32" s="2121" t="s">
        <v>270</v>
      </c>
      <c r="U32" s="2121" t="s">
        <v>270</v>
      </c>
      <c r="V32" s="2153" t="s">
        <v>270</v>
      </c>
      <c r="W32" s="2121" t="s">
        <v>270</v>
      </c>
      <c r="X32" s="2121" t="s">
        <v>270</v>
      </c>
      <c r="Y32" s="2121" t="s">
        <v>270</v>
      </c>
      <c r="Z32" s="2153" t="s">
        <v>270</v>
      </c>
      <c r="AA32" s="2121" t="s">
        <v>270</v>
      </c>
      <c r="AB32" s="2121" t="s">
        <v>270</v>
      </c>
      <c r="AC32" s="2121" t="s">
        <v>270</v>
      </c>
      <c r="AD32" s="2168">
        <f t="shared" ref="AD32:AS32" si="22">(AD63/2)/Z41</f>
        <v>2.5965687124900248E-2</v>
      </c>
      <c r="AE32" s="2126">
        <f t="shared" si="22"/>
        <v>-1.8144834678543571E-2</v>
      </c>
      <c r="AF32" s="2126">
        <f t="shared" si="22"/>
        <v>-6.1258823434480782E-2</v>
      </c>
      <c r="AG32" s="2126">
        <f t="shared" si="22"/>
        <v>-4.9916321606394927E-2</v>
      </c>
      <c r="AH32" s="2168">
        <f t="shared" si="22"/>
        <v>-1.394374105600458E-2</v>
      </c>
      <c r="AI32" s="2126">
        <f t="shared" si="22"/>
        <v>1.8392397704065658E-2</v>
      </c>
      <c r="AJ32" s="2126">
        <f t="shared" si="22"/>
        <v>-3.8695426518088251E-2</v>
      </c>
      <c r="AK32" s="2126">
        <f t="shared" si="22"/>
        <v>-2.9436330626628508E-3</v>
      </c>
      <c r="AL32" s="2168">
        <f t="shared" si="22"/>
        <v>3.776663904149434E-2</v>
      </c>
      <c r="AM32" s="2126">
        <f t="shared" si="22"/>
        <v>-3.6229638380335501E-2</v>
      </c>
      <c r="AN32" s="2126">
        <f t="shared" si="22"/>
        <v>-8.752856885421767E-2</v>
      </c>
      <c r="AO32" s="2126">
        <f t="shared" si="22"/>
        <v>-2.5855545781001049E-2</v>
      </c>
      <c r="AP32" s="2168">
        <f t="shared" si="22"/>
        <v>5.4068957764841948E-3</v>
      </c>
      <c r="AQ32" s="2126">
        <f t="shared" si="22"/>
        <v>-4.7843347648262244E-2</v>
      </c>
      <c r="AR32" s="2126">
        <f t="shared" si="22"/>
        <v>-6.1511861511267238E-2</v>
      </c>
      <c r="AS32" s="2126">
        <f t="shared" si="22"/>
        <v>2.0042881093620134E-2</v>
      </c>
      <c r="AT32" s="2168">
        <f t="shared" ref="AT32:AW32" si="23">(AT63/2)/AP41</f>
        <v>4.3374963257400041E-2</v>
      </c>
      <c r="AU32" s="2126">
        <f t="shared" si="23"/>
        <v>3.4783545158573521E-2</v>
      </c>
      <c r="AV32" s="2126">
        <f t="shared" si="23"/>
        <v>2.2964170491524487E-2</v>
      </c>
      <c r="AW32" s="2126">
        <f t="shared" si="23"/>
        <v>2.71370556655426E-2</v>
      </c>
      <c r="AX32" s="2063"/>
      <c r="AY32" s="2063"/>
      <c r="AZ32" s="2063"/>
      <c r="BA32" s="2063"/>
      <c r="BB32" s="2063"/>
      <c r="BC32" s="2063"/>
      <c r="BD32" s="2063"/>
      <c r="BE32" s="2063"/>
      <c r="BF32" s="2063"/>
      <c r="BG32" s="2063"/>
      <c r="BH32" s="2063"/>
      <c r="BI32" s="2063"/>
      <c r="BJ32" s="2063"/>
      <c r="BK32" s="2063"/>
      <c r="BL32" s="2063"/>
      <c r="BM32" s="2063"/>
      <c r="BN32" s="2063"/>
      <c r="BO32" s="2063"/>
      <c r="BP32" s="2063"/>
      <c r="BQ32" s="2063"/>
      <c r="BR32" s="2063"/>
      <c r="BS32" s="2063"/>
      <c r="BT32" s="2063"/>
      <c r="BU32" s="2063"/>
      <c r="BV32" s="2063"/>
      <c r="BW32" s="2063"/>
    </row>
    <row r="33" spans="1:75">
      <c r="A33" s="2053" t="s">
        <v>333</v>
      </c>
      <c r="B33" s="1368"/>
      <c r="C33" s="1368"/>
      <c r="D33" s="1368"/>
      <c r="E33" s="1368"/>
      <c r="F33" s="2149"/>
      <c r="G33" s="1368"/>
      <c r="H33" s="1368"/>
      <c r="I33" s="1368"/>
      <c r="J33" s="2149"/>
      <c r="K33" s="1368"/>
      <c r="L33" s="1368"/>
      <c r="M33" s="1368"/>
      <c r="N33" s="2149">
        <f t="shared" ref="N33:AS33" si="24">(N65/2)/J42</f>
        <v>0.74994444444444441</v>
      </c>
      <c r="O33" s="1368">
        <f t="shared" si="24"/>
        <v>0.38234306569343057</v>
      </c>
      <c r="P33" s="1368">
        <f t="shared" si="24"/>
        <v>0.42252288732394366</v>
      </c>
      <c r="Q33" s="1368">
        <f t="shared" si="24"/>
        <v>0.30903357813713717</v>
      </c>
      <c r="R33" s="2166">
        <f t="shared" si="24"/>
        <v>0.35167870336540419</v>
      </c>
      <c r="S33" s="1321">
        <f t="shared" si="24"/>
        <v>0.37837569060773479</v>
      </c>
      <c r="T33" s="1321">
        <f t="shared" si="24"/>
        <v>0.28887053571428573</v>
      </c>
      <c r="U33" s="1321">
        <f t="shared" si="24"/>
        <v>0.22020648464163822</v>
      </c>
      <c r="V33" s="2166">
        <f t="shared" si="24"/>
        <v>0.241865625</v>
      </c>
      <c r="W33" s="1321">
        <f t="shared" si="24"/>
        <v>0.16538790035587189</v>
      </c>
      <c r="X33" s="1321">
        <f t="shared" si="24"/>
        <v>0.2779341155234657</v>
      </c>
      <c r="Y33" s="1321">
        <f t="shared" si="24"/>
        <v>0.24680505952380957</v>
      </c>
      <c r="Z33" s="2166">
        <f t="shared" si="24"/>
        <v>0.15380666666666673</v>
      </c>
      <c r="AA33" s="1321">
        <f t="shared" si="24"/>
        <v>0.18831923076923077</v>
      </c>
      <c r="AB33" s="1321">
        <f t="shared" si="24"/>
        <v>0.11744693396226413</v>
      </c>
      <c r="AC33" s="1321">
        <f t="shared" si="24"/>
        <v>0.13754629629629631</v>
      </c>
      <c r="AD33" s="2166">
        <f t="shared" si="24"/>
        <v>0.12400641025641032</v>
      </c>
      <c r="AE33" s="1321">
        <f t="shared" si="24"/>
        <v>0.1080599730458221</v>
      </c>
      <c r="AF33" s="1321">
        <f t="shared" si="24"/>
        <v>6.6091538461538465E-2</v>
      </c>
      <c r="AG33" s="1321">
        <f t="shared" si="24"/>
        <v>-2.2203862660944196E-2</v>
      </c>
      <c r="AH33" s="2166">
        <f t="shared" si="24"/>
        <v>6.3836206896551876E-3</v>
      </c>
      <c r="AI33" s="1321">
        <f t="shared" si="24"/>
        <v>-8.097826086956542E-4</v>
      </c>
      <c r="AJ33" s="1321">
        <f t="shared" si="24"/>
        <v>3.3055624999999998E-2</v>
      </c>
      <c r="AK33" s="1321">
        <f t="shared" si="24"/>
        <v>7.744073569482289E-2</v>
      </c>
      <c r="AL33" s="2166">
        <f t="shared" si="24"/>
        <v>3.355909090909092E-2</v>
      </c>
      <c r="AM33" s="1321">
        <f t="shared" si="24"/>
        <v>-6.0522727272727277E-2</v>
      </c>
      <c r="AN33" s="1321">
        <f t="shared" si="24"/>
        <v>-3.3888297872340427E-2</v>
      </c>
      <c r="AO33" s="1321">
        <f t="shared" si="24"/>
        <v>2.7592941176470594E-2</v>
      </c>
      <c r="AP33" s="2166">
        <f t="shared" si="24"/>
        <v>3.5934742647058829E-2</v>
      </c>
      <c r="AQ33" s="1321">
        <f t="shared" si="24"/>
        <v>9.14438596491228E-2</v>
      </c>
      <c r="AR33" s="1321">
        <f t="shared" si="24"/>
        <v>6.1987323943661965E-2</v>
      </c>
      <c r="AS33" s="1321">
        <f t="shared" si="24"/>
        <v>-3.0914102564102555E-2</v>
      </c>
      <c r="AT33" s="2166">
        <f t="shared" ref="AT33:AW33" si="25">(AT65/2)/AP42</f>
        <v>-1.2794264339152111E-2</v>
      </c>
      <c r="AU33" s="1321">
        <f t="shared" si="25"/>
        <v>3.62212962962963E-2</v>
      </c>
      <c r="AV33" s="1321">
        <f t="shared" si="25"/>
        <v>3.2952819956616045E-2</v>
      </c>
      <c r="AW33" s="1321">
        <f t="shared" si="25"/>
        <v>1.0851190942568359E-2</v>
      </c>
      <c r="AX33" s="2063"/>
      <c r="AY33" s="2063"/>
      <c r="AZ33" s="2063"/>
      <c r="BA33" s="2063"/>
      <c r="BB33" s="2063"/>
      <c r="BC33" s="2063"/>
      <c r="BD33" s="2063"/>
      <c r="BE33" s="2063"/>
      <c r="BF33" s="2063"/>
      <c r="BG33" s="2063"/>
      <c r="BH33" s="2063"/>
      <c r="BI33" s="2063"/>
      <c r="BJ33" s="2063"/>
      <c r="BK33" s="2063"/>
      <c r="BL33" s="2063"/>
      <c r="BM33" s="2063"/>
      <c r="BN33" s="2063"/>
      <c r="BO33" s="2063"/>
      <c r="BP33" s="2063"/>
      <c r="BQ33" s="2063"/>
      <c r="BR33" s="2063"/>
      <c r="BS33" s="2063"/>
      <c r="BT33" s="2063"/>
      <c r="BU33" s="2063"/>
      <c r="BV33" s="2063"/>
      <c r="BW33" s="2063"/>
    </row>
    <row r="34" spans="1:75">
      <c r="A34" s="2109" t="s">
        <v>552</v>
      </c>
      <c r="B34" s="2123"/>
      <c r="C34" s="2123"/>
      <c r="D34" s="2123"/>
      <c r="E34" s="2123"/>
      <c r="F34" s="2151"/>
      <c r="G34" s="2123"/>
      <c r="H34" s="2123"/>
      <c r="I34" s="2123"/>
      <c r="J34" s="2151"/>
      <c r="K34" s="2123">
        <f t="shared" ref="K34:AS34" si="26">(K67/2)/G43</f>
        <v>2.6293858747993577E-2</v>
      </c>
      <c r="L34" s="2123">
        <f t="shared" si="26"/>
        <v>2.6811697645600981E-2</v>
      </c>
      <c r="M34" s="2123">
        <f t="shared" si="26"/>
        <v>1.8140656725888327E-2</v>
      </c>
      <c r="N34" s="2151">
        <f t="shared" si="26"/>
        <v>5.1924772234273317E-2</v>
      </c>
      <c r="O34" s="2123">
        <f t="shared" si="26"/>
        <v>5.4682178217821779E-2</v>
      </c>
      <c r="P34" s="2123">
        <f t="shared" si="26"/>
        <v>8.454385137683891E-2</v>
      </c>
      <c r="Q34" s="2123">
        <f t="shared" si="26"/>
        <v>0.10570878820960698</v>
      </c>
      <c r="R34" s="2167">
        <f t="shared" si="26"/>
        <v>0.11008147281238748</v>
      </c>
      <c r="S34" s="2124">
        <f t="shared" si="26"/>
        <v>9.4837155201063478E-2</v>
      </c>
      <c r="T34" s="2124">
        <f t="shared" si="26"/>
        <v>0.12331294326241135</v>
      </c>
      <c r="U34" s="2124">
        <f t="shared" si="26"/>
        <v>0.11595253544820956</v>
      </c>
      <c r="V34" s="2167">
        <f t="shared" si="26"/>
        <v>0.12216925770308126</v>
      </c>
      <c r="W34" s="2124">
        <f t="shared" si="26"/>
        <v>7.832614656031904E-2</v>
      </c>
      <c r="X34" s="2124">
        <f t="shared" si="26"/>
        <v>9.3118606596558323E-2</v>
      </c>
      <c r="Y34" s="2124">
        <f t="shared" si="26"/>
        <v>0.10038697116396546</v>
      </c>
      <c r="Z34" s="2167">
        <f t="shared" si="26"/>
        <v>8.8555103550295861E-2</v>
      </c>
      <c r="AA34" s="2124">
        <f t="shared" si="26"/>
        <v>7.4957630140242454E-2</v>
      </c>
      <c r="AB34" s="2124">
        <f t="shared" si="26"/>
        <v>7.184194953104063E-2</v>
      </c>
      <c r="AC34" s="2124">
        <f t="shared" si="26"/>
        <v>6.1630001933114256E-2</v>
      </c>
      <c r="AD34" s="2167">
        <f t="shared" si="26"/>
        <v>6.4842145399084922E-2</v>
      </c>
      <c r="AE34" s="2124">
        <f t="shared" si="26"/>
        <v>2.7781765223125959E-2</v>
      </c>
      <c r="AF34" s="2124">
        <f t="shared" si="26"/>
        <v>-1.5776195899772224E-3</v>
      </c>
      <c r="AG34" s="2124">
        <f t="shared" si="26"/>
        <v>-1.1352562941496127E-3</v>
      </c>
      <c r="AH34" s="2167">
        <f t="shared" si="26"/>
        <v>2.5115352843993393E-2</v>
      </c>
      <c r="AI34" s="2124">
        <f t="shared" si="26"/>
        <v>3.0266724967205963E-3</v>
      </c>
      <c r="AJ34" s="2124">
        <f t="shared" si="26"/>
        <v>3.1062410671748452E-3</v>
      </c>
      <c r="AK34" s="2124">
        <f t="shared" si="26"/>
        <v>1.1255561023622046E-2</v>
      </c>
      <c r="AL34" s="2167">
        <f t="shared" si="26"/>
        <v>1.2027934936350753E-2</v>
      </c>
      <c r="AM34" s="2124">
        <f t="shared" si="26"/>
        <v>-1.6607449494949501E-2</v>
      </c>
      <c r="AN34" s="2124">
        <f t="shared" si="26"/>
        <v>-5.4911638475132552E-3</v>
      </c>
      <c r="AO34" s="2124">
        <f t="shared" si="26"/>
        <v>1.3899342838624668E-2</v>
      </c>
      <c r="AP34" s="2167">
        <f t="shared" si="26"/>
        <v>1.2504084205704705E-2</v>
      </c>
      <c r="AQ34" s="2124">
        <f t="shared" si="26"/>
        <v>5.796690879741679E-3</v>
      </c>
      <c r="AR34" s="2124">
        <f>(AR67/2)/AN43</f>
        <v>-2.7782432089363041E-3</v>
      </c>
      <c r="AS34" s="2124">
        <f t="shared" si="26"/>
        <v>6.3992750878813856E-3</v>
      </c>
      <c r="AT34" s="2167">
        <f t="shared" ref="AT34:AW34" si="27">(AT67/2)/AP43</f>
        <v>1.1929729179154795E-2</v>
      </c>
      <c r="AU34" s="2124">
        <f t="shared" si="27"/>
        <v>2.2378024901430867E-2</v>
      </c>
      <c r="AV34" s="2124">
        <f t="shared" si="27"/>
        <v>2.5639563014400089E-2</v>
      </c>
      <c r="AW34" s="2124">
        <f t="shared" si="27"/>
        <v>1.8883542584154759E-2</v>
      </c>
      <c r="AX34" s="2063"/>
      <c r="AY34" s="2063"/>
      <c r="AZ34" s="2063"/>
      <c r="BA34" s="2063"/>
      <c r="BB34" s="2063"/>
      <c r="BC34" s="2063"/>
      <c r="BD34" s="2063"/>
      <c r="BE34" s="2063"/>
      <c r="BF34" s="2063"/>
      <c r="BG34" s="2063"/>
      <c r="BH34" s="2063"/>
      <c r="BI34" s="2063"/>
      <c r="BJ34" s="2063"/>
      <c r="BK34" s="2063"/>
      <c r="BL34" s="2063"/>
      <c r="BM34" s="2063"/>
      <c r="BN34" s="2063"/>
      <c r="BO34" s="2063"/>
      <c r="BP34" s="2063"/>
      <c r="BQ34" s="2063"/>
      <c r="BR34" s="2063"/>
      <c r="BS34" s="2063"/>
      <c r="BT34" s="2063"/>
      <c r="BU34" s="2063"/>
      <c r="BV34" s="2063"/>
      <c r="BW34" s="2063"/>
    </row>
    <row r="35" spans="1:75" s="2065" customFormat="1">
      <c r="A35" s="2076"/>
      <c r="B35" s="2078"/>
      <c r="C35" s="2078"/>
      <c r="D35" s="2078"/>
      <c r="E35" s="2078"/>
      <c r="F35" s="2078"/>
      <c r="G35" s="2078"/>
      <c r="H35" s="2078"/>
      <c r="I35" s="2078"/>
      <c r="J35" s="2078"/>
      <c r="K35" s="2078"/>
      <c r="L35" s="2078"/>
      <c r="M35" s="2078"/>
      <c r="N35" s="2078"/>
      <c r="O35" s="2078"/>
      <c r="P35" s="2078"/>
      <c r="Q35" s="2078"/>
      <c r="R35" s="2078"/>
      <c r="S35" s="2078"/>
      <c r="T35" s="2078"/>
      <c r="U35" s="2078"/>
      <c r="V35" s="2078"/>
      <c r="W35" s="2078"/>
      <c r="X35" s="2078"/>
      <c r="Y35" s="2078"/>
      <c r="Z35" s="2078"/>
      <c r="AA35" s="2078"/>
      <c r="AB35" s="2078"/>
      <c r="AC35" s="2078"/>
      <c r="AD35" s="2078"/>
      <c r="AE35" s="2078"/>
      <c r="AF35" s="2076"/>
      <c r="AG35" s="2076"/>
      <c r="AH35" s="2076"/>
      <c r="AI35" s="2076"/>
      <c r="AJ35" s="2076"/>
      <c r="AK35" s="2076"/>
      <c r="AL35" s="2076"/>
      <c r="AM35" s="2076"/>
      <c r="AN35" s="2076"/>
      <c r="AO35" s="2076"/>
      <c r="AP35" s="2076"/>
      <c r="AQ35" s="2076"/>
      <c r="AR35" s="2076"/>
      <c r="AS35" s="2076"/>
      <c r="AT35" s="2076"/>
      <c r="AU35" s="2076"/>
      <c r="AV35" s="2076"/>
      <c r="AW35" s="2076"/>
      <c r="AX35" s="2081"/>
      <c r="AY35" s="2081"/>
      <c r="AZ35" s="2081"/>
      <c r="BA35" s="2081"/>
      <c r="BB35" s="2081"/>
      <c r="BC35" s="2081"/>
      <c r="BD35" s="2081"/>
      <c r="BE35" s="2081"/>
      <c r="BF35" s="2081"/>
      <c r="BG35" s="2081"/>
      <c r="BH35" s="2081"/>
      <c r="BI35" s="2081"/>
      <c r="BJ35" s="2081"/>
      <c r="BK35" s="2081"/>
      <c r="BL35" s="2081"/>
      <c r="BM35" s="2081"/>
      <c r="BN35" s="2081"/>
      <c r="BO35" s="2081"/>
      <c r="BP35" s="2081"/>
      <c r="BQ35" s="2081"/>
      <c r="BR35" s="2081"/>
      <c r="BS35" s="2081"/>
      <c r="BT35" s="2081"/>
      <c r="BU35" s="2081"/>
      <c r="BV35" s="2081"/>
      <c r="BW35" s="2081"/>
    </row>
    <row r="36" spans="1:75" s="2065" customFormat="1" hidden="1" outlineLevel="1">
      <c r="A36" s="2108" t="s">
        <v>537</v>
      </c>
      <c r="B36" s="2078"/>
      <c r="C36" s="2078"/>
      <c r="D36" s="2078"/>
      <c r="E36" s="2078"/>
      <c r="F36" s="2078"/>
      <c r="G36" s="2078"/>
      <c r="H36" s="2078"/>
      <c r="I36" s="2078"/>
      <c r="J36" s="2078"/>
      <c r="K36" s="2078"/>
      <c r="L36" s="2078"/>
      <c r="M36" s="2078"/>
      <c r="N36" s="2078"/>
      <c r="O36" s="2078"/>
      <c r="P36" s="2078"/>
      <c r="Q36" s="2078"/>
      <c r="R36" s="2078"/>
      <c r="S36" s="2078"/>
      <c r="T36" s="2078"/>
      <c r="U36" s="2078"/>
      <c r="V36" s="2078"/>
      <c r="W36" s="2078"/>
      <c r="X36" s="2078"/>
      <c r="Y36" s="2078"/>
      <c r="Z36" s="2078"/>
      <c r="AA36" s="2078"/>
      <c r="AB36" s="2078"/>
      <c r="AC36" s="2078"/>
      <c r="AD36" s="2078"/>
      <c r="AE36" s="2078"/>
      <c r="AF36" s="2076"/>
      <c r="AG36" s="2076"/>
      <c r="AH36" s="2076"/>
      <c r="AI36" s="2076"/>
      <c r="AJ36" s="2076"/>
      <c r="AK36" s="2076"/>
      <c r="AL36" s="2076"/>
      <c r="AM36" s="2076"/>
      <c r="AN36" s="2076"/>
      <c r="AO36" s="2076"/>
      <c r="AP36" s="2076"/>
      <c r="AQ36" s="2076"/>
      <c r="AR36" s="2076"/>
      <c r="AS36" s="2076"/>
      <c r="AT36" s="2076"/>
      <c r="AU36" s="2076"/>
      <c r="AV36" s="2076"/>
      <c r="AW36" s="2076"/>
      <c r="AX36" s="2081"/>
      <c r="AY36" s="2081"/>
      <c r="AZ36" s="2081"/>
      <c r="BA36" s="2081"/>
      <c r="BB36" s="2081"/>
      <c r="BC36" s="2081"/>
      <c r="BD36" s="2081"/>
      <c r="BE36" s="2081"/>
      <c r="BF36" s="2081"/>
      <c r="BG36" s="2081"/>
      <c r="BH36" s="2081"/>
      <c r="BI36" s="2081"/>
      <c r="BJ36" s="2081"/>
      <c r="BK36" s="2081"/>
      <c r="BL36" s="2081"/>
      <c r="BM36" s="2081"/>
      <c r="BN36" s="2081"/>
      <c r="BO36" s="2081"/>
      <c r="BP36" s="2081"/>
      <c r="BQ36" s="2081"/>
      <c r="BR36" s="2081"/>
      <c r="BS36" s="2081"/>
      <c r="BT36" s="2081"/>
      <c r="BU36" s="2081"/>
      <c r="BV36" s="2081"/>
      <c r="BW36" s="2081"/>
    </row>
    <row r="37" spans="1:75" hidden="1" outlineLevel="1">
      <c r="A37" s="2051"/>
      <c r="B37" s="2051" t="str">
        <f>B4</f>
        <v>1Q07</v>
      </c>
      <c r="C37" s="2051" t="str">
        <f t="shared" ref="C37:AP37" si="28">C4</f>
        <v>2Q07</v>
      </c>
      <c r="D37" s="2051" t="str">
        <f t="shared" si="28"/>
        <v>3Q07</v>
      </c>
      <c r="E37" s="2051" t="str">
        <f t="shared" si="28"/>
        <v>4Q07</v>
      </c>
      <c r="F37" s="2137" t="str">
        <f t="shared" si="28"/>
        <v>1Q08</v>
      </c>
      <c r="G37" s="2051" t="str">
        <f t="shared" si="28"/>
        <v>2Q08</v>
      </c>
      <c r="H37" s="2051" t="str">
        <f t="shared" si="28"/>
        <v>3Q08</v>
      </c>
      <c r="I37" s="2051" t="str">
        <f t="shared" si="28"/>
        <v>4Q08</v>
      </c>
      <c r="J37" s="2137" t="str">
        <f t="shared" si="28"/>
        <v>1Q09</v>
      </c>
      <c r="K37" s="2051" t="str">
        <f t="shared" si="28"/>
        <v>2Q09</v>
      </c>
      <c r="L37" s="2051" t="str">
        <f t="shared" si="28"/>
        <v>3Q09</v>
      </c>
      <c r="M37" s="2051" t="str">
        <f t="shared" si="28"/>
        <v>4Q09</v>
      </c>
      <c r="N37" s="2137" t="str">
        <f t="shared" si="28"/>
        <v>1Q10</v>
      </c>
      <c r="O37" s="2051" t="str">
        <f t="shared" si="28"/>
        <v>2Q10</v>
      </c>
      <c r="P37" s="2051" t="str">
        <f t="shared" si="28"/>
        <v>3Q10</v>
      </c>
      <c r="Q37" s="2051" t="str">
        <f t="shared" si="28"/>
        <v>4Q10</v>
      </c>
      <c r="R37" s="2137" t="str">
        <f t="shared" si="28"/>
        <v>1Q11</v>
      </c>
      <c r="S37" s="2051" t="str">
        <f t="shared" si="28"/>
        <v>2Q11</v>
      </c>
      <c r="T37" s="2051" t="str">
        <f t="shared" si="28"/>
        <v>3Q11</v>
      </c>
      <c r="U37" s="2051" t="str">
        <f t="shared" si="28"/>
        <v>4Q11</v>
      </c>
      <c r="V37" s="2137" t="str">
        <f t="shared" si="28"/>
        <v>1Q12</v>
      </c>
      <c r="W37" s="2051" t="str">
        <f t="shared" si="28"/>
        <v>2Q12</v>
      </c>
      <c r="X37" s="2051" t="str">
        <f t="shared" si="28"/>
        <v>3Q12</v>
      </c>
      <c r="Y37" s="2051" t="str">
        <f t="shared" si="28"/>
        <v>4Q12</v>
      </c>
      <c r="Z37" s="2137" t="str">
        <f t="shared" si="28"/>
        <v>1Q13</v>
      </c>
      <c r="AA37" s="2051" t="str">
        <f t="shared" si="28"/>
        <v>2Q13</v>
      </c>
      <c r="AB37" s="2051" t="str">
        <f t="shared" si="28"/>
        <v>3Q13</v>
      </c>
      <c r="AC37" s="2051" t="str">
        <f t="shared" si="28"/>
        <v>4Q13</v>
      </c>
      <c r="AD37" s="2137" t="str">
        <f t="shared" si="28"/>
        <v>1Q14</v>
      </c>
      <c r="AE37" s="2051" t="str">
        <f t="shared" si="28"/>
        <v>2Q14</v>
      </c>
      <c r="AF37" s="2051" t="str">
        <f t="shared" si="28"/>
        <v>3Q14</v>
      </c>
      <c r="AG37" s="2051" t="str">
        <f t="shared" si="28"/>
        <v>4Q14</v>
      </c>
      <c r="AH37" s="2137" t="str">
        <f t="shared" si="28"/>
        <v>1Q15</v>
      </c>
      <c r="AI37" s="2051" t="str">
        <f t="shared" si="28"/>
        <v>2Q15</v>
      </c>
      <c r="AJ37" s="2051" t="str">
        <f t="shared" si="28"/>
        <v>3Q15</v>
      </c>
      <c r="AK37" s="2051" t="str">
        <f t="shared" si="28"/>
        <v>4Q15</v>
      </c>
      <c r="AL37" s="2137" t="str">
        <f t="shared" si="28"/>
        <v>1Q16</v>
      </c>
      <c r="AM37" s="2051" t="str">
        <f t="shared" si="28"/>
        <v>2Q16</v>
      </c>
      <c r="AN37" s="2051" t="str">
        <f t="shared" si="28"/>
        <v>3Q16</v>
      </c>
      <c r="AO37" s="2051" t="str">
        <f t="shared" si="28"/>
        <v>4Q16</v>
      </c>
      <c r="AP37" s="2137" t="str">
        <f t="shared" si="28"/>
        <v>1Q17</v>
      </c>
      <c r="AQ37" s="2051" t="str">
        <f t="shared" ref="AQ37:AS37" si="29">AQ4</f>
        <v>2Q17</v>
      </c>
      <c r="AR37" s="2051" t="str">
        <f t="shared" si="29"/>
        <v>3Q17</v>
      </c>
      <c r="AS37" s="2051" t="str">
        <f t="shared" si="29"/>
        <v>4Q17</v>
      </c>
      <c r="AT37" s="2137" t="str">
        <f t="shared" ref="AT37:AW37" si="30">AT4</f>
        <v>1Q18E</v>
      </c>
      <c r="AU37" s="2051" t="str">
        <f t="shared" si="30"/>
        <v>2Q18E</v>
      </c>
      <c r="AV37" s="2051" t="str">
        <f t="shared" si="30"/>
        <v>3Q18E</v>
      </c>
      <c r="AW37" s="2051" t="str">
        <f t="shared" si="30"/>
        <v>4Q18E</v>
      </c>
      <c r="AX37" s="2065"/>
      <c r="AY37" s="2065"/>
      <c r="AZ37" s="2065"/>
      <c r="BA37" s="2065"/>
      <c r="BB37" s="2065"/>
      <c r="BC37" s="2065"/>
      <c r="BD37" s="2065"/>
      <c r="BE37" s="2065"/>
      <c r="BF37" s="2065"/>
      <c r="BG37" s="2065"/>
      <c r="BH37" s="2065"/>
      <c r="BI37" s="2065"/>
      <c r="BJ37" s="2065"/>
      <c r="BK37" s="2065"/>
      <c r="BL37" s="2065"/>
      <c r="BM37" s="2065"/>
      <c r="BN37" s="2065"/>
      <c r="BO37" s="2065"/>
      <c r="BP37" s="2065"/>
      <c r="BQ37" s="2065"/>
      <c r="BR37" s="2065"/>
      <c r="BS37" s="2065"/>
      <c r="BT37" s="2065"/>
      <c r="BU37" s="2065"/>
      <c r="BV37" s="2065"/>
      <c r="BW37" s="2065"/>
    </row>
    <row r="38" spans="1:75" hidden="1" outlineLevel="1">
      <c r="A38" s="2053" t="s">
        <v>332</v>
      </c>
      <c r="B38" s="2085">
        <f>RevBuild!Y53</f>
        <v>0</v>
      </c>
      <c r="C38" s="2085">
        <f>RevBuild!Z53</f>
        <v>0</v>
      </c>
      <c r="D38" s="2085">
        <f>RevBuild!AA53</f>
        <v>0</v>
      </c>
      <c r="E38" s="2085">
        <f>RevBuild!AB53</f>
        <v>0</v>
      </c>
      <c r="F38" s="2152">
        <f>RevBuild!AE53</f>
        <v>230.50000000000003</v>
      </c>
      <c r="G38" s="2085">
        <f>RevBuild!AF53</f>
        <v>303</v>
      </c>
      <c r="H38" s="2085">
        <f>RevBuild!AG53</f>
        <v>233.8</v>
      </c>
      <c r="I38" s="2085">
        <f>RevBuild!AH53</f>
        <v>306.79999999999995</v>
      </c>
      <c r="J38" s="2152">
        <f>RevBuild!AK53</f>
        <v>223.6</v>
      </c>
      <c r="K38" s="2085">
        <f>RevBuild!AL53</f>
        <v>241.3</v>
      </c>
      <c r="L38" s="2085">
        <f>RevBuild!AM53</f>
        <v>251.6</v>
      </c>
      <c r="M38" s="2085">
        <f>RevBuild!AN53</f>
        <v>346.20000000000005</v>
      </c>
      <c r="N38" s="2152">
        <f>RevBuild!AQ53</f>
        <v>260.3</v>
      </c>
      <c r="O38" s="2085">
        <f>RevBuild!AR53</f>
        <v>284.89999999999998</v>
      </c>
      <c r="P38" s="2085">
        <f>RevBuild!AS53</f>
        <v>290.5</v>
      </c>
      <c r="Q38" s="2085">
        <f>RevBuild!AT53</f>
        <v>389.40000000000009</v>
      </c>
      <c r="R38" s="2152">
        <f>RevBuild!AW53</f>
        <v>335.8</v>
      </c>
      <c r="S38" s="2085">
        <f>RevBuild!AX53</f>
        <v>377.9</v>
      </c>
      <c r="T38" s="2085">
        <f>RevBuild!AY53</f>
        <v>394.59999999999997</v>
      </c>
      <c r="U38" s="2085">
        <f>RevBuild!AZ53</f>
        <v>445.80000000000013</v>
      </c>
      <c r="V38" s="2152">
        <f>RevBuild!BC53</f>
        <v>378.1</v>
      </c>
      <c r="W38" s="2085">
        <f>RevBuild!BD53</f>
        <v>397</v>
      </c>
      <c r="X38" s="2085">
        <f>RevBuild!BE53</f>
        <v>408.9</v>
      </c>
      <c r="Y38" s="2085">
        <f>RevBuild!BF53</f>
        <v>482.09999999999997</v>
      </c>
      <c r="Z38" s="2152">
        <f>RevBuild!BI53</f>
        <v>366.3</v>
      </c>
      <c r="AA38" s="2085">
        <f>RevBuild!BJ53</f>
        <v>421.6</v>
      </c>
      <c r="AB38" s="2085">
        <f>RevBuild!BK53</f>
        <v>410.6</v>
      </c>
      <c r="AC38" s="2085">
        <f>RevBuild!BL53</f>
        <v>511</v>
      </c>
      <c r="AD38" s="2152">
        <f>RevBuild!BO53</f>
        <v>393.9</v>
      </c>
      <c r="AE38" s="2085">
        <f>RevBuild!BP53</f>
        <v>421.5</v>
      </c>
      <c r="AF38" s="2085">
        <f>RevBuild!BQ53</f>
        <v>383.4</v>
      </c>
      <c r="AG38" s="2085">
        <f>RevBuild!BR53</f>
        <v>475.80000000000013</v>
      </c>
      <c r="AH38" s="2152">
        <f>RevBuild!BU53</f>
        <v>327.5</v>
      </c>
      <c r="AI38" s="2085">
        <f>RevBuild!BV53</f>
        <v>366.2</v>
      </c>
      <c r="AJ38" s="2085">
        <f>RevBuild!BW53</f>
        <v>366.6</v>
      </c>
      <c r="AK38" s="2085">
        <f>RevBuild!BX53</f>
        <v>439.11708464882065</v>
      </c>
      <c r="AL38" s="2152">
        <f>RevBuild!CA53</f>
        <v>350.4</v>
      </c>
      <c r="AM38" s="2085">
        <f>RevBuild!CB53</f>
        <v>345.70000000000005</v>
      </c>
      <c r="AN38" s="2085">
        <f>RevBuild!CC53</f>
        <v>361.5</v>
      </c>
      <c r="AO38" s="2085">
        <f>RevBuild!CD53</f>
        <v>434.99999999999983</v>
      </c>
      <c r="AP38" s="2152">
        <f>RevBuild!CG53</f>
        <v>346.4</v>
      </c>
      <c r="AQ38" s="2085">
        <f>RevBuild!CH53</f>
        <v>362.5</v>
      </c>
      <c r="AR38" s="2085">
        <f>RevBuild!CI53</f>
        <v>390.59999999999997</v>
      </c>
      <c r="AS38" s="2085">
        <f>RevBuild!CJ53</f>
        <v>484.21170345203603</v>
      </c>
      <c r="AT38" s="2152">
        <f>RevBuild!CM53</f>
        <v>383.11704594178946</v>
      </c>
      <c r="AU38" s="2085">
        <f>RevBuild!CN53</f>
        <v>387.56295915593341</v>
      </c>
      <c r="AV38" s="2085">
        <f>RevBuild!CO53</f>
        <v>403.69902323570602</v>
      </c>
      <c r="AW38" s="2085">
        <f>RevBuild!CP53</f>
        <v>512.44452118600748</v>
      </c>
      <c r="AX38" s="2063"/>
      <c r="AY38" s="2063"/>
      <c r="AZ38" s="2063"/>
      <c r="BA38" s="2063"/>
      <c r="BB38" s="2063"/>
      <c r="BC38" s="2063"/>
      <c r="BD38" s="2063"/>
      <c r="BE38" s="2063"/>
      <c r="BF38" s="2063"/>
      <c r="BG38" s="2063"/>
      <c r="BH38" s="2063"/>
      <c r="BI38" s="2063"/>
      <c r="BJ38" s="2063"/>
      <c r="BK38" s="2063"/>
      <c r="BL38" s="2063"/>
      <c r="BM38" s="2063"/>
      <c r="BN38" s="2063"/>
      <c r="BO38" s="2063"/>
      <c r="BP38" s="2063"/>
      <c r="BQ38" s="2063"/>
      <c r="BR38" s="2063"/>
      <c r="BS38" s="2063"/>
      <c r="BT38" s="2063"/>
      <c r="BU38" s="2063"/>
      <c r="BV38" s="2063"/>
      <c r="BW38" s="2063"/>
    </row>
    <row r="39" spans="1:75" hidden="1" outlineLevel="1">
      <c r="A39" s="2110" t="s">
        <v>450</v>
      </c>
      <c r="B39" s="2121" t="s">
        <v>325</v>
      </c>
      <c r="C39" s="2121" t="s">
        <v>325</v>
      </c>
      <c r="D39" s="2121" t="s">
        <v>325</v>
      </c>
      <c r="E39" s="2121" t="s">
        <v>325</v>
      </c>
      <c r="F39" s="2153" t="s">
        <v>325</v>
      </c>
      <c r="G39" s="2121" t="s">
        <v>325</v>
      </c>
      <c r="H39" s="2121" t="s">
        <v>325</v>
      </c>
      <c r="I39" s="2121" t="s">
        <v>325</v>
      </c>
      <c r="J39" s="2153" t="s">
        <v>325</v>
      </c>
      <c r="K39" s="2121" t="s">
        <v>325</v>
      </c>
      <c r="L39" s="2121" t="s">
        <v>325</v>
      </c>
      <c r="M39" s="2121" t="s">
        <v>325</v>
      </c>
      <c r="N39" s="2153" t="s">
        <v>325</v>
      </c>
      <c r="O39" s="2121" t="s">
        <v>325</v>
      </c>
      <c r="P39" s="2121" t="s">
        <v>325</v>
      </c>
      <c r="Q39" s="2121" t="s">
        <v>325</v>
      </c>
      <c r="R39" s="2153" t="s">
        <v>325</v>
      </c>
      <c r="S39" s="2121" t="s">
        <v>325</v>
      </c>
      <c r="T39" s="2121" t="s">
        <v>325</v>
      </c>
      <c r="U39" s="2121" t="s">
        <v>325</v>
      </c>
      <c r="V39" s="2156">
        <f>RevBuild!BC23</f>
        <v>127.55502696081557</v>
      </c>
      <c r="W39" s="2086">
        <f>RevBuild!BD23</f>
        <v>134.86641813090705</v>
      </c>
      <c r="X39" s="2086">
        <f>RevBuild!BE23</f>
        <v>157.16203177423586</v>
      </c>
      <c r="Y39" s="2086">
        <f>RevBuild!BF23</f>
        <v>146.57439091362073</v>
      </c>
      <c r="Z39" s="2156">
        <f>RevBuild!BI23</f>
        <v>137.12165398287672</v>
      </c>
      <c r="AA39" s="2086">
        <f>RevBuild!BJ23</f>
        <v>148.7328500197018</v>
      </c>
      <c r="AB39" s="2086">
        <f>RevBuild!BK23</f>
        <v>149.30393018552405</v>
      </c>
      <c r="AC39" s="2086">
        <f>RevBuild!BL23</f>
        <v>187.61522036943455</v>
      </c>
      <c r="AD39" s="2156">
        <f>RevBuild!BO23</f>
        <v>144.66334495193493</v>
      </c>
      <c r="AE39" s="2086">
        <f>RevBuild!BP23</f>
        <v>156.1694925206869</v>
      </c>
      <c r="AF39" s="2086">
        <f>RevBuild!BQ23</f>
        <v>143.33177297810309</v>
      </c>
      <c r="AG39" s="2086">
        <f>RevBuild!BR23</f>
        <v>178.60904410681223</v>
      </c>
      <c r="AH39" s="2156">
        <f>RevBuild!BU23</f>
        <v>113.39967323200167</v>
      </c>
      <c r="AI39" s="2086">
        <f>RevBuild!BV23</f>
        <v>137.71050310470571</v>
      </c>
      <c r="AJ39" s="2086">
        <f>RevBuild!BW23</f>
        <v>139.74847865365052</v>
      </c>
      <c r="AK39" s="2086">
        <f>RevBuild!BX23</f>
        <v>156.16143339757207</v>
      </c>
      <c r="AL39" s="2156">
        <f>RevBuild!CA23</f>
        <v>126.14025636657112</v>
      </c>
      <c r="AM39" s="2086">
        <f>RevBuild!CB23</f>
        <v>136.33610565318449</v>
      </c>
      <c r="AN39" s="2086">
        <f>RevBuild!CC23</f>
        <v>147.01539954364034</v>
      </c>
      <c r="AO39" s="2086">
        <f>RevBuild!CD23</f>
        <v>158.81617776533079</v>
      </c>
      <c r="AP39" s="2156">
        <f>RevBuild!CG23</f>
        <v>126.0118355974714</v>
      </c>
      <c r="AQ39" s="2086">
        <f>RevBuild!CH23</f>
        <v>140.26718050582048</v>
      </c>
      <c r="AR39" s="2086">
        <f>RevBuild!CI23</f>
        <v>150.79376913268771</v>
      </c>
      <c r="AS39" s="2086">
        <f>RevBuild!CJ23</f>
        <v>162.24250132063739</v>
      </c>
      <c r="AT39" s="2156">
        <f>RevBuild!CM23</f>
        <v>129.79219066539554</v>
      </c>
      <c r="AU39" s="2086">
        <f>RevBuild!CN23</f>
        <v>144.47519592099511</v>
      </c>
      <c r="AV39" s="2086">
        <f>RevBuild!CO23</f>
        <v>155.31758220666836</v>
      </c>
      <c r="AW39" s="2086">
        <f>RevBuild!CP23</f>
        <v>177.10977636025652</v>
      </c>
      <c r="AX39" s="2063"/>
      <c r="AY39" s="2063"/>
      <c r="AZ39" s="2063"/>
      <c r="BA39" s="2063"/>
      <c r="BB39" s="2063"/>
      <c r="BC39" s="2063"/>
      <c r="BD39" s="2063"/>
      <c r="BE39" s="2063"/>
      <c r="BF39" s="2063"/>
      <c r="BG39" s="2063"/>
      <c r="BH39" s="2063"/>
      <c r="BI39" s="2063"/>
      <c r="BJ39" s="2063"/>
      <c r="BK39" s="2063"/>
      <c r="BL39" s="2063"/>
      <c r="BM39" s="2063"/>
      <c r="BN39" s="2063"/>
      <c r="BO39" s="2063"/>
      <c r="BP39" s="2063"/>
      <c r="BQ39" s="2063"/>
      <c r="BR39" s="2063"/>
      <c r="BS39" s="2063"/>
      <c r="BT39" s="2063"/>
      <c r="BU39" s="2063"/>
      <c r="BV39" s="2063"/>
      <c r="BW39" s="2063"/>
    </row>
    <row r="40" spans="1:75" hidden="1" outlineLevel="1">
      <c r="A40" s="2111" t="s">
        <v>451</v>
      </c>
      <c r="B40" s="2122" t="s">
        <v>325</v>
      </c>
      <c r="C40" s="2122" t="s">
        <v>325</v>
      </c>
      <c r="D40" s="2122" t="s">
        <v>325</v>
      </c>
      <c r="E40" s="2122" t="s">
        <v>325</v>
      </c>
      <c r="F40" s="2154" t="s">
        <v>325</v>
      </c>
      <c r="G40" s="2122" t="s">
        <v>325</v>
      </c>
      <c r="H40" s="2122" t="s">
        <v>325</v>
      </c>
      <c r="I40" s="2122" t="s">
        <v>325</v>
      </c>
      <c r="J40" s="2154" t="s">
        <v>325</v>
      </c>
      <c r="K40" s="2122" t="s">
        <v>325</v>
      </c>
      <c r="L40" s="2122" t="s">
        <v>325</v>
      </c>
      <c r="M40" s="2122" t="s">
        <v>325</v>
      </c>
      <c r="N40" s="2154" t="s">
        <v>325</v>
      </c>
      <c r="O40" s="2122" t="s">
        <v>325</v>
      </c>
      <c r="P40" s="2122" t="s">
        <v>325</v>
      </c>
      <c r="Q40" s="2122" t="s">
        <v>325</v>
      </c>
      <c r="R40" s="2154" t="s">
        <v>325</v>
      </c>
      <c r="S40" s="2122" t="s">
        <v>325</v>
      </c>
      <c r="T40" s="2122" t="s">
        <v>325</v>
      </c>
      <c r="U40" s="2122" t="s">
        <v>325</v>
      </c>
      <c r="V40" s="2152">
        <f>RevBuild!BC32</f>
        <v>136.64041212330224</v>
      </c>
      <c r="W40" s="2085">
        <f>RevBuild!BD32</f>
        <v>125.74072380207036</v>
      </c>
      <c r="X40" s="2085">
        <f>RevBuild!BE32</f>
        <v>127.22139058832845</v>
      </c>
      <c r="Y40" s="2085">
        <f>RevBuild!BF32</f>
        <v>162.76629169785997</v>
      </c>
      <c r="Z40" s="2152">
        <f>RevBuild!BI32</f>
        <v>118.87715854727294</v>
      </c>
      <c r="AA40" s="2085">
        <f>RevBuild!BJ32</f>
        <v>149.94620740760007</v>
      </c>
      <c r="AB40" s="2085">
        <f>RevBuild!BK32</f>
        <v>140.57963660010293</v>
      </c>
      <c r="AC40" s="2085">
        <f>RevBuild!BL32</f>
        <v>173.34610065822085</v>
      </c>
      <c r="AD40" s="2152">
        <f>RevBuild!BO32</f>
        <v>131.95364598747298</v>
      </c>
      <c r="AE40" s="2085">
        <f>RevBuild!BP32</f>
        <v>142.44889703722006</v>
      </c>
      <c r="AF40" s="2085">
        <f>RevBuild!BQ32</f>
        <v>130.73906203809571</v>
      </c>
      <c r="AG40" s="2085">
        <f>RevBuild!BR32</f>
        <v>148.47004298974815</v>
      </c>
      <c r="AH40" s="2152">
        <f>RevBuild!BU32</f>
        <v>107.91171273306435</v>
      </c>
      <c r="AI40" s="2085">
        <f>RevBuild!BV32</f>
        <v>115.85895318432843</v>
      </c>
      <c r="AJ40" s="2085">
        <f>RevBuild!BW32</f>
        <v>135.52767860798133</v>
      </c>
      <c r="AK40" s="2085">
        <f>RevBuild!BX32</f>
        <v>133.31181514158192</v>
      </c>
      <c r="AL40" s="2152">
        <f>RevBuild!CA32</f>
        <v>114.64013158500073</v>
      </c>
      <c r="AM40" s="2085">
        <f>RevBuild!CB32</f>
        <v>104.27533581363707</v>
      </c>
      <c r="AN40" s="2085">
        <f>RevBuild!CC32</f>
        <v>125.43086655168672</v>
      </c>
      <c r="AO40" s="2085">
        <f>RevBuild!CD32</f>
        <v>130.5122670236087</v>
      </c>
      <c r="AP40" s="2152">
        <f>RevBuild!CG32</f>
        <v>104.40291776857565</v>
      </c>
      <c r="AQ40" s="2085">
        <f>RevBuild!CH32</f>
        <v>116.9969267829008</v>
      </c>
      <c r="AR40" s="2085">
        <f>RevBuild!CI32</f>
        <v>137.7670593420284</v>
      </c>
      <c r="AS40" s="2085">
        <f>RevBuild!CJ32</f>
        <v>141.76064229950077</v>
      </c>
      <c r="AT40" s="2152">
        <f>RevBuild!CM32</f>
        <v>123.89293186459557</v>
      </c>
      <c r="AU40" s="2085">
        <f>RevBuild!CN32</f>
        <v>124.02464945943204</v>
      </c>
      <c r="AV40" s="2085">
        <f>RevBuild!CO32</f>
        <v>145.33637027232683</v>
      </c>
      <c r="AW40" s="2085">
        <f>RevBuild!CP32</f>
        <v>153.99295019147269</v>
      </c>
      <c r="AX40" s="2063"/>
      <c r="AY40" s="2063"/>
      <c r="AZ40" s="2063"/>
      <c r="BA40" s="2063"/>
      <c r="BB40" s="2063"/>
      <c r="BC40" s="2063"/>
      <c r="BD40" s="2063"/>
      <c r="BE40" s="2063"/>
      <c r="BF40" s="2063"/>
      <c r="BG40" s="2063"/>
      <c r="BH40" s="2063"/>
      <c r="BI40" s="2063"/>
      <c r="BJ40" s="2063"/>
      <c r="BK40" s="2063"/>
      <c r="BL40" s="2063"/>
      <c r="BM40" s="2063"/>
      <c r="BN40" s="2063"/>
      <c r="BO40" s="2063"/>
      <c r="BP40" s="2063"/>
      <c r="BQ40" s="2063"/>
      <c r="BR40" s="2063"/>
      <c r="BS40" s="2063"/>
      <c r="BT40" s="2063"/>
      <c r="BU40" s="2063"/>
      <c r="BV40" s="2063"/>
      <c r="BW40" s="2063"/>
    </row>
    <row r="41" spans="1:75" hidden="1" outlineLevel="1">
      <c r="A41" s="2110" t="s">
        <v>452</v>
      </c>
      <c r="B41" s="2121" t="s">
        <v>325</v>
      </c>
      <c r="C41" s="2121" t="s">
        <v>325</v>
      </c>
      <c r="D41" s="2121" t="s">
        <v>325</v>
      </c>
      <c r="E41" s="2121" t="s">
        <v>325</v>
      </c>
      <c r="F41" s="2153" t="s">
        <v>325</v>
      </c>
      <c r="G41" s="2121" t="s">
        <v>325</v>
      </c>
      <c r="H41" s="2121" t="s">
        <v>325</v>
      </c>
      <c r="I41" s="2121" t="s">
        <v>325</v>
      </c>
      <c r="J41" s="2153" t="s">
        <v>325</v>
      </c>
      <c r="K41" s="2121" t="s">
        <v>325</v>
      </c>
      <c r="L41" s="2121" t="s">
        <v>325</v>
      </c>
      <c r="M41" s="2121" t="s">
        <v>325</v>
      </c>
      <c r="N41" s="2153" t="s">
        <v>325</v>
      </c>
      <c r="O41" s="2121" t="s">
        <v>325</v>
      </c>
      <c r="P41" s="2121" t="s">
        <v>325</v>
      </c>
      <c r="Q41" s="2121" t="s">
        <v>325</v>
      </c>
      <c r="R41" s="2153" t="s">
        <v>325</v>
      </c>
      <c r="S41" s="2121" t="s">
        <v>325</v>
      </c>
      <c r="T41" s="2121" t="s">
        <v>325</v>
      </c>
      <c r="U41" s="2121" t="s">
        <v>325</v>
      </c>
      <c r="V41" s="2156">
        <f>RevBuild!BC40</f>
        <v>113.90456091588223</v>
      </c>
      <c r="W41" s="2086">
        <f>RevBuild!BD40</f>
        <v>136.39285806702259</v>
      </c>
      <c r="X41" s="2086">
        <f>RevBuild!BE40</f>
        <v>124.51657763743567</v>
      </c>
      <c r="Y41" s="2086">
        <f>RevBuild!BF40</f>
        <v>172.75931738851926</v>
      </c>
      <c r="Z41" s="2156">
        <f>RevBuild!BI40</f>
        <v>110.30118746985035</v>
      </c>
      <c r="AA41" s="2086">
        <f>RevBuild!BJ40</f>
        <v>122.92094257269815</v>
      </c>
      <c r="AB41" s="2086">
        <f>RevBuild!BK40</f>
        <v>120.71643321437304</v>
      </c>
      <c r="AC41" s="2086">
        <f>RevBuild!BL40</f>
        <v>150.0386789723446</v>
      </c>
      <c r="AD41" s="2156">
        <f>RevBuild!BO40</f>
        <v>117.28300906059206</v>
      </c>
      <c r="AE41" s="2086">
        <f>RevBuild!BP40</f>
        <v>122.88161044209303</v>
      </c>
      <c r="AF41" s="2086">
        <f>RevBuild!BQ40</f>
        <v>109.32916498380118</v>
      </c>
      <c r="AG41" s="2086">
        <f>RevBuild!BR40</f>
        <v>148.72091290343974</v>
      </c>
      <c r="AH41" s="2156">
        <f>RevBuild!BU40</f>
        <v>106.18861403493398</v>
      </c>
      <c r="AI41" s="2086">
        <f>RevBuild!BV40</f>
        <v>112.63054371096588</v>
      </c>
      <c r="AJ41" s="2086">
        <f>RevBuild!BW40</f>
        <v>91.289852761473981</v>
      </c>
      <c r="AK41" s="2086">
        <f>RevBuild!BX40</f>
        <v>149.64383610966667</v>
      </c>
      <c r="AL41" s="2156">
        <f>RevBuild!CA40</f>
        <v>109.61961204842811</v>
      </c>
      <c r="AM41" s="2086">
        <f>RevBuild!CB40</f>
        <v>105.19841303427958</v>
      </c>
      <c r="AN41" s="2086">
        <f>RevBuild!CC40</f>
        <v>89.04620660189542</v>
      </c>
      <c r="AO41" s="2086">
        <f>RevBuild!CD40</f>
        <v>145.69252100837383</v>
      </c>
      <c r="AP41" s="2156">
        <f>RevBuild!CG40</f>
        <v>115.907724213615</v>
      </c>
      <c r="AQ41" s="2086">
        <f>RevBuild!CH40</f>
        <v>105.35928603470273</v>
      </c>
      <c r="AR41" s="2086">
        <f>RevBuild!CI40</f>
        <v>105.69345042542334</v>
      </c>
      <c r="AS41" s="2086">
        <f>RevBuild!CJ40</f>
        <v>180.20855983189784</v>
      </c>
      <c r="AT41" s="2156">
        <f>RevBuild!CM40</f>
        <v>129.43192341179835</v>
      </c>
      <c r="AU41" s="2086">
        <f>RevBuild!CN40</f>
        <v>119.06311377550631</v>
      </c>
      <c r="AV41" s="2086">
        <f>RevBuild!CO40</f>
        <v>103.04507075671087</v>
      </c>
      <c r="AW41" s="2086">
        <f>RevBuild!CP40</f>
        <v>181.34179463427822</v>
      </c>
      <c r="AX41" s="2063"/>
      <c r="AY41" s="2063"/>
      <c r="AZ41" s="2063"/>
      <c r="BA41" s="2063"/>
      <c r="BB41" s="2063"/>
      <c r="BC41" s="2063"/>
      <c r="BD41" s="2063"/>
      <c r="BE41" s="2063"/>
      <c r="BF41" s="2063"/>
      <c r="BG41" s="2063"/>
      <c r="BH41" s="2063"/>
      <c r="BI41" s="2063"/>
      <c r="BJ41" s="2063"/>
      <c r="BK41" s="2063"/>
      <c r="BL41" s="2063"/>
      <c r="BM41" s="2063"/>
      <c r="BN41" s="2063"/>
      <c r="BO41" s="2063"/>
      <c r="BP41" s="2063"/>
      <c r="BQ41" s="2063"/>
      <c r="BR41" s="2063"/>
      <c r="BS41" s="2063"/>
      <c r="BT41" s="2063"/>
      <c r="BU41" s="2063"/>
      <c r="BV41" s="2063"/>
      <c r="BW41" s="2063"/>
    </row>
    <row r="42" spans="1:75" hidden="1" outlineLevel="1">
      <c r="A42" s="2053" t="s">
        <v>333</v>
      </c>
      <c r="B42" s="2085">
        <f>RevBuild!Y65</f>
        <v>0</v>
      </c>
      <c r="C42" s="2085">
        <f>RevBuild!Z65</f>
        <v>0</v>
      </c>
      <c r="D42" s="2085">
        <f>RevBuild!AA65</f>
        <v>0</v>
      </c>
      <c r="E42" s="2085">
        <f>RevBuild!AB65</f>
        <v>0</v>
      </c>
      <c r="F42" s="2152">
        <f>RevBuild!AE65</f>
        <v>9.8999999999999986</v>
      </c>
      <c r="G42" s="2085">
        <f>RevBuild!AF65</f>
        <v>12.5</v>
      </c>
      <c r="H42" s="2085">
        <f>RevBuild!AG65</f>
        <v>10.199999999999999</v>
      </c>
      <c r="I42" s="2085">
        <f>RevBuild!AH65</f>
        <v>10.900000000000002</v>
      </c>
      <c r="J42" s="2152">
        <f>RevBuild!AK65</f>
        <v>8.1</v>
      </c>
      <c r="K42" s="2085">
        <f>RevBuild!AL65</f>
        <v>13.700000000000001</v>
      </c>
      <c r="L42" s="2085">
        <f>RevBuild!AM65</f>
        <v>14.2</v>
      </c>
      <c r="M42" s="2085">
        <f>RevBuild!AN65</f>
        <v>23.800000000000004</v>
      </c>
      <c r="N42" s="2152">
        <f>RevBuild!AQ65</f>
        <v>20.7</v>
      </c>
      <c r="O42" s="2085">
        <f>RevBuild!AR65</f>
        <v>18.100000000000001</v>
      </c>
      <c r="P42" s="2085">
        <f>RevBuild!AS65</f>
        <v>22.4</v>
      </c>
      <c r="Q42" s="2085">
        <f>RevBuild!AT65</f>
        <v>29.3</v>
      </c>
      <c r="R42" s="2152">
        <f>RevBuild!AW65</f>
        <v>24</v>
      </c>
      <c r="S42" s="2085">
        <f>RevBuild!AX65</f>
        <v>28.1</v>
      </c>
      <c r="T42" s="2085">
        <f>RevBuild!AY65</f>
        <v>27.7</v>
      </c>
      <c r="U42" s="2085">
        <f>RevBuild!AZ65</f>
        <v>33.6</v>
      </c>
      <c r="V42" s="2152">
        <f>RevBuild!BC65</f>
        <v>30</v>
      </c>
      <c r="W42" s="2085">
        <f>RevBuild!BD65</f>
        <v>26</v>
      </c>
      <c r="X42" s="2085">
        <f>RevBuild!BE65</f>
        <v>42.4</v>
      </c>
      <c r="Y42" s="2085">
        <f>RevBuild!BF65</f>
        <v>37.800000000000011</v>
      </c>
      <c r="Z42" s="2152">
        <f>RevBuild!BI65</f>
        <v>31.200000000000003</v>
      </c>
      <c r="AA42" s="2085">
        <f>RevBuild!BJ65</f>
        <v>37.1</v>
      </c>
      <c r="AB42" s="2085">
        <f>RevBuild!BK65</f>
        <v>32.5</v>
      </c>
      <c r="AC42" s="2085">
        <f>RevBuild!BL65</f>
        <v>46.599999999999994</v>
      </c>
      <c r="AD42" s="2152">
        <f>RevBuild!BO65</f>
        <v>34.800000000000004</v>
      </c>
      <c r="AE42" s="2085">
        <f>RevBuild!BP65</f>
        <v>41.4</v>
      </c>
      <c r="AF42" s="2085">
        <f>RevBuild!BQ65</f>
        <v>40</v>
      </c>
      <c r="AG42" s="2085">
        <f>RevBuild!BR65</f>
        <v>36.700000000000003</v>
      </c>
      <c r="AH42" s="2152">
        <f>RevBuild!BU65</f>
        <v>27.5</v>
      </c>
      <c r="AI42" s="2085">
        <f>RevBuild!BV65</f>
        <v>30.8</v>
      </c>
      <c r="AJ42" s="2085">
        <f>RevBuild!BW65</f>
        <v>32.9</v>
      </c>
      <c r="AK42" s="2085">
        <f>RevBuild!BX65</f>
        <v>42.5</v>
      </c>
      <c r="AL42" s="2152">
        <f>RevBuild!CA65</f>
        <v>27.2</v>
      </c>
      <c r="AM42" s="2085">
        <f>RevBuild!CB65</f>
        <v>28.5</v>
      </c>
      <c r="AN42" s="2085">
        <f>RevBuild!CC65</f>
        <v>35.5</v>
      </c>
      <c r="AO42" s="2085">
        <f>RevBuild!CD65</f>
        <v>39.000000000000007</v>
      </c>
      <c r="AP42" s="2152">
        <f>RevBuild!CG65</f>
        <v>40.1</v>
      </c>
      <c r="AQ42" s="2085">
        <f>RevBuild!CH65</f>
        <v>54</v>
      </c>
      <c r="AR42" s="2085">
        <f>RevBuild!CI65</f>
        <v>46.1</v>
      </c>
      <c r="AS42" s="2085">
        <f>RevBuild!CJ65</f>
        <v>51.052000000000014</v>
      </c>
      <c r="AT42" s="2152">
        <f>RevBuild!CM65</f>
        <v>43.976897731161294</v>
      </c>
      <c r="AU42" s="2085">
        <f>RevBuild!CN65</f>
        <v>50.223649512579776</v>
      </c>
      <c r="AV42" s="2085">
        <f>RevBuild!CO65</f>
        <v>50.937864064554411</v>
      </c>
      <c r="AW42" s="2085">
        <f>RevBuild!CP65</f>
        <v>49.841478596529996</v>
      </c>
      <c r="AX42" s="2063"/>
      <c r="AY42" s="2063"/>
      <c r="AZ42" s="2063"/>
      <c r="BA42" s="2063"/>
      <c r="BB42" s="2063"/>
      <c r="BC42" s="2063"/>
      <c r="BD42" s="2063"/>
      <c r="BE42" s="2063"/>
      <c r="BF42" s="2063"/>
      <c r="BG42" s="2063"/>
      <c r="BH42" s="2063"/>
      <c r="BI42" s="2063"/>
      <c r="BJ42" s="2063"/>
      <c r="BK42" s="2063"/>
      <c r="BL42" s="2063"/>
      <c r="BM42" s="2063"/>
      <c r="BN42" s="2063"/>
      <c r="BO42" s="2063"/>
      <c r="BP42" s="2063"/>
      <c r="BQ42" s="2063"/>
      <c r="BR42" s="2063"/>
      <c r="BS42" s="2063"/>
      <c r="BT42" s="2063"/>
      <c r="BU42" s="2063"/>
      <c r="BV42" s="2063"/>
      <c r="BW42" s="2063"/>
    </row>
    <row r="43" spans="1:75" hidden="1" outlineLevel="1">
      <c r="A43" s="2120" t="s">
        <v>538</v>
      </c>
      <c r="B43" s="2119">
        <f>RevBuild!Y75</f>
        <v>207.536</v>
      </c>
      <c r="C43" s="2119">
        <f>RevBuild!Z75</f>
        <v>238.34199999999998</v>
      </c>
      <c r="D43" s="2119">
        <f>RevBuild!AA75</f>
        <v>241.76</v>
      </c>
      <c r="E43" s="2119">
        <f>RevBuild!AB75</f>
        <v>344.76200000000006</v>
      </c>
      <c r="F43" s="2155">
        <f>RevBuild!AE75</f>
        <v>238.30000000000004</v>
      </c>
      <c r="G43" s="2119">
        <f>RevBuild!AF75</f>
        <v>311.5</v>
      </c>
      <c r="H43" s="2119">
        <f>RevBuild!AG75</f>
        <v>242.1</v>
      </c>
      <c r="I43" s="2119">
        <f>RevBuild!AH75</f>
        <v>315.19999999999993</v>
      </c>
      <c r="J43" s="2155">
        <f>RevBuild!AK75</f>
        <v>230.5</v>
      </c>
      <c r="K43" s="2119">
        <f>RevBuild!AL75</f>
        <v>252.5</v>
      </c>
      <c r="L43" s="2119">
        <f>RevBuild!AM75</f>
        <v>265.10000000000002</v>
      </c>
      <c r="M43" s="2119">
        <f>RevBuild!AN75</f>
        <v>366.40000000000003</v>
      </c>
      <c r="N43" s="2155">
        <f>RevBuild!AQ75</f>
        <v>277.7</v>
      </c>
      <c r="O43" s="2119">
        <f>RevBuild!AR75</f>
        <v>300.89999999999998</v>
      </c>
      <c r="P43" s="2119">
        <f>RevBuild!AS75</f>
        <v>310.2</v>
      </c>
      <c r="Q43" s="2119">
        <f>RevBuild!AT75</f>
        <v>416.10000000000008</v>
      </c>
      <c r="R43" s="2155">
        <f>RevBuild!AW75</f>
        <v>357</v>
      </c>
      <c r="S43" s="2119">
        <f>RevBuild!AX75</f>
        <v>401.2</v>
      </c>
      <c r="T43" s="2119">
        <f>RevBuild!AY75</f>
        <v>418.4</v>
      </c>
      <c r="U43" s="2119">
        <f>RevBuild!AZ75</f>
        <v>475.10000000000014</v>
      </c>
      <c r="V43" s="2155">
        <f>RevBuild!BC75</f>
        <v>405.6</v>
      </c>
      <c r="W43" s="2119">
        <f>RevBuild!BD75</f>
        <v>420.7</v>
      </c>
      <c r="X43" s="2119">
        <f>RevBuild!BE75</f>
        <v>447.79999999999995</v>
      </c>
      <c r="Y43" s="2119">
        <f>RevBuild!BF75</f>
        <v>517.29999999999995</v>
      </c>
      <c r="Z43" s="2155">
        <f>RevBuild!BI75</f>
        <v>393.4</v>
      </c>
      <c r="AA43" s="2119">
        <f>RevBuild!BJ75</f>
        <v>454.90000000000003</v>
      </c>
      <c r="AB43" s="2119">
        <f>RevBuild!BK75</f>
        <v>439</v>
      </c>
      <c r="AC43" s="2119">
        <f>RevBuild!BL75</f>
        <v>552.1</v>
      </c>
      <c r="AD43" s="2155">
        <f>RevBuild!BO75</f>
        <v>423.7</v>
      </c>
      <c r="AE43" s="2119">
        <f>RevBuild!BP75</f>
        <v>457.4</v>
      </c>
      <c r="AF43" s="2119">
        <f>RevBuild!BQ75</f>
        <v>419.79999999999995</v>
      </c>
      <c r="AG43" s="2119">
        <f>RevBuild!BR75</f>
        <v>508.00000000000011</v>
      </c>
      <c r="AH43" s="2155">
        <f>RevBuild!BU75</f>
        <v>353.5</v>
      </c>
      <c r="AI43" s="2119">
        <f>RevBuild!BV75</f>
        <v>396</v>
      </c>
      <c r="AJ43" s="2119">
        <f>RevBuild!BW75</f>
        <v>396.1</v>
      </c>
      <c r="AK43" s="2119">
        <f>RevBuild!BX75</f>
        <v>478.21708464882067</v>
      </c>
      <c r="AL43" s="2155">
        <f>RevBuild!CA75</f>
        <v>375.4</v>
      </c>
      <c r="AM43" s="2119">
        <f>RevBuild!CB75</f>
        <v>371.70000000000005</v>
      </c>
      <c r="AN43" s="2119">
        <f>RevBuild!CC75</f>
        <v>393.9</v>
      </c>
      <c r="AO43" s="2119">
        <f>RevBuild!CD75</f>
        <v>470.29999999999984</v>
      </c>
      <c r="AP43" s="2155">
        <f>RevBuild!CG75</f>
        <v>384.9</v>
      </c>
      <c r="AQ43" s="2119">
        <f>RevBuild!CH75</f>
        <v>414.9</v>
      </c>
      <c r="AR43" s="2119">
        <f>RevBuild!CI75</f>
        <v>435.59999999999997</v>
      </c>
      <c r="AS43" s="2119">
        <f>RevBuild!CJ75</f>
        <v>530.46370345203604</v>
      </c>
      <c r="AT43" s="2155">
        <f>RevBuild!CM75</f>
        <v>423.67719212356712</v>
      </c>
      <c r="AU43" s="2119">
        <f>RevBuild!CN75</f>
        <v>434.28431579916509</v>
      </c>
      <c r="AV43" s="2119">
        <f>RevBuild!CO75</f>
        <v>450.99979220185833</v>
      </c>
      <c r="AW43" s="2119">
        <f>RevBuild!CP75</f>
        <v>557.78771178427723</v>
      </c>
      <c r="AX43" s="2063"/>
      <c r="AY43" s="2063"/>
      <c r="AZ43" s="2063"/>
      <c r="BA43" s="2063"/>
      <c r="BB43" s="2063"/>
      <c r="BC43" s="2063"/>
      <c r="BD43" s="2063"/>
      <c r="BE43" s="2063"/>
      <c r="BF43" s="2063"/>
      <c r="BG43" s="2063"/>
      <c r="BH43" s="2063"/>
      <c r="BI43" s="2063"/>
      <c r="BJ43" s="2063"/>
      <c r="BK43" s="2063"/>
      <c r="BL43" s="2063"/>
      <c r="BM43" s="2063"/>
      <c r="BN43" s="2063"/>
      <c r="BO43" s="2063"/>
      <c r="BP43" s="2063"/>
      <c r="BQ43" s="2063"/>
      <c r="BR43" s="2063"/>
      <c r="BS43" s="2063"/>
      <c r="BT43" s="2063"/>
      <c r="BU43" s="2063"/>
      <c r="BV43" s="2063"/>
      <c r="BW43" s="2063"/>
    </row>
    <row r="44" spans="1:75" s="2065" customFormat="1" hidden="1" outlineLevel="1">
      <c r="A44" s="2062"/>
      <c r="B44" s="2078"/>
      <c r="C44" s="2078"/>
      <c r="D44" s="2078"/>
      <c r="E44" s="2078"/>
      <c r="F44" s="2078"/>
      <c r="G44" s="2078"/>
      <c r="H44" s="2078"/>
      <c r="I44" s="2078"/>
      <c r="J44" s="2078"/>
      <c r="K44" s="2078"/>
      <c r="L44" s="2078"/>
      <c r="M44" s="2078"/>
      <c r="N44" s="2078"/>
      <c r="O44" s="2078"/>
      <c r="P44" s="2078"/>
      <c r="Q44" s="2078"/>
      <c r="R44" s="2078"/>
      <c r="S44" s="2078"/>
      <c r="T44" s="2078"/>
      <c r="U44" s="2078"/>
      <c r="V44" s="2078"/>
      <c r="W44" s="2078"/>
      <c r="X44" s="2078"/>
      <c r="Y44" s="2078"/>
      <c r="Z44" s="2078"/>
      <c r="AA44" s="2078"/>
      <c r="AB44" s="2078"/>
      <c r="AC44" s="2078"/>
      <c r="AD44" s="2078"/>
      <c r="AE44" s="2078"/>
      <c r="AF44" s="2078"/>
      <c r="AG44" s="2078"/>
      <c r="AH44" s="2078"/>
      <c r="AI44" s="2078"/>
      <c r="AJ44" s="2078"/>
      <c r="AK44" s="2078"/>
      <c r="AL44" s="2078"/>
      <c r="AM44" s="2078"/>
      <c r="AN44" s="2078"/>
      <c r="AO44" s="2078"/>
      <c r="AP44" s="2078"/>
      <c r="AQ44" s="2078"/>
      <c r="AR44" s="2078"/>
      <c r="AS44" s="2078"/>
      <c r="AT44" s="2078"/>
      <c r="AU44" s="2078"/>
      <c r="AV44" s="2078"/>
      <c r="AW44" s="2078"/>
      <c r="AX44" s="2081"/>
      <c r="AY44" s="2081"/>
      <c r="AZ44" s="2081"/>
      <c r="BA44" s="2081"/>
      <c r="BB44" s="2081"/>
      <c r="BC44" s="2081"/>
      <c r="BD44" s="2081"/>
      <c r="BE44" s="2081"/>
      <c r="BF44" s="2081"/>
      <c r="BG44" s="2081"/>
      <c r="BH44" s="2081"/>
      <c r="BI44" s="2081"/>
      <c r="BJ44" s="2081"/>
      <c r="BK44" s="2081"/>
      <c r="BL44" s="2081"/>
      <c r="BM44" s="2081"/>
      <c r="BN44" s="2081"/>
      <c r="BO44" s="2081"/>
      <c r="BP44" s="2081"/>
      <c r="BQ44" s="2081"/>
      <c r="BR44" s="2081"/>
      <c r="BS44" s="2081"/>
      <c r="BT44" s="2081"/>
      <c r="BU44" s="2081"/>
      <c r="BV44" s="2081"/>
      <c r="BW44" s="2081"/>
    </row>
    <row r="45" spans="1:75" s="2065" customFormat="1" collapsed="1">
      <c r="A45" s="2108" t="s">
        <v>539</v>
      </c>
      <c r="B45" s="2081"/>
      <c r="C45" s="2081"/>
      <c r="D45" s="2081"/>
      <c r="E45" s="2081"/>
      <c r="F45" s="2081"/>
      <c r="G45" s="2076"/>
      <c r="H45" s="2076"/>
      <c r="I45" s="2076"/>
      <c r="J45" s="2076"/>
      <c r="K45" s="2076"/>
      <c r="L45" s="2076"/>
      <c r="M45" s="2076"/>
      <c r="N45" s="2076"/>
      <c r="O45" s="2076"/>
      <c r="P45" s="2076"/>
      <c r="Q45" s="2076"/>
      <c r="R45" s="2076"/>
      <c r="S45" s="2076"/>
      <c r="T45" s="2076"/>
      <c r="U45" s="2076"/>
      <c r="V45" s="2076"/>
      <c r="W45" s="2076"/>
      <c r="X45" s="2076"/>
      <c r="Y45" s="2076"/>
      <c r="Z45" s="2076"/>
      <c r="AA45" s="2076"/>
      <c r="AB45" s="2076"/>
      <c r="AC45" s="2076"/>
      <c r="AD45" s="2076"/>
      <c r="AE45" s="2076"/>
      <c r="AF45" s="2076"/>
      <c r="AG45" s="2076"/>
      <c r="AH45" s="2076"/>
      <c r="AI45" s="2076"/>
      <c r="AJ45" s="2076"/>
      <c r="AK45" s="2076"/>
      <c r="AL45" s="2076"/>
      <c r="AM45" s="2076"/>
      <c r="AN45" s="2076"/>
      <c r="AO45" s="2076"/>
      <c r="AP45" s="2076"/>
      <c r="AQ45" s="2076"/>
      <c r="AR45" s="2076"/>
      <c r="AS45" s="2076"/>
      <c r="AT45" s="2076"/>
      <c r="AU45" s="2076"/>
      <c r="AV45" s="2076"/>
      <c r="AW45" s="2076"/>
      <c r="AX45" s="2081"/>
      <c r="AY45" s="2081"/>
      <c r="AZ45" s="2081"/>
      <c r="BA45" s="2081"/>
      <c r="BB45" s="2081"/>
      <c r="BC45" s="2081"/>
      <c r="BD45" s="2081"/>
      <c r="BE45" s="2081"/>
      <c r="BF45" s="2081"/>
      <c r="BG45" s="2081"/>
      <c r="BH45" s="2081"/>
      <c r="BI45" s="2081"/>
      <c r="BJ45" s="2081"/>
      <c r="BK45" s="2081"/>
      <c r="BL45" s="2081"/>
      <c r="BM45" s="2081"/>
      <c r="BN45" s="2081"/>
      <c r="BO45" s="2081"/>
      <c r="BP45" s="2081"/>
      <c r="BQ45" s="2081"/>
      <c r="BR45" s="2081"/>
      <c r="BS45" s="2081"/>
      <c r="BT45" s="2081"/>
      <c r="BU45" s="2081"/>
      <c r="BV45" s="2081"/>
      <c r="BW45" s="2081"/>
    </row>
    <row r="46" spans="1:75">
      <c r="A46" s="2272"/>
      <c r="B46" s="2272" t="str">
        <f>B$4</f>
        <v>1Q07</v>
      </c>
      <c r="C46" s="2272" t="str">
        <f t="shared" ref="C46:AW46" si="31">C$4</f>
        <v>2Q07</v>
      </c>
      <c r="D46" s="2272" t="str">
        <f t="shared" si="31"/>
        <v>3Q07</v>
      </c>
      <c r="E46" s="2272" t="str">
        <f t="shared" si="31"/>
        <v>4Q07</v>
      </c>
      <c r="F46" s="2273" t="str">
        <f t="shared" si="31"/>
        <v>1Q08</v>
      </c>
      <c r="G46" s="2272" t="str">
        <f t="shared" si="31"/>
        <v>2Q08</v>
      </c>
      <c r="H46" s="2272" t="str">
        <f t="shared" si="31"/>
        <v>3Q08</v>
      </c>
      <c r="I46" s="2272" t="str">
        <f t="shared" si="31"/>
        <v>4Q08</v>
      </c>
      <c r="J46" s="2273" t="str">
        <f t="shared" si="31"/>
        <v>1Q09</v>
      </c>
      <c r="K46" s="2272" t="str">
        <f t="shared" si="31"/>
        <v>2Q09</v>
      </c>
      <c r="L46" s="2272" t="str">
        <f t="shared" si="31"/>
        <v>3Q09</v>
      </c>
      <c r="M46" s="2272" t="str">
        <f t="shared" si="31"/>
        <v>4Q09</v>
      </c>
      <c r="N46" s="2273" t="str">
        <f t="shared" si="31"/>
        <v>1Q10</v>
      </c>
      <c r="O46" s="2272" t="str">
        <f t="shared" si="31"/>
        <v>2Q10</v>
      </c>
      <c r="P46" s="2272" t="str">
        <f t="shared" si="31"/>
        <v>3Q10</v>
      </c>
      <c r="Q46" s="2272" t="str">
        <f t="shared" si="31"/>
        <v>4Q10</v>
      </c>
      <c r="R46" s="2273" t="str">
        <f t="shared" si="31"/>
        <v>1Q11</v>
      </c>
      <c r="S46" s="2272" t="str">
        <f t="shared" si="31"/>
        <v>2Q11</v>
      </c>
      <c r="T46" s="2272" t="str">
        <f t="shared" si="31"/>
        <v>3Q11</v>
      </c>
      <c r="U46" s="2272" t="str">
        <f t="shared" si="31"/>
        <v>4Q11</v>
      </c>
      <c r="V46" s="2273" t="str">
        <f t="shared" si="31"/>
        <v>1Q12</v>
      </c>
      <c r="W46" s="2272" t="str">
        <f t="shared" si="31"/>
        <v>2Q12</v>
      </c>
      <c r="X46" s="2272" t="str">
        <f t="shared" si="31"/>
        <v>3Q12</v>
      </c>
      <c r="Y46" s="2272" t="str">
        <f t="shared" si="31"/>
        <v>4Q12</v>
      </c>
      <c r="Z46" s="2273" t="str">
        <f t="shared" si="31"/>
        <v>1Q13</v>
      </c>
      <c r="AA46" s="2272" t="str">
        <f t="shared" si="31"/>
        <v>2Q13</v>
      </c>
      <c r="AB46" s="2272" t="str">
        <f t="shared" si="31"/>
        <v>3Q13</v>
      </c>
      <c r="AC46" s="2272" t="str">
        <f t="shared" si="31"/>
        <v>4Q13</v>
      </c>
      <c r="AD46" s="2273" t="str">
        <f t="shared" si="31"/>
        <v>1Q14</v>
      </c>
      <c r="AE46" s="2272" t="str">
        <f t="shared" si="31"/>
        <v>2Q14</v>
      </c>
      <c r="AF46" s="2272" t="str">
        <f t="shared" si="31"/>
        <v>3Q14</v>
      </c>
      <c r="AG46" s="2272" t="str">
        <f t="shared" si="31"/>
        <v>4Q14</v>
      </c>
      <c r="AH46" s="2273" t="str">
        <f t="shared" si="31"/>
        <v>1Q15</v>
      </c>
      <c r="AI46" s="2272" t="str">
        <f t="shared" si="31"/>
        <v>2Q15</v>
      </c>
      <c r="AJ46" s="2272" t="str">
        <f t="shared" si="31"/>
        <v>3Q15</v>
      </c>
      <c r="AK46" s="2272" t="str">
        <f t="shared" si="31"/>
        <v>4Q15</v>
      </c>
      <c r="AL46" s="2273" t="str">
        <f t="shared" si="31"/>
        <v>1Q16</v>
      </c>
      <c r="AM46" s="2272" t="str">
        <f t="shared" si="31"/>
        <v>2Q16</v>
      </c>
      <c r="AN46" s="2272" t="str">
        <f t="shared" si="31"/>
        <v>3Q16</v>
      </c>
      <c r="AO46" s="2272" t="str">
        <f t="shared" si="31"/>
        <v>4Q16</v>
      </c>
      <c r="AP46" s="2273" t="str">
        <f t="shared" si="31"/>
        <v>1Q17</v>
      </c>
      <c r="AQ46" s="2272" t="str">
        <f t="shared" si="31"/>
        <v>2Q17</v>
      </c>
      <c r="AR46" s="2272" t="str">
        <f t="shared" si="31"/>
        <v>3Q17</v>
      </c>
      <c r="AS46" s="2272" t="str">
        <f t="shared" si="31"/>
        <v>4Q17</v>
      </c>
      <c r="AT46" s="2273" t="str">
        <f t="shared" si="31"/>
        <v>1Q18E</v>
      </c>
      <c r="AU46" s="2272" t="str">
        <f t="shared" si="31"/>
        <v>2Q18E</v>
      </c>
      <c r="AV46" s="2272" t="str">
        <f t="shared" si="31"/>
        <v>3Q18E</v>
      </c>
      <c r="AW46" s="2272" t="str">
        <f t="shared" si="31"/>
        <v>4Q18E</v>
      </c>
      <c r="AX46" s="2065"/>
      <c r="AY46" s="2065"/>
      <c r="AZ46" s="2065"/>
      <c r="BA46" s="2065"/>
      <c r="BB46" s="2065"/>
      <c r="BC46" s="2065"/>
      <c r="BD46" s="2065"/>
      <c r="BE46" s="2065"/>
      <c r="BF46" s="2065"/>
      <c r="BG46" s="2065"/>
      <c r="BH46" s="2065"/>
      <c r="BI46" s="2065"/>
      <c r="BJ46" s="2065"/>
      <c r="BK46" s="2065"/>
      <c r="BL46" s="2065"/>
      <c r="BM46" s="2065"/>
      <c r="BN46" s="2065"/>
      <c r="BO46" s="2065"/>
      <c r="BP46" s="2065"/>
      <c r="BQ46" s="2065"/>
      <c r="BR46" s="2065"/>
      <c r="BS46" s="2065"/>
      <c r="BT46" s="2065"/>
      <c r="BU46" s="2065"/>
      <c r="BV46" s="2065"/>
      <c r="BW46" s="2065"/>
    </row>
    <row r="47" spans="1:75">
      <c r="A47" s="2053" t="s">
        <v>332</v>
      </c>
      <c r="B47" s="2079"/>
      <c r="C47" s="2079"/>
      <c r="D47" s="2079"/>
      <c r="E47" s="2079"/>
      <c r="F47" s="2157"/>
      <c r="G47" s="2079"/>
      <c r="H47" s="2079"/>
      <c r="I47" s="2079"/>
      <c r="J47" s="2173">
        <f>RevBuild!AE53*RevBuild!AK58</f>
        <v>-5.5320000000000009</v>
      </c>
      <c r="K47" s="2174">
        <f>RevBuild!AF53*RevBuild!AL58</f>
        <v>-39.39</v>
      </c>
      <c r="L47" s="2174">
        <f>RevBuild!AG53*RevBuild!AM58</f>
        <v>21.743400000000001</v>
      </c>
      <c r="M47" s="2174">
        <f>RevBuild!AH53*RevBuild!AN58</f>
        <v>13.702315424610056</v>
      </c>
      <c r="N47" s="2173">
        <f>RevBuild!AK53*RevBuild!AQ58</f>
        <v>19.229599999999998</v>
      </c>
      <c r="O47" s="2174">
        <f>RevBuild!AL53*RevBuild!AR58</f>
        <v>44.3992</v>
      </c>
      <c r="P47" s="2174">
        <f>RevBuild!AM53*RevBuild!AS58</f>
        <v>37.488399999999999</v>
      </c>
      <c r="Q47" s="2174">
        <f>RevBuild!AN53*RevBuild!AT58</f>
        <v>51.930000000000007</v>
      </c>
      <c r="R47" s="2173">
        <f>RevBuild!AQ53*RevBuild!AW58</f>
        <v>8.5899000000000001</v>
      </c>
      <c r="S47" s="2174">
        <f>RevBuild!AR53*RevBuild!AX58</f>
        <v>17.663799999999998</v>
      </c>
      <c r="T47" s="2174">
        <f>RevBuild!AS53*RevBuild!AY58</f>
        <v>31.6645</v>
      </c>
      <c r="U47" s="2174">
        <f>RevBuild!AT53*RevBuild!AZ58</f>
        <v>47.896200000000007</v>
      </c>
      <c r="V47" s="2173">
        <f>RevBuild!AW53*RevBuild!BC58</f>
        <v>41.639200000000002</v>
      </c>
      <c r="W47" s="2174">
        <f>RevBuild!AX53*RevBuild!BD58</f>
        <v>38.545799999999993</v>
      </c>
      <c r="X47" s="2174">
        <f>RevBuild!AY53*RevBuild!BE58</f>
        <v>37.486999999999995</v>
      </c>
      <c r="Y47" s="2174">
        <f>RevBuild!AZ53*RevBuild!BF58</f>
        <v>40.426505164903361</v>
      </c>
      <c r="Z47" s="2173">
        <f>RevBuild!BC53*RevBuild!BI58</f>
        <v>-3.7810000000000001</v>
      </c>
      <c r="AA47" s="2174">
        <f>RevBuild!BD53*RevBuild!BJ58</f>
        <v>30.568999999999999</v>
      </c>
      <c r="AB47" s="2174">
        <f>RevBuild!BE53*RevBuild!BK58</f>
        <v>1.2266999999999999</v>
      </c>
      <c r="AC47" s="2174">
        <f>RevBuild!BF53*RevBuild!BL58</f>
        <v>28.443899999999996</v>
      </c>
      <c r="AD47" s="2173">
        <f>RevBuild!BI53*RevBuild!BO58</f>
        <v>24.175800000000002</v>
      </c>
      <c r="AE47" s="2174">
        <f>RevBuild!BJ53*RevBuild!BP58</f>
        <v>-10.540000000000001</v>
      </c>
      <c r="AF47" s="2174">
        <f>RevBuild!BK53*RevBuild!BQ58</f>
        <v>-29.1526</v>
      </c>
      <c r="AG47" s="2174">
        <f>RevBuild!BL53*RevBuild!BR58</f>
        <v>3.0660000000000003</v>
      </c>
      <c r="AH47" s="2173">
        <f>RevBuild!BO53*RevBuild!BU58</f>
        <v>-14.180399999999999</v>
      </c>
      <c r="AI47" s="2174">
        <f>RevBuild!BP53*RevBuild!BV58</f>
        <v>2.5289999999999999</v>
      </c>
      <c r="AJ47" s="2174">
        <f>RevBuild!BQ53*RevBuild!BW58</f>
        <v>35.656199999999998</v>
      </c>
      <c r="AK47" s="2174">
        <f>RevBuild!BR53*RevBuild!BX58</f>
        <v>0</v>
      </c>
      <c r="AL47" s="2173">
        <f>RevBuild!BU53*RevBuild!CA58</f>
        <v>20.305</v>
      </c>
      <c r="AM47" s="2174">
        <f>RevBuild!BV53*RevBuild!CB58</f>
        <v>-31.859399999999997</v>
      </c>
      <c r="AN47" s="2174">
        <f>RevBuild!BW53*RevBuild!CC58</f>
        <v>-12.831000000000001</v>
      </c>
      <c r="AO47" s="2174">
        <f>RevBuild!BX53*RevBuild!CD58</f>
        <v>-1.317351253946462</v>
      </c>
      <c r="AP47" s="2173">
        <f>RevBuild!CA53*RevBuild!CG58</f>
        <v>-4.2047999999999996</v>
      </c>
      <c r="AQ47" s="2174">
        <f>RevBuild!CB53*RevBuild!CH58</f>
        <v>15.210800000000001</v>
      </c>
      <c r="AR47" s="2174">
        <f>RevBuild!CC53*RevBuild!CI58</f>
        <v>15.183000000000002</v>
      </c>
      <c r="AS47" s="2174">
        <f>RevBuild!CD53*RevBuild!CJ58</f>
        <v>14.789999999999996</v>
      </c>
      <c r="AT47" s="2173">
        <f>RevBuild!CG53*RevBuild!CM58</f>
        <v>13.61883711200716</v>
      </c>
      <c r="AU47" s="2174">
        <f>RevBuild!CH53*RevBuild!CN58</f>
        <v>6.9134601131525404</v>
      </c>
      <c r="AV47" s="2174">
        <f>RevBuild!CI53*RevBuild!CO58</f>
        <v>3.3563572136897832</v>
      </c>
      <c r="AW47" s="2174">
        <f>RevBuild!CJ53*RevBuild!CP58</f>
        <v>5.5036364405392693</v>
      </c>
      <c r="AX47" s="2063"/>
      <c r="AY47" s="2063"/>
      <c r="AZ47" s="2063"/>
      <c r="BA47" s="2063"/>
      <c r="BB47" s="2063"/>
      <c r="BC47" s="2063"/>
      <c r="BD47" s="2063"/>
      <c r="BE47" s="2063"/>
      <c r="BF47" s="2063"/>
      <c r="BG47" s="2063"/>
      <c r="BH47" s="2063"/>
      <c r="BI47" s="2063"/>
      <c r="BJ47" s="2063"/>
      <c r="BK47" s="2063"/>
      <c r="BL47" s="2063"/>
      <c r="BM47" s="2063"/>
      <c r="BN47" s="2063"/>
      <c r="BO47" s="2063"/>
      <c r="BP47" s="2063"/>
      <c r="BQ47" s="2063"/>
      <c r="BR47" s="2063"/>
      <c r="BS47" s="2063"/>
      <c r="BT47" s="2063"/>
      <c r="BU47" s="2063"/>
      <c r="BV47" s="2063"/>
      <c r="BW47" s="2063"/>
    </row>
    <row r="48" spans="1:75">
      <c r="A48" s="2055" t="s">
        <v>450</v>
      </c>
      <c r="B48" s="2089"/>
      <c r="C48" s="2089"/>
      <c r="D48" s="2089"/>
      <c r="E48" s="2089"/>
      <c r="F48" s="2163"/>
      <c r="G48" s="2089"/>
      <c r="H48" s="2089"/>
      <c r="I48" s="2089"/>
      <c r="J48" s="2175" t="s">
        <v>270</v>
      </c>
      <c r="K48" s="2176" t="s">
        <v>270</v>
      </c>
      <c r="L48" s="2176" t="s">
        <v>270</v>
      </c>
      <c r="M48" s="2176" t="s">
        <v>270</v>
      </c>
      <c r="N48" s="2175" t="s">
        <v>270</v>
      </c>
      <c r="O48" s="2176" t="s">
        <v>270</v>
      </c>
      <c r="P48" s="2176" t="s">
        <v>270</v>
      </c>
      <c r="Q48" s="2176" t="s">
        <v>270</v>
      </c>
      <c r="R48" s="2175" t="s">
        <v>270</v>
      </c>
      <c r="S48" s="2176" t="s">
        <v>270</v>
      </c>
      <c r="T48" s="2176" t="s">
        <v>270</v>
      </c>
      <c r="U48" s="2176" t="s">
        <v>270</v>
      </c>
      <c r="V48" s="2175" t="s">
        <v>270</v>
      </c>
      <c r="W48" s="2176" t="s">
        <v>270</v>
      </c>
      <c r="X48" s="2176" t="s">
        <v>270</v>
      </c>
      <c r="Y48" s="2176" t="s">
        <v>270</v>
      </c>
      <c r="Z48" s="2163">
        <f>RevBuild!BC23*RevBuild!BI30</f>
        <v>7.3624990965163626</v>
      </c>
      <c r="AA48" s="2089">
        <f>RevBuild!BD23*RevBuild!BJ30</f>
        <v>15.191316097133628</v>
      </c>
      <c r="AB48" s="2089">
        <f>RevBuild!BE23*RevBuild!BK30</f>
        <v>-8.1271488429107848</v>
      </c>
      <c r="AC48" s="2089">
        <f>RevBuild!BF23*RevBuild!BL30</f>
        <v>40.888812871169932</v>
      </c>
      <c r="AD48" s="2163">
        <f>RevBuild!BI23*RevBuild!BO30</f>
        <v>7.9534677077455287</v>
      </c>
      <c r="AE48" s="2089">
        <f>RevBuild!BJ23*RevBuild!BP30</f>
        <v>4.4379963312330446</v>
      </c>
      <c r="AF48" s="2089">
        <f>RevBuild!BK23*RevBuild!BQ30</f>
        <v>-5.3903591355825888</v>
      </c>
      <c r="AG48" s="2089">
        <f>RevBuild!BL23*RevBuild!BR30</f>
        <v>2.4857149263469576</v>
      </c>
      <c r="AH48" s="2163">
        <f>RevBuild!BO23*RevBuild!BU30</f>
        <v>-16.132598320543252</v>
      </c>
      <c r="AI48" s="2089">
        <f>RevBuild!BP23*RevBuild!BV30</f>
        <v>-6.2467797008274761</v>
      </c>
      <c r="AJ48" s="2089">
        <f>RevBuild!BQ23*RevBuild!BW30</f>
        <v>11.466541838248247</v>
      </c>
      <c r="AK48" s="2089">
        <f>RevBuild!BR23*RevBuild!BX30</f>
        <v>-14.360776044036536</v>
      </c>
      <c r="AL48" s="2163">
        <f>RevBuild!BU23*RevBuild!CA30</f>
        <v>13.6079607878402</v>
      </c>
      <c r="AM48" s="2089">
        <f>RevBuild!BV23*RevBuild!CB30</f>
        <v>-1.3771050310470572</v>
      </c>
      <c r="AN48" s="2089">
        <f>RevBuild!BW23*RevBuild!CC30</f>
        <v>6.9874239326825265</v>
      </c>
      <c r="AO48" s="2089">
        <f>RevBuild!BX23*RevBuild!CD30</f>
        <v>4.6848430019271623</v>
      </c>
      <c r="AP48" s="2163">
        <f>RevBuild!CA23*RevBuild!CG30</f>
        <v>2.1443843582317093</v>
      </c>
      <c r="AQ48" s="2089">
        <f>RevBuild!CB23*RevBuild!CH30</f>
        <v>6.1351247543933018</v>
      </c>
      <c r="AR48" s="2089">
        <f>RevBuild!CC23*RevBuild!CI30</f>
        <v>0</v>
      </c>
      <c r="AS48" s="2089">
        <f>RevBuild!CD23*RevBuild!CJ30</f>
        <v>-5.0821176884905856</v>
      </c>
      <c r="AT48" s="2163">
        <f>RevBuild!CG23*RevBuild!CM30</f>
        <v>3.780355067924142</v>
      </c>
      <c r="AU48" s="2089">
        <f>RevBuild!CH23*RevBuild!CN30</f>
        <v>4.2080154151746143</v>
      </c>
      <c r="AV48" s="2089">
        <f>RevBuild!CI23*RevBuild!CO30</f>
        <v>4.523813073980631</v>
      </c>
      <c r="AW48" s="2089">
        <f>RevBuild!CJ23*RevBuild!CP30</f>
        <v>4.8672750396191216</v>
      </c>
      <c r="AX48" s="2063"/>
      <c r="AY48" s="2063"/>
      <c r="AZ48" s="2063"/>
      <c r="BA48" s="2063"/>
      <c r="BB48" s="2063"/>
      <c r="BC48" s="2063"/>
      <c r="BD48" s="2063"/>
      <c r="BE48" s="2063"/>
      <c r="BF48" s="2063"/>
      <c r="BG48" s="2063"/>
      <c r="BH48" s="2063"/>
      <c r="BI48" s="2063"/>
      <c r="BJ48" s="2063"/>
      <c r="BK48" s="2063"/>
      <c r="BL48" s="2063"/>
      <c r="BM48" s="2063"/>
      <c r="BN48" s="2063"/>
      <c r="BO48" s="2063"/>
      <c r="BP48" s="2063"/>
      <c r="BQ48" s="2063"/>
      <c r="BR48" s="2063"/>
      <c r="BS48" s="2063"/>
      <c r="BT48" s="2063"/>
      <c r="BU48" s="2063"/>
      <c r="BV48" s="2063"/>
      <c r="BW48" s="2063"/>
    </row>
    <row r="49" spans="1:75">
      <c r="A49" s="2053" t="s">
        <v>451</v>
      </c>
      <c r="B49" s="2079"/>
      <c r="C49" s="2079"/>
      <c r="D49" s="2079"/>
      <c r="E49" s="2079"/>
      <c r="F49" s="2157"/>
      <c r="G49" s="2079"/>
      <c r="H49" s="2079"/>
      <c r="I49" s="2079"/>
      <c r="J49" s="2173" t="s">
        <v>270</v>
      </c>
      <c r="K49" s="2174" t="s">
        <v>270</v>
      </c>
      <c r="L49" s="2174" t="s">
        <v>270</v>
      </c>
      <c r="M49" s="2174" t="s">
        <v>270</v>
      </c>
      <c r="N49" s="2173" t="s">
        <v>270</v>
      </c>
      <c r="O49" s="2174" t="s">
        <v>270</v>
      </c>
      <c r="P49" s="2174" t="s">
        <v>270</v>
      </c>
      <c r="Q49" s="2174" t="s">
        <v>270</v>
      </c>
      <c r="R49" s="2173" t="s">
        <v>270</v>
      </c>
      <c r="S49" s="2174" t="s">
        <v>270</v>
      </c>
      <c r="T49" s="2174" t="s">
        <v>270</v>
      </c>
      <c r="U49" s="2174" t="s">
        <v>270</v>
      </c>
      <c r="V49" s="2173" t="s">
        <v>270</v>
      </c>
      <c r="W49" s="2174" t="s">
        <v>270</v>
      </c>
      <c r="X49" s="2174" t="s">
        <v>270</v>
      </c>
      <c r="Y49" s="2174" t="s">
        <v>270</v>
      </c>
      <c r="Z49" s="2157">
        <f>RevBuild!BC32*RevBuild!BI38</f>
        <v>-15.341960898890653</v>
      </c>
      <c r="AA49" s="2079">
        <f>RevBuild!BD32*RevBuild!BJ38</f>
        <v>25.440719935071449</v>
      </c>
      <c r="AB49" s="2079">
        <f>RevBuild!BE32*RevBuild!BK38</f>
        <v>13.140454440701289</v>
      </c>
      <c r="AC49" s="2079">
        <f>RevBuild!BF32*RevBuild!BL38</f>
        <v>10.410999282184306</v>
      </c>
      <c r="AD49" s="2157">
        <f>RevBuild!BI32*RevBuild!BO38</f>
        <v>13.43347590430596</v>
      </c>
      <c r="AE49" s="2079">
        <f>RevBuild!BJ32*RevBuild!BP38</f>
        <v>-5.5204193906945278</v>
      </c>
      <c r="AF49" s="2079">
        <f>RevBuild!BK32*RevBuild!BQ38</f>
        <v>0.70722723672674848</v>
      </c>
      <c r="AG49" s="2079">
        <f>RevBuild!BL32*RevBuild!BR38</f>
        <v>-6.2581849667069216</v>
      </c>
      <c r="AH49" s="2157">
        <f>RevBuild!BO32*RevBuild!BU38</f>
        <v>0.65976822993736495</v>
      </c>
      <c r="AI49" s="2079">
        <f>RevBuild!BP32*RevBuild!BV38</f>
        <v>0.85469338222332036</v>
      </c>
      <c r="AJ49" s="2079">
        <f>RevBuild!BQ32*RevBuild!BW38</f>
        <v>29.616218083885681</v>
      </c>
      <c r="AK49" s="2079">
        <f>RevBuild!BR32*RevBuild!BX38</f>
        <v>6.6678319183727606</v>
      </c>
      <c r="AL49" s="2157">
        <f>RevBuild!BU32*RevBuild!CA38</f>
        <v>7.5538198913145047</v>
      </c>
      <c r="AM49" s="2079">
        <f>RevBuild!BV32*RevBuild!CB38</f>
        <v>-11.585895318432843</v>
      </c>
      <c r="AN49" s="2079">
        <f>RevBuild!BW32*RevBuild!CC38</f>
        <v>-10.367867413510572</v>
      </c>
      <c r="AO49" s="2079">
        <f>RevBuild!BX32*RevBuild!CD38</f>
        <v>-1.0664945211326553</v>
      </c>
      <c r="AP49" s="2157">
        <f>RevBuild!CA32*RevBuild!CG38</f>
        <v>-9.7444111847250632</v>
      </c>
      <c r="AQ49" s="2079">
        <f>RevBuild!CB32*RevBuild!CH38</f>
        <v>13.55579365577282</v>
      </c>
      <c r="AR49" s="2079">
        <f>RevBuild!CC32*RevBuild!CI38</f>
        <v>7.5258519931012025</v>
      </c>
      <c r="AS49" s="2079">
        <f>RevBuild!CD32*RevBuild!CJ38</f>
        <v>1.4617373906644204</v>
      </c>
      <c r="AT49" s="2157">
        <f>RevBuild!CG32*RevBuild!CM38</f>
        <v>12.528350132229077</v>
      </c>
      <c r="AU49" s="2079">
        <f>RevBuild!CH32*RevBuild!CN38</f>
        <v>1.1699692678290081</v>
      </c>
      <c r="AV49" s="2079">
        <f>RevBuild!CI32*RevBuild!CO38</f>
        <v>4.1330117802608521</v>
      </c>
      <c r="AW49" s="2079">
        <f>RevBuild!CJ32*RevBuild!CP38</f>
        <v>8.5056385379700465</v>
      </c>
      <c r="AX49" s="2063"/>
      <c r="AY49" s="2063"/>
      <c r="AZ49" s="2063"/>
      <c r="BA49" s="2063"/>
      <c r="BB49" s="2063"/>
      <c r="BC49" s="2063"/>
      <c r="BD49" s="2063"/>
      <c r="BE49" s="2063"/>
      <c r="BF49" s="2063"/>
      <c r="BG49" s="2063"/>
      <c r="BH49" s="2063"/>
      <c r="BI49" s="2063"/>
      <c r="BJ49" s="2063"/>
      <c r="BK49" s="2063"/>
      <c r="BL49" s="2063"/>
      <c r="BM49" s="2063"/>
      <c r="BN49" s="2063"/>
      <c r="BO49" s="2063"/>
      <c r="BP49" s="2063"/>
      <c r="BQ49" s="2063"/>
      <c r="BR49" s="2063"/>
      <c r="BS49" s="2063"/>
      <c r="BT49" s="2063"/>
      <c r="BU49" s="2063"/>
      <c r="BV49" s="2063"/>
      <c r="BW49" s="2063"/>
    </row>
    <row r="50" spans="1:75">
      <c r="A50" s="2055" t="s">
        <v>452</v>
      </c>
      <c r="B50" s="2089"/>
      <c r="C50" s="2089"/>
      <c r="D50" s="2089"/>
      <c r="E50" s="2089"/>
      <c r="F50" s="2163"/>
      <c r="G50" s="2089"/>
      <c r="H50" s="2089"/>
      <c r="I50" s="2089"/>
      <c r="J50" s="2175" t="s">
        <v>270</v>
      </c>
      <c r="K50" s="2176" t="s">
        <v>270</v>
      </c>
      <c r="L50" s="2176" t="s">
        <v>270</v>
      </c>
      <c r="M50" s="2176" t="s">
        <v>270</v>
      </c>
      <c r="N50" s="2175" t="s">
        <v>270</v>
      </c>
      <c r="O50" s="2176" t="s">
        <v>270</v>
      </c>
      <c r="P50" s="2176" t="s">
        <v>270</v>
      </c>
      <c r="Q50" s="2176" t="s">
        <v>270</v>
      </c>
      <c r="R50" s="2175" t="s">
        <v>270</v>
      </c>
      <c r="S50" s="2176" t="s">
        <v>270</v>
      </c>
      <c r="T50" s="2176" t="s">
        <v>270</v>
      </c>
      <c r="U50" s="2176" t="s">
        <v>270</v>
      </c>
      <c r="V50" s="2175" t="s">
        <v>270</v>
      </c>
      <c r="W50" s="2176" t="s">
        <v>270</v>
      </c>
      <c r="X50" s="2176" t="s">
        <v>270</v>
      </c>
      <c r="Y50" s="2176" t="s">
        <v>270</v>
      </c>
      <c r="Z50" s="2163">
        <f>RevBuild!BC40*RevBuild!BI46</f>
        <v>-1.5849641412542748</v>
      </c>
      <c r="AA50" s="2089">
        <f>RevBuild!BD40*RevBuild!BJ46</f>
        <v>-12.132036032205074</v>
      </c>
      <c r="AB50" s="2089">
        <f>RevBuild!BE40*RevBuild!BK46</f>
        <v>-4.0133055977904464</v>
      </c>
      <c r="AC50" s="2089">
        <f>RevBuild!BF40*RevBuild!BL46</f>
        <v>-22.899812153354219</v>
      </c>
      <c r="AD50" s="2163">
        <f>RevBuild!BI40*RevBuild!BO46</f>
        <v>7.3130563879484782</v>
      </c>
      <c r="AE50" s="2089">
        <f>RevBuild!BJ40*RevBuild!BP46</f>
        <v>-2.5175769405385537</v>
      </c>
      <c r="AF50" s="2089">
        <f>RevBuild!BK40*RevBuild!BQ46</f>
        <v>-10.916868101144201</v>
      </c>
      <c r="AG50" s="2089">
        <f>RevBuild!BL40*RevBuild!BR46</f>
        <v>7.8724700403600822</v>
      </c>
      <c r="AH50" s="2163">
        <f>RevBuild!BO40*RevBuild!BU46</f>
        <v>1.1728300906059206</v>
      </c>
      <c r="AI50" s="2089">
        <f>RevBuild!BP40*RevBuild!BV46</f>
        <v>3.0720402610523259</v>
      </c>
      <c r="AJ50" s="2089">
        <f>RevBuild!BQ40*RevBuild!BW46</f>
        <v>-6.5597498990280707</v>
      </c>
      <c r="AK50" s="2089">
        <f>RevBuild!BR40*RevBuild!BX46</f>
        <v>7.8530287744843204</v>
      </c>
      <c r="AL50" s="2163">
        <f>RevBuild!BU40*RevBuild!CA46</f>
        <v>-0.85678067915467804</v>
      </c>
      <c r="AM50" s="2089">
        <f>RevBuild!BV40*RevBuild!CB46</f>
        <v>-19.710345149419027</v>
      </c>
      <c r="AN50" s="2089">
        <f>RevBuild!BW40*RevBuild!CC46</f>
        <v>-8.7638258651015022</v>
      </c>
      <c r="AO50" s="2089">
        <f>RevBuild!BX40*RevBuild!CD46</f>
        <v>-8.005945231867166</v>
      </c>
      <c r="AP50" s="2163">
        <f>RevBuild!CA40*RevBuild!CG46</f>
        <v>3.3805044061554512</v>
      </c>
      <c r="AQ50" s="2089">
        <f>RevBuild!CB40*RevBuild!CH46</f>
        <v>-2.9455555649598284</v>
      </c>
      <c r="AR50" s="2089">
        <f>RevBuild!CC40*RevBuild!CI46</f>
        <v>9.5101348650824296</v>
      </c>
      <c r="AS50" s="2089">
        <f>RevBuild!CD40*RevBuild!CJ46</f>
        <v>18.940027731088598</v>
      </c>
      <c r="AT50" s="2163">
        <f>RevBuild!CG40*RevBuild!CM46</f>
        <v>5.7953862106807499</v>
      </c>
      <c r="AU50" s="2089">
        <f>RevBuild!CH40*RevBuild!CN46</f>
        <v>8.4287428827762181</v>
      </c>
      <c r="AV50" s="2089">
        <f>RevBuild!CI40*RevBuild!CO46</f>
        <v>-5.2846725212711672</v>
      </c>
      <c r="AW50" s="2089">
        <f>RevBuild!CJ40*RevBuild!CP46</f>
        <v>-3.604171196637957</v>
      </c>
      <c r="AX50" s="2066"/>
      <c r="AY50" s="2066"/>
      <c r="AZ50" s="2066"/>
      <c r="BA50" s="2066"/>
      <c r="BB50" s="2066"/>
      <c r="BC50" s="2066"/>
      <c r="BD50" s="2066"/>
      <c r="BE50" s="2066"/>
      <c r="BF50" s="2066"/>
      <c r="BG50" s="2066"/>
      <c r="BH50" s="2066"/>
      <c r="BI50" s="2066"/>
      <c r="BJ50" s="2066"/>
      <c r="BK50" s="2066"/>
      <c r="BL50" s="2066"/>
      <c r="BM50" s="2066"/>
      <c r="BN50" s="2066"/>
      <c r="BO50" s="2066"/>
      <c r="BP50" s="2066"/>
      <c r="BQ50" s="2066"/>
      <c r="BR50" s="2066"/>
      <c r="BS50" s="2066"/>
      <c r="BT50" s="2066"/>
      <c r="BU50" s="2066"/>
      <c r="BV50" s="2066"/>
      <c r="BW50" s="2066"/>
    </row>
    <row r="51" spans="1:75">
      <c r="A51" s="2053" t="s">
        <v>333</v>
      </c>
      <c r="B51" s="2079"/>
      <c r="C51" s="2079"/>
      <c r="D51" s="2079"/>
      <c r="E51" s="2079"/>
      <c r="F51" s="2157"/>
      <c r="G51" s="2079"/>
      <c r="H51" s="2079"/>
      <c r="I51" s="2079"/>
      <c r="J51" s="2173">
        <f>RevBuild!AE65*RevBuild!AK70</f>
        <v>0.75239999999999985</v>
      </c>
      <c r="K51" s="2174">
        <f>RevBuild!AF65*RevBuild!AL70</f>
        <v>3.2</v>
      </c>
      <c r="L51" s="2174">
        <f>RevBuild!AG65*RevBuild!AM70</f>
        <v>4.7021999999999995</v>
      </c>
      <c r="M51" s="2174">
        <f>RevBuild!AH65*RevBuild!AN70</f>
        <v>6.3699966386554641</v>
      </c>
      <c r="N51" s="2173">
        <f>RevBuild!AK65*RevBuild!AQ70</f>
        <v>11.396699999999999</v>
      </c>
      <c r="O51" s="2174">
        <f>RevBuild!AL65*RevBuild!AR70</f>
        <v>5.6032999999999999</v>
      </c>
      <c r="P51" s="2174">
        <f>RevBuild!AM65*RevBuild!AS70</f>
        <v>10.493799999999998</v>
      </c>
      <c r="Q51" s="2174">
        <f>RevBuild!AN65*RevBuild!AT70</f>
        <v>7.8540000000000019</v>
      </c>
      <c r="R51" s="2173">
        <f>RevBuild!AQ65*RevBuild!AW70</f>
        <v>3.4983</v>
      </c>
      <c r="S51" s="2174">
        <f>RevBuild!AR65*RevBuild!AX70</f>
        <v>6.8961000000000006</v>
      </c>
      <c r="T51" s="2174">
        <f>RevBuild!AS65*RevBuild!AY70</f>
        <v>2.8895999999999997</v>
      </c>
      <c r="U51" s="2174">
        <f>RevBuild!AT65*RevBuild!AZ70</f>
        <v>4.5708000000000002</v>
      </c>
      <c r="V51" s="2173">
        <f>RevBuild!AW65*RevBuild!BC70</f>
        <v>7.2959999999999994</v>
      </c>
      <c r="W51" s="2174">
        <f>RevBuild!AX65*RevBuild!BD70</f>
        <v>0.89920000000000011</v>
      </c>
      <c r="X51" s="2174">
        <f>RevBuild!AY65*RevBuild!BE70</f>
        <v>20.110199999999999</v>
      </c>
      <c r="Y51" s="2174">
        <f>RevBuild!AZ65*RevBuild!BF70</f>
        <v>5.6000000000000076</v>
      </c>
      <c r="Z51" s="2173">
        <f>RevBuild!BC65*RevBuild!BI70</f>
        <v>0.99</v>
      </c>
      <c r="AA51" s="2174">
        <f>RevBuild!BD65*RevBuild!BJ70</f>
        <v>10.4</v>
      </c>
      <c r="AB51" s="2174">
        <f>RevBuild!BE65*RevBuild!BK70</f>
        <v>-11.490400000000001</v>
      </c>
      <c r="AC51" s="2174">
        <f>RevBuild!BF65*RevBuild!BL70</f>
        <v>6.5772000000000013</v>
      </c>
      <c r="AD51" s="2173">
        <f>RevBuild!BI65*RevBuild!BO70</f>
        <v>2.3088000000000002</v>
      </c>
      <c r="AE51" s="2174">
        <f>RevBuild!BJ65*RevBuild!BP70</f>
        <v>2.3372999999999999</v>
      </c>
      <c r="AF51" s="2174">
        <f>RevBuild!BK65*RevBuild!BQ70</f>
        <v>7.3450000000000006</v>
      </c>
      <c r="AG51" s="2174">
        <f>RevBuild!BL65*RevBuild!BR70</f>
        <v>-6.5705999999999989</v>
      </c>
      <c r="AH51" s="2173">
        <f>RevBuild!BO65*RevBuild!BU70</f>
        <v>-1.4268000000000003</v>
      </c>
      <c r="AI51" s="2174">
        <f>RevBuild!BP65*RevBuild!BV70</f>
        <v>-3.3534000000000002</v>
      </c>
      <c r="AJ51" s="2174">
        <f>RevBuild!BQ65*RevBuild!BW70</f>
        <v>-1.04</v>
      </c>
      <c r="AK51" s="2174">
        <f>RevBuild!BR65*RevBuild!BX70</f>
        <v>11.633900000000001</v>
      </c>
      <c r="AL51" s="2173">
        <f>RevBuild!BU65*RevBuild!CA70</f>
        <v>5.5E-2</v>
      </c>
      <c r="AM51" s="2174">
        <f>RevBuild!BV65*RevBuild!CB70</f>
        <v>-2.7311999999999999</v>
      </c>
      <c r="AN51" s="2174">
        <f>RevBuild!BW65*RevBuild!CC70</f>
        <v>2.6648999999999998</v>
      </c>
      <c r="AO51" s="2174">
        <f>RevBuild!BX65*RevBuild!CD70</f>
        <v>-8.5679999999999996</v>
      </c>
      <c r="AP51" s="2173">
        <f>RevBuild!CA65*RevBuild!CG70</f>
        <v>0.78880000000000006</v>
      </c>
      <c r="AQ51" s="2174">
        <f>RevBuild!CB65*RevBuild!CH70</f>
        <v>12.311999999999999</v>
      </c>
      <c r="AR51" s="2174">
        <f>RevBuild!CC65*RevBuild!CI70</f>
        <v>-3.4435000000000002</v>
      </c>
      <c r="AS51" s="2174">
        <f>RevBuild!CD65*RevBuild!CJ70</f>
        <v>4.5240000000000009</v>
      </c>
      <c r="AT51" s="2173">
        <f>RevBuild!CG65*RevBuild!CM70</f>
        <v>1.2030000000000001</v>
      </c>
      <c r="AU51" s="2174">
        <f>RevBuild!CH65*RevBuild!CN70</f>
        <v>-6.4799999999999995</v>
      </c>
      <c r="AV51" s="2174">
        <f>RevBuild!CI65*RevBuild!CO70</f>
        <v>3.6880000000000002</v>
      </c>
      <c r="AW51" s="2174">
        <f>RevBuild!CJ65*RevBuild!CP70</f>
        <v>-2.5526000000000009</v>
      </c>
      <c r="AX51" s="2066"/>
      <c r="AY51" s="2066"/>
      <c r="AZ51" s="2066"/>
      <c r="BA51" s="2066"/>
      <c r="BB51" s="2066"/>
      <c r="BC51" s="2066"/>
      <c r="BD51" s="2066"/>
      <c r="BE51" s="2066"/>
      <c r="BF51" s="2066"/>
      <c r="BG51" s="2066"/>
      <c r="BH51" s="2066"/>
      <c r="BI51" s="2066"/>
      <c r="BJ51" s="2066"/>
      <c r="BK51" s="2066"/>
      <c r="BL51" s="2066"/>
      <c r="BM51" s="2066"/>
      <c r="BN51" s="2066"/>
      <c r="BO51" s="2066"/>
      <c r="BP51" s="2066"/>
      <c r="BQ51" s="2066"/>
      <c r="BR51" s="2066"/>
      <c r="BS51" s="2066"/>
      <c r="BT51" s="2066"/>
      <c r="BU51" s="2066"/>
      <c r="BV51" s="2066"/>
      <c r="BW51" s="2066"/>
    </row>
    <row r="52" spans="1:75">
      <c r="A52" s="2120" t="s">
        <v>538</v>
      </c>
      <c r="B52" s="2177"/>
      <c r="C52" s="2177"/>
      <c r="D52" s="2177"/>
      <c r="E52" s="2177"/>
      <c r="F52" s="2178">
        <f>RevBuild!Y75*RevBuild!AE80</f>
        <v>10.376800000000001</v>
      </c>
      <c r="G52" s="2177">
        <f>RevBuild!Z75*RevBuild!AF80</f>
        <v>46.238347999999995</v>
      </c>
      <c r="H52" s="2177">
        <f>RevBuild!AA75*RevBuild!AG80</f>
        <v>-13.296799999999999</v>
      </c>
      <c r="I52" s="2177">
        <f>RevBuild!AB75*RevBuild!AH80</f>
        <v>-10.342860000000002</v>
      </c>
      <c r="J52" s="2178">
        <f>RevBuild!AE75*RevBuild!AK80</f>
        <v>10.723500000000001</v>
      </c>
      <c r="K52" s="2177">
        <f>RevBuild!AF75*RevBuild!AL80</f>
        <v>-34.576500000000003</v>
      </c>
      <c r="L52" s="2177">
        <f>RevBuild!AG75*RevBuild!AM80</f>
        <v>27.599399999999999</v>
      </c>
      <c r="M52" s="2177">
        <f>RevBuild!AH75*RevBuild!AN80</f>
        <v>18.911999999999995</v>
      </c>
      <c r="N52" s="2178">
        <f>RevBuild!AK75*RevBuild!AQ80</f>
        <v>28.582000000000001</v>
      </c>
      <c r="O52" s="2177">
        <f>RevBuild!AL75*RevBuild!AR80</f>
        <v>50.5</v>
      </c>
      <c r="P52" s="2177">
        <f>RevBuild!AM75*RevBuild!AS80</f>
        <v>46.127400000000002</v>
      </c>
      <c r="Q52" s="2177">
        <f>RevBuild!AN75*RevBuild!AT80</f>
        <v>62.288000000000011</v>
      </c>
      <c r="R52" s="2178">
        <f>RevBuild!AQ75*RevBuild!AW80</f>
        <v>12.496499999999999</v>
      </c>
      <c r="S52" s="2177">
        <f>RevBuild!AR75*RevBuild!AX80</f>
        <v>22.567499999999999</v>
      </c>
      <c r="T52" s="2177">
        <f>RevBuild!AS75*RevBuild!AY80</f>
        <v>33.811799999999998</v>
      </c>
      <c r="U52" s="2177">
        <f>RevBuild!AT75*RevBuild!AZ80</f>
        <v>50.76420000000001</v>
      </c>
      <c r="V52" s="2178">
        <f>RevBuild!AW75*RevBuild!BC80</f>
        <v>48.909000000000006</v>
      </c>
      <c r="W52" s="2177">
        <f>RevBuild!AX75*RevBuild!BD80</f>
        <v>41.724799999999995</v>
      </c>
      <c r="X52" s="2177">
        <f>RevBuild!AY75*RevBuild!BE80</f>
        <v>57.739200000000004</v>
      </c>
      <c r="Y52" s="2177">
        <f>RevBuild!AZ75*RevBuild!BF80</f>
        <v>48.460200000000007</v>
      </c>
      <c r="Z52" s="2178">
        <f>RevBuild!BC75*RevBuild!BI80</f>
        <v>-4.4615999999999998</v>
      </c>
      <c r="AA52" s="2177">
        <f>RevBuild!BD75*RevBuild!BJ80</f>
        <v>39.966499999999996</v>
      </c>
      <c r="AB52" s="2177">
        <f>RevBuild!BE75*RevBuild!BK80</f>
        <v>-10.747199999999999</v>
      </c>
      <c r="AC52" s="2177">
        <f>RevBuild!BF75*RevBuild!BL80</f>
        <v>32.072599999999994</v>
      </c>
      <c r="AD52" s="2178">
        <f>RevBuild!BI75*RevBuild!BO80</f>
        <v>25.964400000000001</v>
      </c>
      <c r="AE52" s="2177">
        <f>RevBuild!BJ75*RevBuild!BP80</f>
        <v>-10.9176</v>
      </c>
      <c r="AF52" s="2177">
        <f>RevBuild!BK75*RevBuild!BQ80</f>
        <v>-21.071999999999999</v>
      </c>
      <c r="AG52" s="2177">
        <f>RevBuild!BL75*RevBuild!BR80</f>
        <v>-2.7605</v>
      </c>
      <c r="AH52" s="2178">
        <f>RevBuild!BO75*RevBuild!BU80</f>
        <v>-12.710999999999999</v>
      </c>
      <c r="AI52" s="2177">
        <f>RevBuild!BP75*RevBuild!BV80</f>
        <v>3.2018</v>
      </c>
      <c r="AJ52" s="2177">
        <f>RevBuild!BQ75*RevBuild!BW80</f>
        <v>34.003799999999998</v>
      </c>
      <c r="AK52" s="2177">
        <f>RevBuild!BR75*RevBuild!BX80</f>
        <v>12.700000000000003</v>
      </c>
      <c r="AL52" s="2178">
        <f>RevBuild!BU75*RevBuild!CA80</f>
        <v>19.778999999999961</v>
      </c>
      <c r="AM52" s="2177">
        <f>RevBuild!BV75*RevBuild!CB80</f>
        <v>-36.575999999999972</v>
      </c>
      <c r="AN52" s="2177">
        <f>RevBuild!BW75*RevBuild!CC80</f>
        <v>-9.3298000000000272</v>
      </c>
      <c r="AO52" s="2177">
        <f>RevBuild!BX75*RevBuild!CD80</f>
        <v>-10.786387156713763</v>
      </c>
      <c r="AP52" s="2178">
        <f>RevBuild!CA75*RevBuild!CG80</f>
        <v>-2.9164800000000151</v>
      </c>
      <c r="AQ52" s="2177">
        <f>RevBuild!CB75*RevBuild!CH80</f>
        <v>28.331999999999955</v>
      </c>
      <c r="AR52" s="2177">
        <f>RevBuild!CC75*RevBuild!CI80</f>
        <v>13.196400000000004</v>
      </c>
      <c r="AS52" s="2177">
        <f>RevBuild!CD75*RevBuild!CJ80</f>
        <v>18.958103452036244</v>
      </c>
      <c r="AT52" s="2178">
        <f>RevBuild!CG75*RevBuild!CM80</f>
        <v>13.111774748904253</v>
      </c>
      <c r="AU52" s="2177">
        <f>RevBuild!CH75*RevBuild!CN80</f>
        <v>-1.3887246224895271</v>
      </c>
      <c r="AV52" s="2177">
        <f>RevBuild!CI75*RevBuild!CO80</f>
        <v>4.534699218780279</v>
      </c>
      <c r="AW52" s="2177">
        <f>RevBuild!CJ75*RevBuild!CP80</f>
        <v>3.3789330631233292</v>
      </c>
      <c r="AX52" s="2066"/>
      <c r="AY52" s="2066"/>
      <c r="AZ52" s="2066"/>
      <c r="BA52" s="2066"/>
      <c r="BB52" s="2066"/>
      <c r="BC52" s="2066"/>
      <c r="BD52" s="2066"/>
      <c r="BE52" s="2066"/>
      <c r="BF52" s="2066"/>
      <c r="BG52" s="2066"/>
      <c r="BH52" s="2066"/>
      <c r="BI52" s="2066"/>
      <c r="BJ52" s="2066"/>
      <c r="BK52" s="2066"/>
      <c r="BL52" s="2066"/>
      <c r="BM52" s="2066"/>
      <c r="BN52" s="2066"/>
      <c r="BO52" s="2066"/>
      <c r="BP52" s="2066"/>
      <c r="BQ52" s="2066"/>
      <c r="BR52" s="2066"/>
      <c r="BS52" s="2066"/>
      <c r="BT52" s="2066"/>
      <c r="BU52" s="2066"/>
      <c r="BV52" s="2066"/>
      <c r="BW52" s="2066"/>
    </row>
    <row r="53" spans="1:75" s="2065" customFormat="1">
      <c r="A53" s="2081"/>
      <c r="B53" s="2078"/>
      <c r="C53" s="2078"/>
      <c r="D53" s="2078"/>
      <c r="E53" s="2078"/>
      <c r="F53" s="2078"/>
      <c r="G53" s="2078"/>
      <c r="H53" s="2078"/>
      <c r="I53" s="2078"/>
      <c r="J53" s="2172"/>
      <c r="K53" s="2172"/>
      <c r="L53" s="2172"/>
      <c r="M53" s="2172"/>
      <c r="N53" s="2172"/>
      <c r="O53" s="2172"/>
      <c r="P53" s="2172"/>
      <c r="Q53" s="2172"/>
      <c r="R53" s="2172"/>
      <c r="S53" s="2172"/>
      <c r="T53" s="2172"/>
      <c r="U53" s="2172"/>
      <c r="V53" s="2172"/>
      <c r="W53" s="2172"/>
      <c r="X53" s="2172"/>
      <c r="Y53" s="2172"/>
      <c r="Z53" s="2172"/>
      <c r="AA53" s="2172"/>
      <c r="AB53" s="2172"/>
      <c r="AC53" s="2172"/>
      <c r="AD53" s="2172"/>
      <c r="AE53" s="2172"/>
      <c r="AF53" s="2172"/>
      <c r="AG53" s="2172"/>
      <c r="AH53" s="2172"/>
      <c r="AI53" s="2172"/>
      <c r="AJ53" s="2172"/>
      <c r="AK53" s="2172"/>
      <c r="AL53" s="2172"/>
      <c r="AM53" s="2172"/>
      <c r="AN53" s="2172"/>
      <c r="AO53" s="2172"/>
      <c r="AP53" s="2172"/>
      <c r="AQ53" s="2172"/>
      <c r="AR53" s="2172"/>
      <c r="AS53" s="2172"/>
      <c r="AT53" s="2172"/>
      <c r="AU53" s="2172"/>
      <c r="AV53" s="2172"/>
      <c r="AW53" s="2172"/>
      <c r="AX53" s="2081"/>
      <c r="AY53" s="2081"/>
      <c r="AZ53" s="2081"/>
      <c r="BA53" s="2081"/>
      <c r="BB53" s="2081"/>
      <c r="BC53" s="2081"/>
      <c r="BD53" s="2081"/>
      <c r="BE53" s="2081"/>
      <c r="BF53" s="2081"/>
      <c r="BG53" s="2081"/>
      <c r="BH53" s="2081"/>
      <c r="BI53" s="2081"/>
      <c r="BJ53" s="2081"/>
      <c r="BK53" s="2081"/>
      <c r="BL53" s="2081"/>
      <c r="BM53" s="2081"/>
      <c r="BN53" s="2081"/>
      <c r="BO53" s="2081"/>
      <c r="BP53" s="2081"/>
      <c r="BQ53" s="2081"/>
      <c r="BR53" s="2081"/>
      <c r="BS53" s="2081"/>
      <c r="BT53" s="2081"/>
      <c r="BU53" s="2081"/>
      <c r="BV53" s="2081"/>
      <c r="BW53" s="2081"/>
    </row>
    <row r="54" spans="1:75" s="2065" customFormat="1">
      <c r="A54" s="2108" t="s">
        <v>540</v>
      </c>
      <c r="B54" s="2081"/>
      <c r="C54" s="2081"/>
      <c r="D54" s="2081"/>
      <c r="E54" s="2081"/>
      <c r="F54" s="2081"/>
      <c r="G54" s="2081"/>
      <c r="H54" s="2081"/>
      <c r="I54" s="2081"/>
      <c r="J54" s="2081"/>
      <c r="K54" s="2081"/>
      <c r="L54" s="2081"/>
      <c r="M54" s="2081"/>
      <c r="N54" s="2081"/>
      <c r="O54" s="2081"/>
      <c r="P54" s="2081"/>
      <c r="Q54" s="2081"/>
      <c r="R54" s="2081"/>
      <c r="S54" s="2081"/>
      <c r="T54" s="2081"/>
      <c r="U54" s="2081"/>
      <c r="V54" s="2081"/>
      <c r="W54" s="2081"/>
      <c r="X54" s="2081"/>
      <c r="Y54" s="2081"/>
      <c r="Z54" s="2172"/>
      <c r="AA54" s="2172"/>
      <c r="AB54" s="2172"/>
      <c r="AC54" s="2172"/>
      <c r="AD54" s="2172"/>
      <c r="AE54" s="2172"/>
      <c r="AF54" s="2172"/>
      <c r="AG54" s="2172"/>
      <c r="AH54" s="2172"/>
      <c r="AI54" s="2172"/>
      <c r="AJ54" s="2172"/>
      <c r="AK54" s="2172"/>
      <c r="AL54" s="2172"/>
      <c r="AM54" s="2172"/>
      <c r="AN54" s="2172"/>
      <c r="AO54" s="2172"/>
      <c r="AP54" s="2172"/>
      <c r="AQ54" s="2172"/>
      <c r="AR54" s="2172"/>
      <c r="AS54" s="2172"/>
      <c r="AT54" s="2172"/>
      <c r="AU54" s="2172"/>
      <c r="AV54" s="2172"/>
      <c r="AW54" s="2172"/>
      <c r="AX54" s="2081"/>
      <c r="AY54" s="2081"/>
      <c r="AZ54" s="2081"/>
      <c r="BA54" s="2081"/>
      <c r="BB54" s="2081"/>
      <c r="BC54" s="2081"/>
      <c r="BD54" s="2081"/>
      <c r="BE54" s="2081"/>
      <c r="BF54" s="2081"/>
      <c r="BG54" s="2081"/>
      <c r="BH54" s="2081"/>
      <c r="BI54" s="2081"/>
      <c r="BJ54" s="2081"/>
      <c r="BK54" s="2081"/>
      <c r="BL54" s="2081"/>
      <c r="BM54" s="2081"/>
      <c r="BN54" s="2081"/>
      <c r="BO54" s="2081"/>
      <c r="BP54" s="2081"/>
      <c r="BQ54" s="2081"/>
      <c r="BR54" s="2081"/>
      <c r="BS54" s="2081"/>
      <c r="BT54" s="2081"/>
      <c r="BU54" s="2081"/>
      <c r="BV54" s="2081"/>
      <c r="BW54" s="2081"/>
    </row>
    <row r="55" spans="1:75">
      <c r="A55" s="2272"/>
      <c r="B55" s="2272" t="str">
        <f>B$4</f>
        <v>1Q07</v>
      </c>
      <c r="C55" s="2272" t="str">
        <f t="shared" ref="C55:AW55" si="32">C$4</f>
        <v>2Q07</v>
      </c>
      <c r="D55" s="2272" t="str">
        <f t="shared" si="32"/>
        <v>3Q07</v>
      </c>
      <c r="E55" s="2272" t="str">
        <f t="shared" si="32"/>
        <v>4Q07</v>
      </c>
      <c r="F55" s="2273" t="str">
        <f t="shared" si="32"/>
        <v>1Q08</v>
      </c>
      <c r="G55" s="2272" t="str">
        <f t="shared" si="32"/>
        <v>2Q08</v>
      </c>
      <c r="H55" s="2272" t="str">
        <f t="shared" si="32"/>
        <v>3Q08</v>
      </c>
      <c r="I55" s="2272" t="str">
        <f t="shared" si="32"/>
        <v>4Q08</v>
      </c>
      <c r="J55" s="2273" t="str">
        <f t="shared" si="32"/>
        <v>1Q09</v>
      </c>
      <c r="K55" s="2272" t="str">
        <f t="shared" si="32"/>
        <v>2Q09</v>
      </c>
      <c r="L55" s="2272" t="str">
        <f t="shared" si="32"/>
        <v>3Q09</v>
      </c>
      <c r="M55" s="2272" t="str">
        <f t="shared" si="32"/>
        <v>4Q09</v>
      </c>
      <c r="N55" s="2273" t="str">
        <f t="shared" si="32"/>
        <v>1Q10</v>
      </c>
      <c r="O55" s="2272" t="str">
        <f t="shared" si="32"/>
        <v>2Q10</v>
      </c>
      <c r="P55" s="2272" t="str">
        <f t="shared" si="32"/>
        <v>3Q10</v>
      </c>
      <c r="Q55" s="2272" t="str">
        <f t="shared" si="32"/>
        <v>4Q10</v>
      </c>
      <c r="R55" s="2273" t="str">
        <f t="shared" si="32"/>
        <v>1Q11</v>
      </c>
      <c r="S55" s="2272" t="str">
        <f t="shared" si="32"/>
        <v>2Q11</v>
      </c>
      <c r="T55" s="2272" t="str">
        <f t="shared" si="32"/>
        <v>3Q11</v>
      </c>
      <c r="U55" s="2272" t="str">
        <f t="shared" si="32"/>
        <v>4Q11</v>
      </c>
      <c r="V55" s="2273" t="str">
        <f t="shared" si="32"/>
        <v>1Q12</v>
      </c>
      <c r="W55" s="2272" t="str">
        <f t="shared" si="32"/>
        <v>2Q12</v>
      </c>
      <c r="X55" s="2272" t="str">
        <f t="shared" si="32"/>
        <v>3Q12</v>
      </c>
      <c r="Y55" s="2272" t="str">
        <f t="shared" si="32"/>
        <v>4Q12</v>
      </c>
      <c r="Z55" s="2273" t="str">
        <f t="shared" si="32"/>
        <v>1Q13</v>
      </c>
      <c r="AA55" s="2272" t="str">
        <f t="shared" si="32"/>
        <v>2Q13</v>
      </c>
      <c r="AB55" s="2272" t="str">
        <f t="shared" si="32"/>
        <v>3Q13</v>
      </c>
      <c r="AC55" s="2272" t="str">
        <f t="shared" si="32"/>
        <v>4Q13</v>
      </c>
      <c r="AD55" s="2273" t="str">
        <f t="shared" si="32"/>
        <v>1Q14</v>
      </c>
      <c r="AE55" s="2272" t="str">
        <f t="shared" si="32"/>
        <v>2Q14</v>
      </c>
      <c r="AF55" s="2272" t="str">
        <f t="shared" si="32"/>
        <v>3Q14</v>
      </c>
      <c r="AG55" s="2272" t="str">
        <f t="shared" si="32"/>
        <v>4Q14</v>
      </c>
      <c r="AH55" s="2273" t="str">
        <f t="shared" si="32"/>
        <v>1Q15</v>
      </c>
      <c r="AI55" s="2272" t="str">
        <f t="shared" si="32"/>
        <v>2Q15</v>
      </c>
      <c r="AJ55" s="2272" t="str">
        <f t="shared" si="32"/>
        <v>3Q15</v>
      </c>
      <c r="AK55" s="2272" t="str">
        <f t="shared" si="32"/>
        <v>4Q15</v>
      </c>
      <c r="AL55" s="2273" t="str">
        <f t="shared" si="32"/>
        <v>1Q16</v>
      </c>
      <c r="AM55" s="2272" t="str">
        <f t="shared" si="32"/>
        <v>2Q16</v>
      </c>
      <c r="AN55" s="2272" t="str">
        <f t="shared" si="32"/>
        <v>3Q16</v>
      </c>
      <c r="AO55" s="2272" t="str">
        <f t="shared" si="32"/>
        <v>4Q16</v>
      </c>
      <c r="AP55" s="2273" t="str">
        <f t="shared" si="32"/>
        <v>1Q17</v>
      </c>
      <c r="AQ55" s="2272" t="str">
        <f t="shared" si="32"/>
        <v>2Q17</v>
      </c>
      <c r="AR55" s="2272" t="str">
        <f t="shared" si="32"/>
        <v>3Q17</v>
      </c>
      <c r="AS55" s="2272" t="str">
        <f t="shared" si="32"/>
        <v>4Q17</v>
      </c>
      <c r="AT55" s="2273" t="str">
        <f t="shared" si="32"/>
        <v>1Q18E</v>
      </c>
      <c r="AU55" s="2272" t="str">
        <f t="shared" si="32"/>
        <v>2Q18E</v>
      </c>
      <c r="AV55" s="2272" t="str">
        <f t="shared" si="32"/>
        <v>3Q18E</v>
      </c>
      <c r="AW55" s="2272" t="str">
        <f t="shared" si="32"/>
        <v>4Q18E</v>
      </c>
      <c r="AX55" s="2065"/>
      <c r="AY55" s="2065"/>
      <c r="AZ55" s="2065"/>
      <c r="BA55" s="2065"/>
      <c r="BB55" s="2065"/>
      <c r="BC55" s="2065"/>
      <c r="BD55" s="2065"/>
      <c r="BE55" s="2065"/>
      <c r="BF55" s="2065"/>
      <c r="BG55" s="2065"/>
      <c r="BH55" s="2065"/>
      <c r="BI55" s="2065"/>
      <c r="BJ55" s="2065"/>
      <c r="BK55" s="2065"/>
      <c r="BL55" s="2065"/>
      <c r="BM55" s="2065"/>
      <c r="BN55" s="2065"/>
      <c r="BO55" s="2065"/>
      <c r="BP55" s="2065"/>
      <c r="BQ55" s="2065"/>
      <c r="BR55" s="2065"/>
      <c r="BS55" s="2065"/>
      <c r="BT55" s="2065"/>
      <c r="BU55" s="2065"/>
      <c r="BV55" s="2065"/>
      <c r="BW55" s="2065"/>
    </row>
    <row r="56" spans="1:75">
      <c r="A56" s="2053" t="str">
        <f>A47</f>
        <v>BSI</v>
      </c>
      <c r="B56" s="2076"/>
      <c r="C56" s="2076"/>
      <c r="D56" s="2076"/>
      <c r="E56" s="2076"/>
      <c r="F56" s="2157"/>
      <c r="G56" s="2079"/>
      <c r="H56" s="2079"/>
      <c r="I56" s="2079"/>
      <c r="J56" s="2157"/>
      <c r="K56" s="2079"/>
      <c r="L56" s="2079"/>
      <c r="M56" s="2079"/>
      <c r="N56" s="2157">
        <f t="shared" ref="N56:AS56" si="33">N47+J47</f>
        <v>13.697599999999998</v>
      </c>
      <c r="O56" s="2079">
        <f t="shared" si="33"/>
        <v>5.0091999999999999</v>
      </c>
      <c r="P56" s="2079">
        <f t="shared" si="33"/>
        <v>59.2318</v>
      </c>
      <c r="Q56" s="2079">
        <f t="shared" si="33"/>
        <v>65.632315424610056</v>
      </c>
      <c r="R56" s="2157">
        <f t="shared" si="33"/>
        <v>27.819499999999998</v>
      </c>
      <c r="S56" s="2079">
        <f t="shared" si="33"/>
        <v>62.063000000000002</v>
      </c>
      <c r="T56" s="2079">
        <f t="shared" si="33"/>
        <v>69.152900000000002</v>
      </c>
      <c r="U56" s="2079">
        <f t="shared" si="33"/>
        <v>99.826200000000014</v>
      </c>
      <c r="V56" s="2157">
        <f t="shared" si="33"/>
        <v>50.229100000000003</v>
      </c>
      <c r="W56" s="2079">
        <f t="shared" si="33"/>
        <v>56.209599999999995</v>
      </c>
      <c r="X56" s="2079">
        <f t="shared" si="33"/>
        <v>69.151499999999999</v>
      </c>
      <c r="Y56" s="2079">
        <f t="shared" si="33"/>
        <v>88.322705164903368</v>
      </c>
      <c r="Z56" s="2157">
        <f t="shared" si="33"/>
        <v>37.858200000000004</v>
      </c>
      <c r="AA56" s="2079">
        <f t="shared" si="33"/>
        <v>69.114799999999988</v>
      </c>
      <c r="AB56" s="2079">
        <f t="shared" si="33"/>
        <v>38.713699999999996</v>
      </c>
      <c r="AC56" s="2079">
        <f t="shared" si="33"/>
        <v>68.87040516490336</v>
      </c>
      <c r="AD56" s="2157">
        <f t="shared" si="33"/>
        <v>20.394800000000004</v>
      </c>
      <c r="AE56" s="2079">
        <f t="shared" si="33"/>
        <v>20.028999999999996</v>
      </c>
      <c r="AF56" s="2079">
        <f t="shared" si="33"/>
        <v>-27.925899999999999</v>
      </c>
      <c r="AG56" s="2079">
        <f t="shared" si="33"/>
        <v>31.509899999999995</v>
      </c>
      <c r="AH56" s="2157">
        <f t="shared" si="33"/>
        <v>9.9954000000000036</v>
      </c>
      <c r="AI56" s="2079">
        <f t="shared" si="33"/>
        <v>-8.011000000000001</v>
      </c>
      <c r="AJ56" s="2079">
        <f t="shared" si="33"/>
        <v>6.5035999999999987</v>
      </c>
      <c r="AK56" s="2079">
        <f t="shared" si="33"/>
        <v>3.0660000000000003</v>
      </c>
      <c r="AL56" s="2157">
        <f t="shared" si="33"/>
        <v>6.1246000000000009</v>
      </c>
      <c r="AM56" s="2079">
        <f t="shared" si="33"/>
        <v>-29.330399999999997</v>
      </c>
      <c r="AN56" s="2079">
        <f t="shared" si="33"/>
        <v>22.825199999999995</v>
      </c>
      <c r="AO56" s="2079">
        <f t="shared" si="33"/>
        <v>-1.317351253946462</v>
      </c>
      <c r="AP56" s="2157">
        <f t="shared" si="33"/>
        <v>16.100200000000001</v>
      </c>
      <c r="AQ56" s="2079">
        <f t="shared" si="33"/>
        <v>-16.648599999999995</v>
      </c>
      <c r="AR56" s="2079">
        <f t="shared" si="33"/>
        <v>2.3520000000000003</v>
      </c>
      <c r="AS56" s="2079">
        <f t="shared" si="33"/>
        <v>13.472648746053533</v>
      </c>
      <c r="AT56" s="2157">
        <f t="shared" ref="AT56:AW56" si="34">AT47+AP47</f>
        <v>9.4140371120071613</v>
      </c>
      <c r="AU56" s="2079">
        <f t="shared" si="34"/>
        <v>22.124260113152541</v>
      </c>
      <c r="AV56" s="2079">
        <f t="shared" si="34"/>
        <v>18.539357213689783</v>
      </c>
      <c r="AW56" s="2079">
        <f t="shared" si="34"/>
        <v>20.293636440539267</v>
      </c>
      <c r="AZ56" s="2063"/>
      <c r="BA56" s="2063"/>
      <c r="BB56" s="2063"/>
      <c r="BC56" s="2063"/>
      <c r="BD56" s="2063"/>
      <c r="BE56" s="2063"/>
      <c r="BF56" s="2063"/>
      <c r="BG56" s="2063"/>
      <c r="BH56" s="2063"/>
      <c r="BI56" s="2063"/>
      <c r="BJ56" s="2063"/>
      <c r="BK56" s="2063"/>
      <c r="BL56" s="2063"/>
      <c r="BM56" s="2063"/>
      <c r="BN56" s="2063"/>
      <c r="BO56" s="2063"/>
      <c r="BP56" s="2063"/>
      <c r="BQ56" s="2063"/>
      <c r="BR56" s="2063"/>
      <c r="BS56" s="2063"/>
      <c r="BT56" s="2063"/>
      <c r="BU56" s="2063"/>
      <c r="BV56" s="2063"/>
      <c r="BW56" s="2063"/>
    </row>
    <row r="57" spans="1:75">
      <c r="A57" s="2055" t="s">
        <v>520</v>
      </c>
      <c r="B57" s="2088"/>
      <c r="C57" s="2088"/>
      <c r="D57" s="2088"/>
      <c r="E57" s="2088"/>
      <c r="F57" s="2158"/>
      <c r="G57" s="2088"/>
      <c r="H57" s="2088"/>
      <c r="I57" s="2088"/>
      <c r="J57" s="2158"/>
      <c r="K57" s="2088"/>
      <c r="L57" s="2089"/>
      <c r="M57" s="2089"/>
      <c r="N57" s="2163">
        <f>AVERAGE(M56:N56)</f>
        <v>13.697599999999998</v>
      </c>
      <c r="O57" s="2089">
        <f t="shared" ref="O57:AK57" si="35">AVERAGE(N56:O56)</f>
        <v>9.3533999999999988</v>
      </c>
      <c r="P57" s="2089">
        <f t="shared" si="35"/>
        <v>32.1205</v>
      </c>
      <c r="Q57" s="2089">
        <f t="shared" si="35"/>
        <v>62.432057712305024</v>
      </c>
      <c r="R57" s="2163">
        <f>AVERAGE(Q56:R56)</f>
        <v>46.72590771230503</v>
      </c>
      <c r="S57" s="2089">
        <f t="shared" si="35"/>
        <v>44.941249999999997</v>
      </c>
      <c r="T57" s="2089">
        <f t="shared" si="35"/>
        <v>65.607950000000002</v>
      </c>
      <c r="U57" s="2089">
        <f t="shared" si="35"/>
        <v>84.489550000000008</v>
      </c>
      <c r="V57" s="2163">
        <f>AVERAGE(U56:V56)</f>
        <v>75.027650000000008</v>
      </c>
      <c r="W57" s="2089">
        <f t="shared" si="35"/>
        <v>53.219349999999999</v>
      </c>
      <c r="X57" s="2089">
        <f t="shared" si="35"/>
        <v>62.680549999999997</v>
      </c>
      <c r="Y57" s="2089">
        <f t="shared" si="35"/>
        <v>78.737102582451683</v>
      </c>
      <c r="Z57" s="2163">
        <f>AVERAGE(Y56:Z56)</f>
        <v>63.09045258245169</v>
      </c>
      <c r="AA57" s="2089">
        <f t="shared" si="35"/>
        <v>53.486499999999992</v>
      </c>
      <c r="AB57" s="2089">
        <f t="shared" si="35"/>
        <v>53.914249999999996</v>
      </c>
      <c r="AC57" s="2089">
        <f t="shared" si="35"/>
        <v>53.792052582451674</v>
      </c>
      <c r="AD57" s="2163">
        <f>AVERAGE(AC56:AD56)</f>
        <v>44.632602582451682</v>
      </c>
      <c r="AE57" s="2089">
        <f t="shared" ref="AE57" si="36">AVERAGE(AD56:AE56)</f>
        <v>20.2119</v>
      </c>
      <c r="AF57" s="2089">
        <f t="shared" ref="AF57" si="37">AVERAGE(AE56:AF56)</f>
        <v>-3.9484500000000011</v>
      </c>
      <c r="AG57" s="2089">
        <f t="shared" ref="AG57" si="38">AVERAGE(AF56:AG56)</f>
        <v>1.791999999999998</v>
      </c>
      <c r="AH57" s="2163">
        <f>AVERAGE(AG56:AH56)</f>
        <v>20.752649999999999</v>
      </c>
      <c r="AI57" s="2089">
        <f t="shared" si="35"/>
        <v>0.9922000000000013</v>
      </c>
      <c r="AJ57" s="2089">
        <f t="shared" si="35"/>
        <v>-0.75370000000000115</v>
      </c>
      <c r="AK57" s="2089">
        <f t="shared" si="35"/>
        <v>4.7847999999999997</v>
      </c>
      <c r="AL57" s="2163">
        <f>AVERAGE(AK56:AL56)</f>
        <v>4.5953000000000008</v>
      </c>
      <c r="AM57" s="2089">
        <f>AVERAGE(AL56:AM56)</f>
        <v>-11.602899999999998</v>
      </c>
      <c r="AN57" s="2089">
        <f>AVERAGE(AM56:AN56)</f>
        <v>-3.252600000000001</v>
      </c>
      <c r="AO57" s="2089">
        <f>AVERAGE(AN56:AO56)</f>
        <v>10.753924373026766</v>
      </c>
      <c r="AP57" s="2163">
        <f>AVERAGE(AO56:AP56)</f>
        <v>7.3914243730267692</v>
      </c>
      <c r="AQ57" s="2089">
        <f t="shared" ref="AQ57:AS57" si="39">AVERAGE(AP56:AQ56)</f>
        <v>-0.27419999999999689</v>
      </c>
      <c r="AR57" s="2089">
        <f t="shared" si="39"/>
        <v>-7.1482999999999972</v>
      </c>
      <c r="AS57" s="2089">
        <f t="shared" si="39"/>
        <v>7.9123243730267667</v>
      </c>
      <c r="AT57" s="2163">
        <f t="shared" ref="AT57" si="40">AVERAGE(AS56:AT56)</f>
        <v>11.443342929030347</v>
      </c>
      <c r="AU57" s="2089">
        <f t="shared" ref="AU57" si="41">AVERAGE(AT56:AU56)</f>
        <v>15.769148612579851</v>
      </c>
      <c r="AV57" s="2089">
        <f t="shared" ref="AV57" si="42">AVERAGE(AU56:AV56)</f>
        <v>20.331808663421164</v>
      </c>
      <c r="AW57" s="2089">
        <f t="shared" ref="AW57" si="43">AVERAGE(AV56:AW56)</f>
        <v>19.416496827114525</v>
      </c>
      <c r="AX57" s="2274"/>
      <c r="AY57" s="2079"/>
      <c r="AZ57" s="2067"/>
      <c r="BA57" s="2067"/>
      <c r="BB57" s="2067"/>
      <c r="BC57" s="2067"/>
      <c r="BD57" s="2067"/>
      <c r="BE57" s="2067"/>
      <c r="BF57" s="2067"/>
      <c r="BG57" s="2067"/>
      <c r="BH57" s="2067"/>
      <c r="BI57" s="2067"/>
      <c r="BJ57" s="2067"/>
      <c r="BK57" s="2067"/>
      <c r="BL57" s="2067"/>
      <c r="BM57" s="2067"/>
      <c r="BN57" s="2067"/>
      <c r="BO57" s="2067"/>
      <c r="BP57" s="2067"/>
      <c r="BQ57" s="2067"/>
      <c r="BR57" s="2067"/>
      <c r="BS57" s="2067"/>
      <c r="BT57" s="2067"/>
      <c r="BU57" s="2067"/>
      <c r="BV57" s="2067"/>
      <c r="BW57" s="2067"/>
    </row>
    <row r="58" spans="1:75">
      <c r="A58" s="2111" t="str">
        <f>A48</f>
        <v xml:space="preserve">    BIOSPIN</v>
      </c>
      <c r="B58" s="2081"/>
      <c r="C58" s="2081"/>
      <c r="D58" s="2081"/>
      <c r="E58" s="2081"/>
      <c r="F58" s="2157"/>
      <c r="G58" s="2079"/>
      <c r="H58" s="2079"/>
      <c r="I58" s="2079"/>
      <c r="J58" s="2157"/>
      <c r="K58" s="2079"/>
      <c r="L58" s="2079"/>
      <c r="M58" s="2079"/>
      <c r="N58" s="2154" t="s">
        <v>270</v>
      </c>
      <c r="O58" s="2122" t="s">
        <v>270</v>
      </c>
      <c r="P58" s="2122" t="s">
        <v>270</v>
      </c>
      <c r="Q58" s="2122" t="s">
        <v>270</v>
      </c>
      <c r="R58" s="2154" t="s">
        <v>270</v>
      </c>
      <c r="S58" s="2122" t="s">
        <v>270</v>
      </c>
      <c r="T58" s="2122" t="s">
        <v>270</v>
      </c>
      <c r="U58" s="2122" t="s">
        <v>270</v>
      </c>
      <c r="V58" s="2154" t="s">
        <v>270</v>
      </c>
      <c r="W58" s="2122" t="s">
        <v>270</v>
      </c>
      <c r="X58" s="2122" t="s">
        <v>270</v>
      </c>
      <c r="Y58" s="2122" t="s">
        <v>270</v>
      </c>
      <c r="Z58" s="2154" t="s">
        <v>270</v>
      </c>
      <c r="AA58" s="2122" t="s">
        <v>270</v>
      </c>
      <c r="AB58" s="2122" t="s">
        <v>270</v>
      </c>
      <c r="AC58" s="2122" t="s">
        <v>270</v>
      </c>
      <c r="AD58" s="2157">
        <f t="shared" ref="AD58:AS58" si="44">AD48+Z48</f>
        <v>15.31596680426189</v>
      </c>
      <c r="AE58" s="2079">
        <f t="shared" si="44"/>
        <v>19.629312428366674</v>
      </c>
      <c r="AF58" s="2079">
        <f t="shared" si="44"/>
        <v>-13.517507978493374</v>
      </c>
      <c r="AG58" s="2079">
        <f t="shared" si="44"/>
        <v>43.37452779751689</v>
      </c>
      <c r="AH58" s="2157">
        <f t="shared" si="44"/>
        <v>-8.1791306127977244</v>
      </c>
      <c r="AI58" s="2079">
        <f t="shared" si="44"/>
        <v>-1.8087833695944315</v>
      </c>
      <c r="AJ58" s="2079">
        <f t="shared" si="44"/>
        <v>6.0761827026656583</v>
      </c>
      <c r="AK58" s="2079">
        <f t="shared" si="44"/>
        <v>-11.875061117689578</v>
      </c>
      <c r="AL58" s="2157">
        <f t="shared" si="44"/>
        <v>-2.5246375327030517</v>
      </c>
      <c r="AM58" s="2079">
        <f t="shared" si="44"/>
        <v>-7.6238847318745329</v>
      </c>
      <c r="AN58" s="2079">
        <f t="shared" si="44"/>
        <v>18.453965770930772</v>
      </c>
      <c r="AO58" s="2079">
        <f t="shared" si="44"/>
        <v>-9.6759330421093743</v>
      </c>
      <c r="AP58" s="2157">
        <f t="shared" si="44"/>
        <v>15.75234514607191</v>
      </c>
      <c r="AQ58" s="2079">
        <f t="shared" si="44"/>
        <v>4.7580197233462442</v>
      </c>
      <c r="AR58" s="2079">
        <f t="shared" si="44"/>
        <v>6.9874239326825265</v>
      </c>
      <c r="AS58" s="2079">
        <f t="shared" si="44"/>
        <v>-0.39727468656342335</v>
      </c>
      <c r="AT58" s="2157">
        <f t="shared" ref="AT58:AW58" si="45">AT48+AP48</f>
        <v>5.9247394261558508</v>
      </c>
      <c r="AU58" s="2079">
        <f t="shared" si="45"/>
        <v>10.343140169567917</v>
      </c>
      <c r="AV58" s="2079">
        <f t="shared" si="45"/>
        <v>4.523813073980631</v>
      </c>
      <c r="AW58" s="2079">
        <f t="shared" si="45"/>
        <v>-0.21484264887146409</v>
      </c>
      <c r="AX58" s="2068"/>
      <c r="AY58" s="2068"/>
      <c r="AZ58" s="2068"/>
      <c r="BA58" s="2068"/>
      <c r="BB58" s="2068"/>
      <c r="BC58" s="2068"/>
      <c r="BD58" s="2068"/>
      <c r="BE58" s="2068"/>
      <c r="BF58" s="2068"/>
      <c r="BG58" s="2068"/>
      <c r="BH58" s="2068"/>
      <c r="BI58" s="2068"/>
      <c r="BJ58" s="2068"/>
      <c r="BK58" s="2068"/>
      <c r="BL58" s="2068"/>
      <c r="BM58" s="2068"/>
      <c r="BN58" s="2068"/>
      <c r="BO58" s="2068"/>
      <c r="BP58" s="2068"/>
      <c r="BQ58" s="2068"/>
      <c r="BR58" s="2068"/>
      <c r="BS58" s="2068"/>
      <c r="BT58" s="2068"/>
      <c r="BU58" s="2068"/>
      <c r="BV58" s="2068"/>
      <c r="BW58" s="2068"/>
    </row>
    <row r="59" spans="1:75">
      <c r="A59" s="2125" t="s">
        <v>520</v>
      </c>
      <c r="B59" s="2088"/>
      <c r="C59" s="2088"/>
      <c r="D59" s="2088"/>
      <c r="E59" s="2088"/>
      <c r="F59" s="2158"/>
      <c r="G59" s="2088"/>
      <c r="H59" s="2088"/>
      <c r="I59" s="2088"/>
      <c r="J59" s="2158"/>
      <c r="K59" s="2088"/>
      <c r="L59" s="2089"/>
      <c r="M59" s="2089"/>
      <c r="N59" s="2153" t="s">
        <v>270</v>
      </c>
      <c r="O59" s="2121" t="s">
        <v>270</v>
      </c>
      <c r="P59" s="2121" t="s">
        <v>270</v>
      </c>
      <c r="Q59" s="2121" t="s">
        <v>270</v>
      </c>
      <c r="R59" s="2153" t="s">
        <v>270</v>
      </c>
      <c r="S59" s="2121" t="s">
        <v>270</v>
      </c>
      <c r="T59" s="2121" t="s">
        <v>270</v>
      </c>
      <c r="U59" s="2121" t="s">
        <v>270</v>
      </c>
      <c r="V59" s="2153" t="s">
        <v>270</v>
      </c>
      <c r="W59" s="2121" t="s">
        <v>270</v>
      </c>
      <c r="X59" s="2121" t="s">
        <v>270</v>
      </c>
      <c r="Y59" s="2121" t="s">
        <v>270</v>
      </c>
      <c r="Z59" s="2153" t="s">
        <v>270</v>
      </c>
      <c r="AA59" s="2121" t="s">
        <v>270</v>
      </c>
      <c r="AB59" s="2121" t="s">
        <v>270</v>
      </c>
      <c r="AC59" s="2121" t="s">
        <v>270</v>
      </c>
      <c r="AD59" s="2163">
        <f>AVERAGE(AC58:AD58)</f>
        <v>15.31596680426189</v>
      </c>
      <c r="AE59" s="2089">
        <f t="shared" ref="AE59" si="46">AVERAGE(AD58:AE58)</f>
        <v>17.472639616314282</v>
      </c>
      <c r="AF59" s="2089">
        <f t="shared" ref="AF59" si="47">AVERAGE(AE58:AF58)</f>
        <v>3.0559022249366503</v>
      </c>
      <c r="AG59" s="2089">
        <f t="shared" ref="AG59" si="48">AVERAGE(AF58:AG58)</f>
        <v>14.928509909511758</v>
      </c>
      <c r="AH59" s="2163">
        <f>AVERAGE(AG58:AH58)</f>
        <v>17.597698592359585</v>
      </c>
      <c r="AI59" s="2089">
        <f t="shared" ref="AI59:AK59" si="49">AVERAGE(AH58:AI58)</f>
        <v>-4.9939569911960779</v>
      </c>
      <c r="AJ59" s="2089">
        <f t="shared" si="49"/>
        <v>2.1336996665356134</v>
      </c>
      <c r="AK59" s="2089">
        <f t="shared" si="49"/>
        <v>-2.8994392075119597</v>
      </c>
      <c r="AL59" s="2163">
        <f>AVERAGE(AK58:AL58)</f>
        <v>-7.1998493251963147</v>
      </c>
      <c r="AM59" s="2089">
        <f>AVERAGE(AL58:AM58)</f>
        <v>-5.0742611322887923</v>
      </c>
      <c r="AN59" s="2089">
        <f>AVERAGE(AM58:AN58)</f>
        <v>5.4150405195281195</v>
      </c>
      <c r="AO59" s="2089">
        <f>AVERAGE(AN58:AO58)</f>
        <v>4.3890163644106988</v>
      </c>
      <c r="AP59" s="2163">
        <f>AVERAGE(AO58:AP58)</f>
        <v>3.0382060519812679</v>
      </c>
      <c r="AQ59" s="2089">
        <f t="shared" ref="AQ59:AS59" si="50">AVERAGE(AP58:AQ58)</f>
        <v>10.255182434709077</v>
      </c>
      <c r="AR59" s="2089">
        <f t="shared" si="50"/>
        <v>5.8727218280143854</v>
      </c>
      <c r="AS59" s="2089">
        <f t="shared" si="50"/>
        <v>3.2950746230595516</v>
      </c>
      <c r="AT59" s="2163">
        <f t="shared" ref="AT59" si="51">AVERAGE(AS58:AT58)</f>
        <v>2.7637323697962137</v>
      </c>
      <c r="AU59" s="2089">
        <f t="shared" ref="AU59" si="52">AVERAGE(AT58:AU58)</f>
        <v>8.1339397978618848</v>
      </c>
      <c r="AV59" s="2089">
        <f t="shared" ref="AV59" si="53">AVERAGE(AU58:AV58)</f>
        <v>7.4334766217742736</v>
      </c>
      <c r="AW59" s="2089">
        <f t="shared" ref="AW59" si="54">AVERAGE(AV58:AW58)</f>
        <v>2.1544852125545835</v>
      </c>
      <c r="AX59" s="2063"/>
      <c r="AY59" s="2079"/>
      <c r="AZ59" s="2063"/>
      <c r="BA59" s="2063"/>
      <c r="BB59" s="2063"/>
      <c r="BC59" s="2063"/>
      <c r="BD59" s="2063"/>
      <c r="BE59" s="2063"/>
      <c r="BF59" s="2063"/>
      <c r="BG59" s="2063"/>
      <c r="BH59" s="2063"/>
      <c r="BI59" s="2063"/>
      <c r="BJ59" s="2063"/>
      <c r="BK59" s="2063"/>
      <c r="BL59" s="2063"/>
      <c r="BM59" s="2063"/>
      <c r="BN59" s="2063"/>
      <c r="BO59" s="2063"/>
      <c r="BP59" s="2063"/>
      <c r="BQ59" s="2063"/>
      <c r="BR59" s="2063"/>
      <c r="BS59" s="2063"/>
      <c r="BT59" s="2063"/>
      <c r="BU59" s="2063"/>
      <c r="BV59" s="2063"/>
      <c r="BW59" s="2063"/>
    </row>
    <row r="60" spans="1:75">
      <c r="A60" s="2111" t="str">
        <f>A49</f>
        <v xml:space="preserve">    CALID</v>
      </c>
      <c r="B60" s="2076"/>
      <c r="C60" s="2076"/>
      <c r="D60" s="2076"/>
      <c r="E60" s="2076"/>
      <c r="F60" s="2157"/>
      <c r="G60" s="2079"/>
      <c r="H60" s="2079"/>
      <c r="I60" s="2079"/>
      <c r="J60" s="2157"/>
      <c r="K60" s="2079"/>
      <c r="L60" s="2079"/>
      <c r="M60" s="2079"/>
      <c r="N60" s="2154" t="s">
        <v>270</v>
      </c>
      <c r="O60" s="2122" t="s">
        <v>270</v>
      </c>
      <c r="P60" s="2122" t="s">
        <v>270</v>
      </c>
      <c r="Q60" s="2122" t="s">
        <v>270</v>
      </c>
      <c r="R60" s="2154" t="s">
        <v>270</v>
      </c>
      <c r="S60" s="2122" t="s">
        <v>270</v>
      </c>
      <c r="T60" s="2122" t="s">
        <v>270</v>
      </c>
      <c r="U60" s="2122" t="s">
        <v>270</v>
      </c>
      <c r="V60" s="2154" t="s">
        <v>270</v>
      </c>
      <c r="W60" s="2122" t="s">
        <v>270</v>
      </c>
      <c r="X60" s="2122" t="s">
        <v>270</v>
      </c>
      <c r="Y60" s="2122" t="s">
        <v>270</v>
      </c>
      <c r="Z60" s="2154" t="s">
        <v>270</v>
      </c>
      <c r="AA60" s="2122" t="s">
        <v>270</v>
      </c>
      <c r="AB60" s="2122" t="s">
        <v>270</v>
      </c>
      <c r="AC60" s="2122" t="s">
        <v>270</v>
      </c>
      <c r="AD60" s="2157">
        <f t="shared" ref="AD60:AS60" si="55">AD49+Z49</f>
        <v>-1.9084849945846933</v>
      </c>
      <c r="AE60" s="2079">
        <f t="shared" si="55"/>
        <v>19.920300544376921</v>
      </c>
      <c r="AF60" s="2079">
        <f t="shared" si="55"/>
        <v>13.847681677428037</v>
      </c>
      <c r="AG60" s="2079">
        <f t="shared" si="55"/>
        <v>4.1528143154773849</v>
      </c>
      <c r="AH60" s="2157">
        <f t="shared" si="55"/>
        <v>14.093244134243324</v>
      </c>
      <c r="AI60" s="2079">
        <f t="shared" si="55"/>
        <v>-4.6657260084712071</v>
      </c>
      <c r="AJ60" s="2079">
        <f t="shared" si="55"/>
        <v>30.323445320612429</v>
      </c>
      <c r="AK60" s="2079">
        <f t="shared" si="55"/>
        <v>0.40964695166583898</v>
      </c>
      <c r="AL60" s="2157">
        <f t="shared" si="55"/>
        <v>8.2135881212518704</v>
      </c>
      <c r="AM60" s="2079">
        <f t="shared" si="55"/>
        <v>-10.731201936209523</v>
      </c>
      <c r="AN60" s="2079">
        <f t="shared" si="55"/>
        <v>19.24835067037511</v>
      </c>
      <c r="AO60" s="2079">
        <f t="shared" si="55"/>
        <v>5.6013373972401048</v>
      </c>
      <c r="AP60" s="2157">
        <f t="shared" si="55"/>
        <v>-2.1905912934105585</v>
      </c>
      <c r="AQ60" s="2079">
        <f t="shared" si="55"/>
        <v>1.969898337339977</v>
      </c>
      <c r="AR60" s="2079">
        <f t="shared" si="55"/>
        <v>-2.8420154204093695</v>
      </c>
      <c r="AS60" s="2079">
        <f t="shared" si="55"/>
        <v>0.39524286953176513</v>
      </c>
      <c r="AT60" s="2157">
        <f t="shared" ref="AT60:AW60" si="56">AT49+AP49</f>
        <v>2.7839389475040139</v>
      </c>
      <c r="AU60" s="2079">
        <f t="shared" si="56"/>
        <v>14.725762923601829</v>
      </c>
      <c r="AV60" s="2079">
        <f t="shared" si="56"/>
        <v>11.658863773362054</v>
      </c>
      <c r="AW60" s="2079">
        <f t="shared" si="56"/>
        <v>9.9673759286344676</v>
      </c>
      <c r="AX60" s="2069"/>
      <c r="AY60" s="2063"/>
      <c r="AZ60" s="2063"/>
      <c r="BA60" s="2063"/>
      <c r="BB60" s="2063"/>
      <c r="BC60" s="2063"/>
      <c r="BD60" s="2063"/>
      <c r="BE60" s="2063"/>
      <c r="BF60" s="2063"/>
      <c r="BG60" s="2063"/>
      <c r="BH60" s="2063"/>
      <c r="BI60" s="2063"/>
      <c r="BJ60" s="2063"/>
      <c r="BK60" s="2063"/>
      <c r="BL60" s="2063"/>
      <c r="BM60" s="2063"/>
      <c r="BN60" s="2063"/>
      <c r="BO60" s="2063"/>
      <c r="BP60" s="2063"/>
      <c r="BQ60" s="2063"/>
      <c r="BR60" s="2063"/>
      <c r="BS60" s="2063"/>
      <c r="BT60" s="2063"/>
      <c r="BU60" s="2063"/>
      <c r="BV60" s="2063"/>
      <c r="BW60" s="2063"/>
    </row>
    <row r="61" spans="1:75">
      <c r="A61" s="2125" t="s">
        <v>520</v>
      </c>
      <c r="B61" s="2088"/>
      <c r="C61" s="2088"/>
      <c r="D61" s="2088"/>
      <c r="E61" s="2088"/>
      <c r="F61" s="2158"/>
      <c r="G61" s="2088"/>
      <c r="H61" s="2088"/>
      <c r="I61" s="2088"/>
      <c r="J61" s="2158"/>
      <c r="K61" s="2088"/>
      <c r="L61" s="2089"/>
      <c r="M61" s="2089"/>
      <c r="N61" s="2153" t="s">
        <v>270</v>
      </c>
      <c r="O61" s="2121" t="s">
        <v>270</v>
      </c>
      <c r="P61" s="2121" t="s">
        <v>270</v>
      </c>
      <c r="Q61" s="2121" t="s">
        <v>270</v>
      </c>
      <c r="R61" s="2153" t="s">
        <v>270</v>
      </c>
      <c r="S61" s="2121" t="s">
        <v>270</v>
      </c>
      <c r="T61" s="2121" t="s">
        <v>270</v>
      </c>
      <c r="U61" s="2121" t="s">
        <v>270</v>
      </c>
      <c r="V61" s="2153" t="s">
        <v>270</v>
      </c>
      <c r="W61" s="2121" t="s">
        <v>270</v>
      </c>
      <c r="X61" s="2121" t="s">
        <v>270</v>
      </c>
      <c r="Y61" s="2121" t="s">
        <v>270</v>
      </c>
      <c r="Z61" s="2153" t="s">
        <v>270</v>
      </c>
      <c r="AA61" s="2121" t="s">
        <v>270</v>
      </c>
      <c r="AB61" s="2121" t="s">
        <v>270</v>
      </c>
      <c r="AC61" s="2121" t="s">
        <v>270</v>
      </c>
      <c r="AD61" s="2163">
        <f>AVERAGE(AC60:AD60)</f>
        <v>-1.9084849945846933</v>
      </c>
      <c r="AE61" s="2089">
        <f t="shared" ref="AE61" si="57">AVERAGE(AD60:AE60)</f>
        <v>9.005907774896114</v>
      </c>
      <c r="AF61" s="2089">
        <f t="shared" ref="AF61" si="58">AVERAGE(AE60:AF60)</f>
        <v>16.883991110902478</v>
      </c>
      <c r="AG61" s="2089">
        <f t="shared" ref="AG61" si="59">AVERAGE(AF60:AG60)</f>
        <v>9.0002479964527105</v>
      </c>
      <c r="AH61" s="2163">
        <f>AVERAGE(AG60:AH60)</f>
        <v>9.1230292248603551</v>
      </c>
      <c r="AI61" s="2089">
        <f t="shared" ref="AI61:AK61" si="60">AVERAGE(AH60:AI60)</f>
        <v>4.7137590628860586</v>
      </c>
      <c r="AJ61" s="2089">
        <f t="shared" si="60"/>
        <v>12.828859656070611</v>
      </c>
      <c r="AK61" s="2089">
        <f t="shared" si="60"/>
        <v>15.366546136139133</v>
      </c>
      <c r="AL61" s="2163">
        <f>AVERAGE(AK60:AL60)</f>
        <v>4.3116175364588543</v>
      </c>
      <c r="AM61" s="2089">
        <f>AVERAGE(AL60:AM60)</f>
        <v>-1.2588069074788262</v>
      </c>
      <c r="AN61" s="2089">
        <f>AVERAGE(AM60:AN60)</f>
        <v>4.2585743670827938</v>
      </c>
      <c r="AO61" s="2089">
        <f>AVERAGE(AN60:AO60)</f>
        <v>12.424844033807608</v>
      </c>
      <c r="AP61" s="2163">
        <f>AVERAGE(AO60:AP60)</f>
        <v>1.7053730519147732</v>
      </c>
      <c r="AQ61" s="2089">
        <f t="shared" ref="AQ61:AS61" si="61">AVERAGE(AP60:AQ60)</f>
        <v>-0.11034647803529074</v>
      </c>
      <c r="AR61" s="2089">
        <f t="shared" si="61"/>
        <v>-0.43605854153469625</v>
      </c>
      <c r="AS61" s="2089">
        <f t="shared" si="61"/>
        <v>-1.2233862754388021</v>
      </c>
      <c r="AT61" s="2163">
        <f t="shared" ref="AT61" si="62">AVERAGE(AS60:AT60)</f>
        <v>1.5895909085178896</v>
      </c>
      <c r="AU61" s="2089">
        <f t="shared" ref="AU61" si="63">AVERAGE(AT60:AU60)</f>
        <v>8.7548509355529216</v>
      </c>
      <c r="AV61" s="2089">
        <f t="shared" ref="AV61" si="64">AVERAGE(AU60:AV60)</f>
        <v>13.192313348481942</v>
      </c>
      <c r="AW61" s="2089">
        <f t="shared" ref="AW61" si="65">AVERAGE(AV60:AW60)</f>
        <v>10.813119850998261</v>
      </c>
      <c r="AX61" s="2063"/>
      <c r="AY61" s="2079"/>
      <c r="AZ61" s="2063"/>
      <c r="BA61" s="2063"/>
      <c r="BB61" s="2063"/>
      <c r="BC61" s="2063"/>
      <c r="BD61" s="2063"/>
      <c r="BE61" s="2063"/>
      <c r="BF61" s="2063"/>
      <c r="BG61" s="2063"/>
      <c r="BH61" s="2063"/>
      <c r="BI61" s="2063"/>
      <c r="BJ61" s="2063"/>
      <c r="BK61" s="2063"/>
      <c r="BL61" s="2063"/>
      <c r="BM61" s="2063"/>
      <c r="BN61" s="2063"/>
      <c r="BO61" s="2063"/>
      <c r="BP61" s="2063"/>
      <c r="BQ61" s="2063"/>
      <c r="BR61" s="2063"/>
      <c r="BS61" s="2063"/>
      <c r="BT61" s="2063"/>
      <c r="BU61" s="2063"/>
      <c r="BV61" s="2063"/>
      <c r="BW61" s="2063"/>
    </row>
    <row r="62" spans="1:75">
      <c r="A62" s="2111" t="str">
        <f>A50</f>
        <v xml:space="preserve">    NANO</v>
      </c>
      <c r="B62" s="2081"/>
      <c r="C62" s="2081"/>
      <c r="D62" s="2081"/>
      <c r="E62" s="2081"/>
      <c r="F62" s="2157"/>
      <c r="G62" s="2079"/>
      <c r="H62" s="2079"/>
      <c r="I62" s="2079"/>
      <c r="J62" s="2157"/>
      <c r="K62" s="2079"/>
      <c r="L62" s="2079"/>
      <c r="M62" s="2079"/>
      <c r="N62" s="2154" t="s">
        <v>270</v>
      </c>
      <c r="O62" s="2122" t="s">
        <v>270</v>
      </c>
      <c r="P62" s="2122" t="s">
        <v>270</v>
      </c>
      <c r="Q62" s="2122" t="s">
        <v>270</v>
      </c>
      <c r="R62" s="2154" t="s">
        <v>270</v>
      </c>
      <c r="S62" s="2122" t="s">
        <v>270</v>
      </c>
      <c r="T62" s="2122" t="s">
        <v>270</v>
      </c>
      <c r="U62" s="2122" t="s">
        <v>270</v>
      </c>
      <c r="V62" s="2154" t="s">
        <v>270</v>
      </c>
      <c r="W62" s="2122" t="s">
        <v>270</v>
      </c>
      <c r="X62" s="2122" t="s">
        <v>270</v>
      </c>
      <c r="Y62" s="2122" t="s">
        <v>270</v>
      </c>
      <c r="Z62" s="2154" t="s">
        <v>270</v>
      </c>
      <c r="AA62" s="2122" t="s">
        <v>270</v>
      </c>
      <c r="AB62" s="2122" t="s">
        <v>270</v>
      </c>
      <c r="AC62" s="2122" t="s">
        <v>270</v>
      </c>
      <c r="AD62" s="2157">
        <f t="shared" ref="AD62:AS62" si="66">AD50+Z50</f>
        <v>5.728092246694203</v>
      </c>
      <c r="AE62" s="2079">
        <f t="shared" si="66"/>
        <v>-14.649612972743627</v>
      </c>
      <c r="AF62" s="2079">
        <f t="shared" si="66"/>
        <v>-14.930173698934649</v>
      </c>
      <c r="AG62" s="2079">
        <f t="shared" si="66"/>
        <v>-15.027342112994138</v>
      </c>
      <c r="AH62" s="2157">
        <f t="shared" si="66"/>
        <v>8.4858864785543986</v>
      </c>
      <c r="AI62" s="2079">
        <f t="shared" si="66"/>
        <v>0.55446332051377212</v>
      </c>
      <c r="AJ62" s="2079">
        <f t="shared" si="66"/>
        <v>-17.476618000172273</v>
      </c>
      <c r="AK62" s="2079">
        <f t="shared" si="66"/>
        <v>15.725498814844403</v>
      </c>
      <c r="AL62" s="2157">
        <f t="shared" si="66"/>
        <v>0.31604941145124255</v>
      </c>
      <c r="AM62" s="2079">
        <f t="shared" si="66"/>
        <v>-16.638304888366701</v>
      </c>
      <c r="AN62" s="2079">
        <f t="shared" si="66"/>
        <v>-15.323575764129572</v>
      </c>
      <c r="AO62" s="2079">
        <f t="shared" si="66"/>
        <v>-0.15291645738284565</v>
      </c>
      <c r="AP62" s="2157">
        <f t="shared" si="66"/>
        <v>2.5237237270007733</v>
      </c>
      <c r="AQ62" s="2079">
        <f t="shared" si="66"/>
        <v>-22.655900714378856</v>
      </c>
      <c r="AR62" s="2079">
        <f t="shared" si="66"/>
        <v>0.74630899998092737</v>
      </c>
      <c r="AS62" s="2079">
        <f t="shared" si="66"/>
        <v>10.934082499221432</v>
      </c>
      <c r="AT62" s="2157">
        <f t="shared" ref="AT62:AW62" si="67">AT50+AP50</f>
        <v>9.1758906168362007</v>
      </c>
      <c r="AU62" s="2079">
        <f t="shared" si="67"/>
        <v>5.4831873178163892</v>
      </c>
      <c r="AV62" s="2079">
        <f t="shared" si="67"/>
        <v>4.2254623438112624</v>
      </c>
      <c r="AW62" s="2079">
        <f t="shared" si="67"/>
        <v>15.335856534450642</v>
      </c>
      <c r="AX62" s="2063"/>
      <c r="AY62" s="2063"/>
      <c r="AZ62" s="2063"/>
      <c r="BA62" s="2063"/>
      <c r="BB62" s="2063"/>
      <c r="BC62" s="2063"/>
      <c r="BD62" s="2063"/>
      <c r="BE62" s="2063"/>
      <c r="BF62" s="2063"/>
      <c r="BG62" s="2063"/>
      <c r="BH62" s="2063"/>
      <c r="BI62" s="2063"/>
      <c r="BJ62" s="2063"/>
      <c r="BK62" s="2063"/>
      <c r="BL62" s="2063"/>
      <c r="BM62" s="2063"/>
      <c r="BN62" s="2063"/>
      <c r="BO62" s="2063"/>
      <c r="BP62" s="2063"/>
      <c r="BQ62" s="2063"/>
      <c r="BR62" s="2063"/>
      <c r="BS62" s="2063"/>
      <c r="BT62" s="2063"/>
      <c r="BU62" s="2063"/>
      <c r="BV62" s="2063"/>
      <c r="BW62" s="2063"/>
    </row>
    <row r="63" spans="1:75">
      <c r="A63" s="2125" t="s">
        <v>520</v>
      </c>
      <c r="B63" s="2088"/>
      <c r="C63" s="2088"/>
      <c r="D63" s="2088"/>
      <c r="E63" s="2088"/>
      <c r="F63" s="2158"/>
      <c r="G63" s="2088"/>
      <c r="H63" s="2088"/>
      <c r="I63" s="2088"/>
      <c r="J63" s="2158"/>
      <c r="K63" s="2088"/>
      <c r="L63" s="2089"/>
      <c r="M63" s="2089"/>
      <c r="N63" s="2153" t="s">
        <v>270</v>
      </c>
      <c r="O63" s="2121" t="s">
        <v>270</v>
      </c>
      <c r="P63" s="2121" t="s">
        <v>270</v>
      </c>
      <c r="Q63" s="2121" t="s">
        <v>270</v>
      </c>
      <c r="R63" s="2153" t="s">
        <v>270</v>
      </c>
      <c r="S63" s="2121" t="s">
        <v>270</v>
      </c>
      <c r="T63" s="2121" t="s">
        <v>270</v>
      </c>
      <c r="U63" s="2121" t="s">
        <v>270</v>
      </c>
      <c r="V63" s="2153" t="s">
        <v>270</v>
      </c>
      <c r="W63" s="2121" t="s">
        <v>270</v>
      </c>
      <c r="X63" s="2121" t="s">
        <v>270</v>
      </c>
      <c r="Y63" s="2121" t="s">
        <v>270</v>
      </c>
      <c r="Z63" s="2153" t="s">
        <v>270</v>
      </c>
      <c r="AA63" s="2121" t="s">
        <v>270</v>
      </c>
      <c r="AB63" s="2121" t="s">
        <v>270</v>
      </c>
      <c r="AC63" s="2121" t="s">
        <v>270</v>
      </c>
      <c r="AD63" s="2163">
        <f>AVERAGE(AC62:AD62)</f>
        <v>5.728092246694203</v>
      </c>
      <c r="AE63" s="2089">
        <f t="shared" ref="AE63" si="68">AVERAGE(AD62:AE62)</f>
        <v>-4.4607603630247121</v>
      </c>
      <c r="AF63" s="2089">
        <f t="shared" ref="AF63" si="69">AVERAGE(AE62:AF62)</f>
        <v>-14.789893335839139</v>
      </c>
      <c r="AG63" s="2089">
        <f t="shared" ref="AG63" si="70">AVERAGE(AF62:AG62)</f>
        <v>-14.978757905964393</v>
      </c>
      <c r="AH63" s="2163">
        <f>AVERAGE(AG62:AH62)</f>
        <v>-3.2707278172198695</v>
      </c>
      <c r="AI63" s="2089">
        <f t="shared" ref="AI63:AK63" si="71">AVERAGE(AH62:AI62)</f>
        <v>4.5201748995340854</v>
      </c>
      <c r="AJ63" s="2089">
        <f t="shared" si="71"/>
        <v>-8.4610773398292505</v>
      </c>
      <c r="AK63" s="2089">
        <f t="shared" si="71"/>
        <v>-0.87555959266393479</v>
      </c>
      <c r="AL63" s="2163">
        <f>AVERAGE(AK62:AL62)</f>
        <v>8.020774113147823</v>
      </c>
      <c r="AM63" s="2089">
        <f>AVERAGE(AL62:AM62)</f>
        <v>-8.1611277384577292</v>
      </c>
      <c r="AN63" s="2089">
        <f>AVERAGE(AM62:AN62)</f>
        <v>-15.980940326248136</v>
      </c>
      <c r="AO63" s="2089">
        <f>AVERAGE(AN62:AO62)</f>
        <v>-7.7382461107562088</v>
      </c>
      <c r="AP63" s="2163">
        <f>AVERAGE(AO62:AP62)</f>
        <v>1.1854036348089638</v>
      </c>
      <c r="AQ63" s="2089">
        <f t="shared" ref="AQ63:AS63" si="72">AVERAGE(AP62:AQ62)</f>
        <v>-10.06608849368904</v>
      </c>
      <c r="AR63" s="2089">
        <f t="shared" si="72"/>
        <v>-10.954795857198963</v>
      </c>
      <c r="AS63" s="2089">
        <f t="shared" si="72"/>
        <v>5.8401957496011798</v>
      </c>
      <c r="AT63" s="2163">
        <f t="shared" ref="AT63" si="73">AVERAGE(AS62:AT62)</f>
        <v>10.054986558028816</v>
      </c>
      <c r="AU63" s="2089">
        <f t="shared" ref="AU63" si="74">AVERAGE(AT62:AU62)</f>
        <v>7.329538967326295</v>
      </c>
      <c r="AV63" s="2089">
        <f t="shared" ref="AV63" si="75">AVERAGE(AU62:AV62)</f>
        <v>4.8543248308138258</v>
      </c>
      <c r="AW63" s="2089">
        <f t="shared" ref="AW63" si="76">AVERAGE(AV62:AW62)</f>
        <v>9.780659439130952</v>
      </c>
      <c r="AX63" s="2063"/>
      <c r="AY63" s="2079"/>
      <c r="AZ63" s="2063"/>
      <c r="BA63" s="2063"/>
      <c r="BB63" s="2063"/>
      <c r="BC63" s="2063"/>
      <c r="BD63" s="2063"/>
      <c r="BE63" s="2063"/>
      <c r="BF63" s="2063"/>
      <c r="BG63" s="2063"/>
      <c r="BH63" s="2063"/>
      <c r="BI63" s="2063"/>
      <c r="BJ63" s="2063"/>
      <c r="BK63" s="2063"/>
      <c r="BL63" s="2063"/>
      <c r="BM63" s="2063"/>
      <c r="BN63" s="2063"/>
      <c r="BO63" s="2063"/>
      <c r="BP63" s="2063"/>
      <c r="BQ63" s="2063"/>
      <c r="BR63" s="2063"/>
      <c r="BS63" s="2063"/>
      <c r="BT63" s="2063"/>
      <c r="BU63" s="2063"/>
      <c r="BV63" s="2063"/>
      <c r="BW63" s="2063"/>
    </row>
    <row r="64" spans="1:75">
      <c r="A64" s="2053" t="s">
        <v>333</v>
      </c>
      <c r="B64" s="2081"/>
      <c r="C64" s="2081"/>
      <c r="D64" s="2081"/>
      <c r="E64" s="2081"/>
      <c r="F64" s="2157"/>
      <c r="G64" s="2079"/>
      <c r="H64" s="2079"/>
      <c r="I64" s="2079"/>
      <c r="J64" s="2157"/>
      <c r="K64" s="2079"/>
      <c r="L64" s="2079"/>
      <c r="M64" s="2079"/>
      <c r="N64" s="2157">
        <f t="shared" ref="N64:AS64" si="77">N51+J51</f>
        <v>12.149099999999999</v>
      </c>
      <c r="O64" s="2079">
        <f t="shared" si="77"/>
        <v>8.8033000000000001</v>
      </c>
      <c r="P64" s="2079">
        <f t="shared" si="77"/>
        <v>15.195999999999998</v>
      </c>
      <c r="Q64" s="2079">
        <f t="shared" si="77"/>
        <v>14.223996638655466</v>
      </c>
      <c r="R64" s="2157">
        <f t="shared" si="77"/>
        <v>14.895</v>
      </c>
      <c r="S64" s="2079">
        <f t="shared" si="77"/>
        <v>12.499400000000001</v>
      </c>
      <c r="T64" s="2079">
        <f t="shared" si="77"/>
        <v>13.383399999999998</v>
      </c>
      <c r="U64" s="2079">
        <f t="shared" si="77"/>
        <v>12.424800000000001</v>
      </c>
      <c r="V64" s="2157">
        <f t="shared" si="77"/>
        <v>10.7943</v>
      </c>
      <c r="W64" s="2079">
        <f t="shared" si="77"/>
        <v>7.795300000000001</v>
      </c>
      <c r="X64" s="2079">
        <f t="shared" si="77"/>
        <v>22.9998</v>
      </c>
      <c r="Y64" s="2079">
        <f t="shared" si="77"/>
        <v>10.170800000000007</v>
      </c>
      <c r="Z64" s="2157">
        <f t="shared" si="77"/>
        <v>8.2859999999999996</v>
      </c>
      <c r="AA64" s="2079">
        <f t="shared" si="77"/>
        <v>11.299200000000001</v>
      </c>
      <c r="AB64" s="2079">
        <f t="shared" si="77"/>
        <v>8.6197999999999979</v>
      </c>
      <c r="AC64" s="2079">
        <f t="shared" si="77"/>
        <v>12.17720000000001</v>
      </c>
      <c r="AD64" s="2157">
        <f t="shared" si="77"/>
        <v>3.2988</v>
      </c>
      <c r="AE64" s="2079">
        <f t="shared" si="77"/>
        <v>12.737300000000001</v>
      </c>
      <c r="AF64" s="2079">
        <f t="shared" si="77"/>
        <v>-4.1454000000000004</v>
      </c>
      <c r="AG64" s="2079">
        <f t="shared" si="77"/>
        <v>6.6000000000023817E-3</v>
      </c>
      <c r="AH64" s="2157">
        <f t="shared" si="77"/>
        <v>0.8819999999999999</v>
      </c>
      <c r="AI64" s="2079">
        <f t="shared" si="77"/>
        <v>-1.0161000000000002</v>
      </c>
      <c r="AJ64" s="2079">
        <f t="shared" si="77"/>
        <v>6.3050000000000006</v>
      </c>
      <c r="AK64" s="2079">
        <f t="shared" si="77"/>
        <v>5.0633000000000017</v>
      </c>
      <c r="AL64" s="2157">
        <f t="shared" si="77"/>
        <v>-1.3718000000000004</v>
      </c>
      <c r="AM64" s="2079">
        <f t="shared" si="77"/>
        <v>-6.0846</v>
      </c>
      <c r="AN64" s="2079">
        <f t="shared" si="77"/>
        <v>1.6248999999999998</v>
      </c>
      <c r="AO64" s="2079">
        <f t="shared" si="77"/>
        <v>3.065900000000001</v>
      </c>
      <c r="AP64" s="2157">
        <f t="shared" si="77"/>
        <v>0.84380000000000011</v>
      </c>
      <c r="AQ64" s="2079">
        <f t="shared" si="77"/>
        <v>9.5808</v>
      </c>
      <c r="AR64" s="2079">
        <f t="shared" si="77"/>
        <v>-0.7786000000000004</v>
      </c>
      <c r="AS64" s="2079">
        <f t="shared" si="77"/>
        <v>-4.0439999999999987</v>
      </c>
      <c r="AT64" s="2157">
        <f t="shared" ref="AT64:AW64" si="78">AT51+AP51</f>
        <v>1.9918</v>
      </c>
      <c r="AU64" s="2079">
        <f t="shared" si="78"/>
        <v>5.8319999999999999</v>
      </c>
      <c r="AV64" s="2079">
        <f t="shared" si="78"/>
        <v>0.24449999999999994</v>
      </c>
      <c r="AW64" s="2079">
        <f t="shared" si="78"/>
        <v>1.9714</v>
      </c>
      <c r="AX64" s="2063"/>
      <c r="AY64" s="2063"/>
      <c r="AZ64" s="2063"/>
      <c r="BA64" s="2063"/>
      <c r="BB64" s="2063"/>
      <c r="BC64" s="2063"/>
      <c r="BD64" s="2063"/>
      <c r="BE64" s="2063"/>
      <c r="BF64" s="2063"/>
      <c r="BG64" s="2063"/>
      <c r="BH64" s="2063"/>
      <c r="BI64" s="2063"/>
      <c r="BJ64" s="2063"/>
      <c r="BK64" s="2063"/>
      <c r="BL64" s="2063"/>
      <c r="BM64" s="2063"/>
      <c r="BN64" s="2063"/>
      <c r="BO64" s="2063"/>
      <c r="BP64" s="2063"/>
      <c r="BQ64" s="2063"/>
      <c r="BR64" s="2063"/>
      <c r="BS64" s="2063"/>
      <c r="BT64" s="2063"/>
      <c r="BU64" s="2063"/>
      <c r="BV64" s="2063"/>
      <c r="BW64" s="2063"/>
    </row>
    <row r="65" spans="1:75">
      <c r="A65" s="2055" t="s">
        <v>520</v>
      </c>
      <c r="B65" s="2088"/>
      <c r="C65" s="2088"/>
      <c r="D65" s="2088"/>
      <c r="E65" s="2088"/>
      <c r="F65" s="2158"/>
      <c r="G65" s="2088"/>
      <c r="H65" s="2088"/>
      <c r="I65" s="2088"/>
      <c r="J65" s="2158"/>
      <c r="K65" s="2088"/>
      <c r="L65" s="2089"/>
      <c r="M65" s="2089"/>
      <c r="N65" s="2163">
        <f>AVERAGE(M64:N64)</f>
        <v>12.149099999999999</v>
      </c>
      <c r="O65" s="2089">
        <f t="shared" ref="O65" si="79">AVERAGE(N64:O64)</f>
        <v>10.476199999999999</v>
      </c>
      <c r="P65" s="2089">
        <f t="shared" ref="P65" si="80">AVERAGE(O64:P64)</f>
        <v>11.999649999999999</v>
      </c>
      <c r="Q65" s="2089">
        <f t="shared" ref="Q65" si="81">AVERAGE(P64:Q64)</f>
        <v>14.709998319327731</v>
      </c>
      <c r="R65" s="2163">
        <f>AVERAGE(Q64:R64)</f>
        <v>14.559498319327734</v>
      </c>
      <c r="S65" s="2089">
        <f t="shared" ref="S65" si="82">AVERAGE(R64:S64)</f>
        <v>13.6972</v>
      </c>
      <c r="T65" s="2089">
        <f t="shared" ref="T65" si="83">AVERAGE(S64:T64)</f>
        <v>12.9414</v>
      </c>
      <c r="U65" s="2089">
        <f t="shared" ref="U65" si="84">AVERAGE(T64:U64)</f>
        <v>12.9041</v>
      </c>
      <c r="V65" s="2163">
        <f>AVERAGE(U64:V64)</f>
        <v>11.60955</v>
      </c>
      <c r="W65" s="2089">
        <f t="shared" ref="W65" si="85">AVERAGE(V64:W64)</f>
        <v>9.2948000000000004</v>
      </c>
      <c r="X65" s="2089">
        <f t="shared" ref="X65" si="86">AVERAGE(W64:X64)</f>
        <v>15.397550000000001</v>
      </c>
      <c r="Y65" s="2089">
        <f t="shared" ref="Y65" si="87">AVERAGE(X64:Y64)</f>
        <v>16.585300000000004</v>
      </c>
      <c r="Z65" s="2163">
        <f>AVERAGE(Y64:Z64)</f>
        <v>9.2284000000000042</v>
      </c>
      <c r="AA65" s="2089">
        <f t="shared" ref="AA65" si="88">AVERAGE(Z64:AA64)</f>
        <v>9.7926000000000002</v>
      </c>
      <c r="AB65" s="2089">
        <f t="shared" ref="AB65" si="89">AVERAGE(AA64:AB64)</f>
        <v>9.9594999999999985</v>
      </c>
      <c r="AC65" s="2089">
        <f t="shared" ref="AC65" si="90">AVERAGE(AB64:AC64)</f>
        <v>10.398500000000004</v>
      </c>
      <c r="AD65" s="2163">
        <f>AVERAGE(AC64:AD64)</f>
        <v>7.7380000000000049</v>
      </c>
      <c r="AE65" s="2089">
        <f t="shared" ref="AE65" si="91">AVERAGE(AD64:AE64)</f>
        <v>8.0180500000000006</v>
      </c>
      <c r="AF65" s="2089">
        <f t="shared" ref="AF65" si="92">AVERAGE(AE64:AF64)</f>
        <v>4.2959500000000004</v>
      </c>
      <c r="AG65" s="2089">
        <f t="shared" ref="AG65" si="93">AVERAGE(AF64:AG64)</f>
        <v>-2.069399999999999</v>
      </c>
      <c r="AH65" s="2163">
        <f>AVERAGE(AG64:AH64)</f>
        <v>0.44430000000000114</v>
      </c>
      <c r="AI65" s="2089">
        <f t="shared" ref="AI65" si="94">AVERAGE(AH64:AI64)</f>
        <v>-6.7050000000000165E-2</v>
      </c>
      <c r="AJ65" s="2089">
        <f t="shared" ref="AJ65" si="95">AVERAGE(AI64:AJ64)</f>
        <v>2.64445</v>
      </c>
      <c r="AK65" s="2089">
        <f t="shared" ref="AK65" si="96">AVERAGE(AJ64:AK64)</f>
        <v>5.6841500000000007</v>
      </c>
      <c r="AL65" s="2163">
        <f>AVERAGE(AK64:AL64)</f>
        <v>1.8457500000000007</v>
      </c>
      <c r="AM65" s="2089">
        <f>AVERAGE(AL64:AM64)</f>
        <v>-3.7282000000000002</v>
      </c>
      <c r="AN65" s="2089">
        <f>AVERAGE(AM64:AN64)</f>
        <v>-2.2298499999999999</v>
      </c>
      <c r="AO65" s="2089">
        <f>AVERAGE(AN64:AO64)</f>
        <v>2.3454000000000006</v>
      </c>
      <c r="AP65" s="2163">
        <f>AVERAGE(AO64:AP64)</f>
        <v>1.9548500000000004</v>
      </c>
      <c r="AQ65" s="2089">
        <f t="shared" ref="AQ65" si="97">AVERAGE(AP64:AQ64)</f>
        <v>5.2122999999999999</v>
      </c>
      <c r="AR65" s="2089">
        <f t="shared" ref="AR65" si="98">AVERAGE(AQ64:AR64)</f>
        <v>4.4010999999999996</v>
      </c>
      <c r="AS65" s="2089">
        <f t="shared" ref="AS65" si="99">AVERAGE(AR64:AS64)</f>
        <v>-2.4112999999999998</v>
      </c>
      <c r="AT65" s="2163">
        <f t="shared" ref="AT65" si="100">AVERAGE(AS64:AT64)</f>
        <v>-1.0260999999999993</v>
      </c>
      <c r="AU65" s="2089">
        <f t="shared" ref="AU65" si="101">AVERAGE(AT64:AU64)</f>
        <v>3.9119000000000002</v>
      </c>
      <c r="AV65" s="2089">
        <f t="shared" ref="AV65" si="102">AVERAGE(AU64:AV64)</f>
        <v>3.0382499999999997</v>
      </c>
      <c r="AW65" s="2089">
        <f t="shared" ref="AW65" si="103">AVERAGE(AV64:AW64)</f>
        <v>1.10795</v>
      </c>
      <c r="AX65" s="2274"/>
      <c r="AY65" s="2079"/>
      <c r="AZ65" s="2063"/>
      <c r="BA65" s="2063"/>
      <c r="BB65" s="2063"/>
      <c r="BC65" s="2063"/>
      <c r="BD65" s="2063"/>
      <c r="BE65" s="2063"/>
      <c r="BF65" s="2063"/>
      <c r="BG65" s="2063"/>
      <c r="BH65" s="2063"/>
      <c r="BI65" s="2063"/>
      <c r="BJ65" s="2063"/>
      <c r="BK65" s="2063"/>
      <c r="BL65" s="2063"/>
      <c r="BM65" s="2063"/>
      <c r="BN65" s="2063"/>
      <c r="BO65" s="2063"/>
      <c r="BP65" s="2063"/>
      <c r="BQ65" s="2063"/>
      <c r="BR65" s="2063"/>
      <c r="BS65" s="2063"/>
      <c r="BT65" s="2063"/>
      <c r="BU65" s="2063"/>
      <c r="BV65" s="2063"/>
      <c r="BW65" s="2063"/>
    </row>
    <row r="66" spans="1:75">
      <c r="A66" s="2062" t="str">
        <f>A52</f>
        <v>Total Revenue (excl. intersegment sales)</v>
      </c>
      <c r="B66" s="2076"/>
      <c r="C66" s="2076"/>
      <c r="D66" s="2076"/>
      <c r="E66" s="2076"/>
      <c r="F66" s="2148"/>
      <c r="G66" s="2078"/>
      <c r="H66" s="2078"/>
      <c r="I66" s="2078"/>
      <c r="J66" s="2148">
        <f t="shared" ref="J66:AS66" si="104">J52+F52</f>
        <v>21.100300000000004</v>
      </c>
      <c r="K66" s="2078">
        <f t="shared" si="104"/>
        <v>11.661847999999992</v>
      </c>
      <c r="L66" s="2078">
        <f t="shared" si="104"/>
        <v>14.3026</v>
      </c>
      <c r="M66" s="2078">
        <f t="shared" si="104"/>
        <v>8.5691399999999938</v>
      </c>
      <c r="N66" s="2148">
        <f t="shared" si="104"/>
        <v>39.305500000000002</v>
      </c>
      <c r="O66" s="2078">
        <f t="shared" si="104"/>
        <v>15.923499999999997</v>
      </c>
      <c r="P66" s="2078">
        <f t="shared" si="104"/>
        <v>73.726799999999997</v>
      </c>
      <c r="Q66" s="2078">
        <f t="shared" si="104"/>
        <v>81.2</v>
      </c>
      <c r="R66" s="2148">
        <f t="shared" si="104"/>
        <v>41.078499999999998</v>
      </c>
      <c r="S66" s="2078">
        <f t="shared" si="104"/>
        <v>73.067499999999995</v>
      </c>
      <c r="T66" s="2078">
        <f t="shared" si="104"/>
        <v>79.9392</v>
      </c>
      <c r="U66" s="2078">
        <f t="shared" si="104"/>
        <v>113.05220000000003</v>
      </c>
      <c r="V66" s="2148">
        <f t="shared" si="104"/>
        <v>61.405500000000004</v>
      </c>
      <c r="W66" s="2078">
        <f t="shared" si="104"/>
        <v>64.292299999999997</v>
      </c>
      <c r="X66" s="2078">
        <f t="shared" si="104"/>
        <v>91.551000000000002</v>
      </c>
      <c r="Y66" s="2078">
        <f t="shared" si="104"/>
        <v>99.224400000000017</v>
      </c>
      <c r="Z66" s="2148">
        <f t="shared" si="104"/>
        <v>44.447400000000009</v>
      </c>
      <c r="AA66" s="2078">
        <f t="shared" si="104"/>
        <v>81.691299999999984</v>
      </c>
      <c r="AB66" s="2078">
        <f t="shared" si="104"/>
        <v>46.992000000000004</v>
      </c>
      <c r="AC66" s="2078">
        <f t="shared" si="104"/>
        <v>80.532800000000009</v>
      </c>
      <c r="AD66" s="2148">
        <f t="shared" si="104"/>
        <v>21.502800000000001</v>
      </c>
      <c r="AE66" s="2078">
        <f t="shared" si="104"/>
        <v>29.048899999999996</v>
      </c>
      <c r="AF66" s="2078">
        <f t="shared" si="104"/>
        <v>-31.819199999999999</v>
      </c>
      <c r="AG66" s="2078">
        <f t="shared" si="104"/>
        <v>29.312099999999994</v>
      </c>
      <c r="AH66" s="2148">
        <f t="shared" si="104"/>
        <v>13.253400000000003</v>
      </c>
      <c r="AI66" s="2078">
        <f t="shared" si="104"/>
        <v>-7.7157999999999998</v>
      </c>
      <c r="AJ66" s="2078">
        <f t="shared" si="104"/>
        <v>12.931799999999999</v>
      </c>
      <c r="AK66" s="2078">
        <f t="shared" si="104"/>
        <v>9.9395000000000024</v>
      </c>
      <c r="AL66" s="2148">
        <f t="shared" si="104"/>
        <v>7.0679999999999623</v>
      </c>
      <c r="AM66" s="2078">
        <f t="shared" si="104"/>
        <v>-33.374199999999973</v>
      </c>
      <c r="AN66" s="2078">
        <f t="shared" si="104"/>
        <v>24.673999999999971</v>
      </c>
      <c r="AO66" s="2078">
        <f t="shared" si="104"/>
        <v>1.9136128432862396</v>
      </c>
      <c r="AP66" s="2148">
        <f t="shared" si="104"/>
        <v>16.862519999999947</v>
      </c>
      <c r="AQ66" s="2078">
        <f t="shared" si="104"/>
        <v>-8.2440000000000175</v>
      </c>
      <c r="AR66" s="2078">
        <f t="shared" si="104"/>
        <v>3.8665999999999769</v>
      </c>
      <c r="AS66" s="2078">
        <f t="shared" si="104"/>
        <v>8.1717162953224811</v>
      </c>
      <c r="AT66" s="2148">
        <f t="shared" ref="AT66:AW66" si="105">AT52+AP52</f>
        <v>10.195294748904239</v>
      </c>
      <c r="AU66" s="2078">
        <f t="shared" si="105"/>
        <v>26.943275377510428</v>
      </c>
      <c r="AV66" s="2078">
        <f t="shared" si="105"/>
        <v>17.731099218780283</v>
      </c>
      <c r="AW66" s="2078">
        <f t="shared" si="105"/>
        <v>22.337036515159575</v>
      </c>
      <c r="AX66" s="2063"/>
      <c r="AY66" s="2063"/>
      <c r="AZ66" s="2063"/>
      <c r="BA66" s="2063"/>
      <c r="BB66" s="2063"/>
      <c r="BC66" s="2063"/>
      <c r="BD66" s="2063"/>
      <c r="BE66" s="2063"/>
      <c r="BF66" s="2063"/>
      <c r="BG66" s="2063"/>
      <c r="BH66" s="2063"/>
      <c r="BI66" s="2063"/>
      <c r="BJ66" s="2063"/>
      <c r="BK66" s="2063"/>
      <c r="BL66" s="2063"/>
      <c r="BM66" s="2063"/>
      <c r="BN66" s="2063"/>
      <c r="BO66" s="2063"/>
      <c r="BP66" s="2063"/>
      <c r="BQ66" s="2063"/>
      <c r="BR66" s="2063"/>
      <c r="BS66" s="2063"/>
      <c r="BT66" s="2063"/>
      <c r="BU66" s="2063"/>
      <c r="BV66" s="2063"/>
      <c r="BW66" s="2063"/>
    </row>
    <row r="67" spans="1:75">
      <c r="A67" s="2059" t="s">
        <v>520</v>
      </c>
      <c r="B67" s="2088"/>
      <c r="C67" s="2088"/>
      <c r="D67" s="2088"/>
      <c r="E67" s="2088"/>
      <c r="F67" s="2158"/>
      <c r="G67" s="2088"/>
      <c r="H67" s="2088"/>
      <c r="I67" s="2088"/>
      <c r="J67" s="2158"/>
      <c r="K67" s="2089">
        <f t="shared" ref="K67:AK67" si="106">AVERAGE(J66:K66)</f>
        <v>16.381073999999998</v>
      </c>
      <c r="L67" s="2089">
        <f t="shared" si="106"/>
        <v>12.982223999999995</v>
      </c>
      <c r="M67" s="2089">
        <f t="shared" si="106"/>
        <v>11.435869999999998</v>
      </c>
      <c r="N67" s="2163">
        <f>AVERAGE(M66:N66)</f>
        <v>23.93732</v>
      </c>
      <c r="O67" s="2089">
        <f t="shared" si="106"/>
        <v>27.6145</v>
      </c>
      <c r="P67" s="2089">
        <f t="shared" si="106"/>
        <v>44.825149999999994</v>
      </c>
      <c r="Q67" s="2089">
        <f t="shared" si="106"/>
        <v>77.463400000000007</v>
      </c>
      <c r="R67" s="2163">
        <f>AVERAGE(Q66:R66)</f>
        <v>61.139250000000004</v>
      </c>
      <c r="S67" s="2089">
        <f t="shared" si="106"/>
        <v>57.072999999999993</v>
      </c>
      <c r="T67" s="2089">
        <f t="shared" si="106"/>
        <v>76.503349999999998</v>
      </c>
      <c r="U67" s="2089">
        <f t="shared" si="106"/>
        <v>96.495700000000014</v>
      </c>
      <c r="V67" s="2163">
        <f>AVERAGE(U66:V66)</f>
        <v>87.228850000000023</v>
      </c>
      <c r="W67" s="2089">
        <f t="shared" si="106"/>
        <v>62.8489</v>
      </c>
      <c r="X67" s="2089">
        <f t="shared" si="106"/>
        <v>77.92165</v>
      </c>
      <c r="Y67" s="2089">
        <f t="shared" si="106"/>
        <v>95.387700000000009</v>
      </c>
      <c r="Z67" s="2163">
        <f>AVERAGE(Y66:Z66)</f>
        <v>71.835900000000009</v>
      </c>
      <c r="AA67" s="2089">
        <f t="shared" si="106"/>
        <v>63.06935</v>
      </c>
      <c r="AB67" s="2089">
        <f t="shared" si="106"/>
        <v>64.341649999999987</v>
      </c>
      <c r="AC67" s="2089">
        <f t="shared" si="106"/>
        <v>63.762400000000007</v>
      </c>
      <c r="AD67" s="2163">
        <f>AVERAGE(AC66:AD66)</f>
        <v>51.017800000000008</v>
      </c>
      <c r="AE67" s="2089">
        <f t="shared" ref="AE67" si="107">AVERAGE(AD66:AE66)</f>
        <v>25.275849999999998</v>
      </c>
      <c r="AF67" s="2089">
        <f t="shared" ref="AF67" si="108">AVERAGE(AE66:AF66)</f>
        <v>-1.3851500000000012</v>
      </c>
      <c r="AG67" s="2089">
        <f t="shared" ref="AG67" si="109">AVERAGE(AF66:AG66)</f>
        <v>-1.2535500000000024</v>
      </c>
      <c r="AH67" s="2163">
        <f>AVERAGE(AG66:AH66)</f>
        <v>21.28275</v>
      </c>
      <c r="AI67" s="2089">
        <f t="shared" si="106"/>
        <v>2.7688000000000015</v>
      </c>
      <c r="AJ67" s="2089">
        <f t="shared" si="106"/>
        <v>2.6079999999999997</v>
      </c>
      <c r="AK67" s="2089">
        <f t="shared" si="106"/>
        <v>11.435650000000001</v>
      </c>
      <c r="AL67" s="2163">
        <f>AVERAGE(AK66:AL66)</f>
        <v>8.5037499999999824</v>
      </c>
      <c r="AM67" s="2089">
        <f>AVERAGE(AL66:AM66)</f>
        <v>-13.153100000000006</v>
      </c>
      <c r="AN67" s="2089">
        <f>AVERAGE(AM66:AN66)</f>
        <v>-4.3501000000000012</v>
      </c>
      <c r="AO67" s="2089">
        <f>AVERAGE(AN66:AO66)</f>
        <v>13.293806421643104</v>
      </c>
      <c r="AP67" s="2163">
        <f>AVERAGE(AO66:AP66)</f>
        <v>9.3880664216430922</v>
      </c>
      <c r="AQ67" s="2089">
        <f t="shared" ref="AQ67:AS67" si="110">AVERAGE(AP66:AQ66)</f>
        <v>4.3092599999999646</v>
      </c>
      <c r="AR67" s="2089">
        <f t="shared" si="110"/>
        <v>-2.1887000000000203</v>
      </c>
      <c r="AS67" s="2089">
        <f t="shared" si="110"/>
        <v>6.019158147661229</v>
      </c>
      <c r="AT67" s="2163">
        <f t="shared" ref="AT67" si="111">AVERAGE(AS66:AT66)</f>
        <v>9.1835055221133608</v>
      </c>
      <c r="AU67" s="2089">
        <f t="shared" ref="AU67" si="112">AVERAGE(AT66:AU66)</f>
        <v>18.569285063207332</v>
      </c>
      <c r="AV67" s="2089">
        <f t="shared" ref="AV67" si="113">AVERAGE(AU66:AV66)</f>
        <v>22.337187298145356</v>
      </c>
      <c r="AW67" s="2089">
        <f t="shared" ref="AW67" si="114">AVERAGE(AV66:AW66)</f>
        <v>20.034067866969927</v>
      </c>
      <c r="AX67" s="2063"/>
      <c r="AY67" s="2063"/>
      <c r="AZ67" s="2063"/>
      <c r="BA67" s="2063"/>
      <c r="BB67" s="2063"/>
      <c r="BC67" s="2063"/>
      <c r="BD67" s="2063"/>
      <c r="BE67" s="2063"/>
      <c r="BF67" s="2063"/>
      <c r="BG67" s="2063"/>
      <c r="BH67" s="2063"/>
      <c r="BI67" s="2063"/>
      <c r="BJ67" s="2063"/>
      <c r="BK67" s="2063"/>
      <c r="BL67" s="2063"/>
      <c r="BM67" s="2063"/>
      <c r="BN67" s="2063"/>
      <c r="BO67" s="2063"/>
      <c r="BP67" s="2063"/>
      <c r="BQ67" s="2063"/>
      <c r="BR67" s="2063"/>
      <c r="BS67" s="2063"/>
      <c r="BT67" s="2063"/>
      <c r="BU67" s="2063"/>
      <c r="BV67" s="2063"/>
      <c r="BW67" s="2063"/>
    </row>
    <row r="68" spans="1:75" s="2065" customFormat="1">
      <c r="A68" s="2233" t="s">
        <v>542</v>
      </c>
      <c r="B68" s="2081"/>
      <c r="C68" s="2081"/>
      <c r="D68" s="2081"/>
      <c r="E68" s="2081"/>
      <c r="F68" s="2081"/>
      <c r="G68" s="2081"/>
      <c r="H68" s="2081"/>
      <c r="I68" s="2081"/>
      <c r="J68" s="2081"/>
      <c r="K68" s="2081"/>
      <c r="L68" s="2081"/>
      <c r="M68" s="2081"/>
      <c r="N68" s="2081"/>
      <c r="O68" s="2081"/>
      <c r="P68" s="2081"/>
      <c r="Q68" s="2081"/>
      <c r="R68" s="2081"/>
      <c r="S68" s="2081"/>
      <c r="T68" s="2081"/>
      <c r="U68" s="2081"/>
      <c r="V68" s="2081"/>
      <c r="W68" s="2081"/>
      <c r="X68" s="2081"/>
      <c r="Y68" s="2081"/>
      <c r="Z68" s="2081"/>
      <c r="AA68" s="2081"/>
      <c r="AB68" s="2081"/>
      <c r="AC68" s="2081"/>
      <c r="AD68" s="2166">
        <f t="shared" ref="AD68:AS68" si="115">+AD67/2/Z43</f>
        <v>6.4842145399084922E-2</v>
      </c>
      <c r="AE68" s="1321">
        <f t="shared" si="115"/>
        <v>2.7781765223125959E-2</v>
      </c>
      <c r="AF68" s="1321">
        <f t="shared" si="115"/>
        <v>-1.5776195899772224E-3</v>
      </c>
      <c r="AG68" s="1321">
        <f t="shared" si="115"/>
        <v>-1.1352562941496127E-3</v>
      </c>
      <c r="AH68" s="2166">
        <f t="shared" si="115"/>
        <v>2.5115352843993393E-2</v>
      </c>
      <c r="AI68" s="1321">
        <f t="shared" si="115"/>
        <v>3.0266724967205963E-3</v>
      </c>
      <c r="AJ68" s="1321">
        <f t="shared" si="115"/>
        <v>3.1062410671748452E-3</v>
      </c>
      <c r="AK68" s="1321">
        <f t="shared" si="115"/>
        <v>1.1255561023622046E-2</v>
      </c>
      <c r="AL68" s="2166">
        <f t="shared" si="115"/>
        <v>1.2027934936350753E-2</v>
      </c>
      <c r="AM68" s="1321">
        <f t="shared" si="115"/>
        <v>-1.6607449494949501E-2</v>
      </c>
      <c r="AN68" s="1321">
        <f t="shared" si="115"/>
        <v>-5.4911638475132552E-3</v>
      </c>
      <c r="AO68" s="1321">
        <f t="shared" si="115"/>
        <v>1.3899342838624668E-2</v>
      </c>
      <c r="AP68" s="2166">
        <f t="shared" si="115"/>
        <v>1.2504084205704705E-2</v>
      </c>
      <c r="AQ68" s="1321">
        <f t="shared" si="115"/>
        <v>5.796690879741679E-3</v>
      </c>
      <c r="AR68" s="1321">
        <f t="shared" si="115"/>
        <v>-2.7782432089363041E-3</v>
      </c>
      <c r="AS68" s="1321">
        <f t="shared" si="115"/>
        <v>6.3992750878813856E-3</v>
      </c>
      <c r="AT68" s="2166">
        <f t="shared" ref="AT68:AW68" si="116">+AT67/2/AP43</f>
        <v>1.1929729179154795E-2</v>
      </c>
      <c r="AU68" s="1321">
        <f t="shared" si="116"/>
        <v>2.2378024901430867E-2</v>
      </c>
      <c r="AV68" s="1321">
        <f t="shared" si="116"/>
        <v>2.5639563014400089E-2</v>
      </c>
      <c r="AW68" s="1321">
        <f t="shared" si="116"/>
        <v>1.8883542584154759E-2</v>
      </c>
      <c r="AX68" s="2081"/>
      <c r="AY68" s="2081"/>
      <c r="AZ68" s="2081"/>
      <c r="BA68" s="2081"/>
      <c r="BB68" s="2081"/>
      <c r="BC68" s="2081"/>
      <c r="BD68" s="2081"/>
      <c r="BE68" s="2081"/>
      <c r="BF68" s="2081"/>
      <c r="BG68" s="2081"/>
      <c r="BH68" s="2081"/>
      <c r="BI68" s="2081"/>
      <c r="BJ68" s="2081"/>
      <c r="BK68" s="2081"/>
      <c r="BL68" s="2081"/>
      <c r="BM68" s="2081"/>
      <c r="BN68" s="2081"/>
      <c r="BO68" s="2081"/>
      <c r="BP68" s="2081"/>
      <c r="BQ68" s="2081"/>
      <c r="BR68" s="2081"/>
      <c r="BS68" s="2081"/>
      <c r="BT68" s="2081"/>
      <c r="BU68" s="2081"/>
      <c r="BV68" s="2081"/>
      <c r="BW68" s="2081"/>
    </row>
    <row r="69" spans="1:75" s="2065" customFormat="1">
      <c r="A69" s="2234" t="s">
        <v>541</v>
      </c>
      <c r="B69" s="2235"/>
      <c r="C69" s="2235"/>
      <c r="D69" s="2235"/>
      <c r="E69" s="2235"/>
      <c r="F69" s="2236"/>
      <c r="G69" s="2237"/>
      <c r="H69" s="2237"/>
      <c r="I69" s="2237"/>
      <c r="J69" s="2236"/>
      <c r="K69" s="2237">
        <f t="shared" ref="K69:AR69" si="117">AVERAGE(H66:K66)</f>
        <v>16.381073999999998</v>
      </c>
      <c r="L69" s="2237">
        <f t="shared" si="117"/>
        <v>15.688249333333331</v>
      </c>
      <c r="M69" s="2237">
        <f t="shared" si="117"/>
        <v>13.908471999999996</v>
      </c>
      <c r="N69" s="2236">
        <f t="shared" si="117"/>
        <v>18.459771999999994</v>
      </c>
      <c r="O69" s="2237">
        <f t="shared" si="117"/>
        <v>19.525185</v>
      </c>
      <c r="P69" s="2237">
        <f t="shared" si="117"/>
        <v>34.381234999999997</v>
      </c>
      <c r="Q69" s="2237">
        <f t="shared" si="117"/>
        <v>52.53895</v>
      </c>
      <c r="R69" s="2236">
        <f t="shared" si="117"/>
        <v>52.982199999999999</v>
      </c>
      <c r="S69" s="2237">
        <f t="shared" si="117"/>
        <v>67.268200000000007</v>
      </c>
      <c r="T69" s="2237">
        <f t="shared" si="117"/>
        <v>68.821300000000008</v>
      </c>
      <c r="U69" s="2237">
        <f t="shared" si="117"/>
        <v>76.784350000000003</v>
      </c>
      <c r="V69" s="2236">
        <f t="shared" si="117"/>
        <v>81.866100000000003</v>
      </c>
      <c r="W69" s="2237">
        <f t="shared" si="117"/>
        <v>79.672300000000007</v>
      </c>
      <c r="X69" s="2237">
        <f t="shared" si="117"/>
        <v>82.575250000000011</v>
      </c>
      <c r="Y69" s="2237">
        <f t="shared" si="117"/>
        <v>79.118300000000005</v>
      </c>
      <c r="Z69" s="2236">
        <f t="shared" si="117"/>
        <v>74.878775000000005</v>
      </c>
      <c r="AA69" s="2237">
        <f t="shared" si="117"/>
        <v>79.228525000000005</v>
      </c>
      <c r="AB69" s="2237">
        <f t="shared" si="117"/>
        <v>68.088774999999998</v>
      </c>
      <c r="AC69" s="2237">
        <f t="shared" si="117"/>
        <v>63.415875</v>
      </c>
      <c r="AD69" s="2236">
        <f t="shared" si="117"/>
        <v>57.679724999999998</v>
      </c>
      <c r="AE69" s="2237">
        <f t="shared" si="117"/>
        <v>44.519125000000003</v>
      </c>
      <c r="AF69" s="2237">
        <f t="shared" si="117"/>
        <v>24.816325000000006</v>
      </c>
      <c r="AG69" s="2237">
        <f t="shared" si="117"/>
        <v>12.011149999999997</v>
      </c>
      <c r="AH69" s="2236">
        <f t="shared" si="117"/>
        <v>9.9487999999999985</v>
      </c>
      <c r="AI69" s="2237">
        <f t="shared" si="117"/>
        <v>0.75762499999999955</v>
      </c>
      <c r="AJ69" s="2237">
        <f t="shared" si="117"/>
        <v>11.945374999999999</v>
      </c>
      <c r="AK69" s="2237">
        <f t="shared" si="117"/>
        <v>7.1022250000000007</v>
      </c>
      <c r="AL69" s="2236">
        <f t="shared" si="117"/>
        <v>5.5558749999999915</v>
      </c>
      <c r="AM69" s="2237">
        <f t="shared" si="117"/>
        <v>-0.8587250000000024</v>
      </c>
      <c r="AN69" s="2237">
        <f t="shared" si="117"/>
        <v>2.0768249999999906</v>
      </c>
      <c r="AO69" s="2237">
        <f t="shared" si="117"/>
        <v>7.0353210821549883E-2</v>
      </c>
      <c r="AP69" s="2236">
        <f t="shared" si="117"/>
        <v>2.518983210821546</v>
      </c>
      <c r="AQ69" s="2237">
        <f t="shared" si="117"/>
        <v>8.8015332108215354</v>
      </c>
      <c r="AR69" s="2237">
        <f t="shared" si="117"/>
        <v>3.599683210821536</v>
      </c>
      <c r="AS69" s="2237">
        <f>AVERAGE(AP66:AS66)</f>
        <v>5.1642090738305964</v>
      </c>
      <c r="AT69" s="2236">
        <f t="shared" ref="AT69:AW69" si="118">AVERAGE(AQ66:AT66)</f>
        <v>3.4974027610566698</v>
      </c>
      <c r="AU69" s="2237">
        <f t="shared" si="118"/>
        <v>12.294221605434281</v>
      </c>
      <c r="AV69" s="2237">
        <f t="shared" si="118"/>
        <v>15.760346410129358</v>
      </c>
      <c r="AW69" s="2237">
        <f t="shared" si="118"/>
        <v>19.301676465088633</v>
      </c>
      <c r="AX69" s="2081"/>
      <c r="AY69" s="2081"/>
      <c r="AZ69" s="2081"/>
      <c r="BA69" s="2081"/>
      <c r="BB69" s="2081"/>
      <c r="BC69" s="2081"/>
      <c r="BD69" s="2081"/>
      <c r="BE69" s="2081"/>
      <c r="BF69" s="2081"/>
      <c r="BG69" s="2081"/>
      <c r="BH69" s="2081"/>
      <c r="BI69" s="2081"/>
      <c r="BJ69" s="2081"/>
      <c r="BK69" s="2081"/>
      <c r="BL69" s="2081"/>
      <c r="BM69" s="2081"/>
      <c r="BN69" s="2081"/>
      <c r="BO69" s="2081"/>
      <c r="BP69" s="2081"/>
      <c r="BQ69" s="2081"/>
      <c r="BR69" s="2081"/>
      <c r="BS69" s="2081"/>
      <c r="BT69" s="2081"/>
      <c r="BU69" s="2081"/>
      <c r="BV69" s="2081"/>
      <c r="BW69" s="2081"/>
    </row>
    <row r="70" spans="1:75" s="2065" customFormat="1">
      <c r="A70" s="2233" t="s">
        <v>542</v>
      </c>
      <c r="B70" s="2081"/>
      <c r="C70" s="2081"/>
      <c r="D70" s="2081"/>
      <c r="E70" s="2081"/>
      <c r="F70" s="2081"/>
      <c r="G70" s="2081"/>
      <c r="H70" s="2081"/>
      <c r="I70" s="2081"/>
      <c r="J70" s="2081"/>
      <c r="K70" s="2166">
        <f t="shared" ref="K70" si="119">+K69/2/G43</f>
        <v>2.6293858747993577E-2</v>
      </c>
      <c r="L70" s="2348">
        <f t="shared" ref="L70" si="120">+L69/2/H43</f>
        <v>3.2400349717747481E-2</v>
      </c>
      <c r="M70" s="2348">
        <f t="shared" ref="M70" si="121">+M69/2/I43</f>
        <v>2.2062931472081215E-2</v>
      </c>
      <c r="N70" s="2348">
        <f t="shared" ref="N70" si="122">+N69/2/J43</f>
        <v>4.0042889370932741E-2</v>
      </c>
      <c r="O70" s="2348">
        <f t="shared" ref="O70" si="123">+O69/2/K43</f>
        <v>3.866373267326733E-2</v>
      </c>
      <c r="P70" s="2348">
        <f t="shared" ref="P70" si="124">+P69/2/L43</f>
        <v>6.4845784609581278E-2</v>
      </c>
      <c r="Q70" s="2348">
        <f t="shared" ref="Q70" si="125">+Q69/2/M43</f>
        <v>7.16961653930131E-2</v>
      </c>
      <c r="R70" s="2348">
        <f t="shared" ref="R70" si="126">+R69/2/N43</f>
        <v>9.5394670507742169E-2</v>
      </c>
      <c r="S70" s="2348">
        <f t="shared" ref="S70" si="127">+S69/2/O43</f>
        <v>0.11177833167165173</v>
      </c>
      <c r="T70" s="2348">
        <f t="shared" ref="T70" si="128">+T69/2/P43</f>
        <v>0.110930528691167</v>
      </c>
      <c r="U70" s="2348">
        <f t="shared" ref="U70" si="129">+U69/2/Q43</f>
        <v>9.226670271569333E-2</v>
      </c>
      <c r="V70" s="2348">
        <f t="shared" ref="V70" si="130">+V69/2/R43</f>
        <v>0.11465840336134454</v>
      </c>
      <c r="W70" s="2348">
        <f t="shared" ref="W70" si="131">+W69/2/S43</f>
        <v>9.9292497507477581E-2</v>
      </c>
      <c r="X70" s="2348">
        <f t="shared" ref="X70" si="132">+X69/2/T43</f>
        <v>9.8679792065009583E-2</v>
      </c>
      <c r="Y70" s="2348">
        <f t="shared" ref="Y70" si="133">+Y69/2/U43</f>
        <v>8.3264891601768032E-2</v>
      </c>
      <c r="Z70" s="2348">
        <f t="shared" ref="Z70" si="134">+Z69/2/V43</f>
        <v>9.2306182199211051E-2</v>
      </c>
      <c r="AA70" s="2348">
        <f t="shared" ref="AA70" si="135">+AA69/2/W43</f>
        <v>9.4162734727834568E-2</v>
      </c>
      <c r="AB70" s="2348">
        <f t="shared" ref="AB70" si="136">+AB69/2/X43</f>
        <v>7.6025876507369361E-2</v>
      </c>
      <c r="AC70" s="2348">
        <f t="shared" ref="AC70" si="137">+AC69/2/Y43</f>
        <v>6.1295065725884404E-2</v>
      </c>
      <c r="AD70" s="2166">
        <f t="shared" ref="AD70" si="138">+AD69/2/Z43</f>
        <v>7.3309259023894263E-2</v>
      </c>
      <c r="AE70" s="1321">
        <f t="shared" ref="AE70:AM70" si="139">+AE69/2/AA43</f>
        <v>4.8932869861508022E-2</v>
      </c>
      <c r="AF70" s="1321">
        <f t="shared" si="139"/>
        <v>2.8264607061503425E-2</v>
      </c>
      <c r="AG70" s="1321">
        <f t="shared" si="139"/>
        <v>1.087769425828654E-2</v>
      </c>
      <c r="AH70" s="2166">
        <f t="shared" si="139"/>
        <v>1.1740382345999527E-2</v>
      </c>
      <c r="AI70" s="1321">
        <f t="shared" si="139"/>
        <v>8.281864888500214E-4</v>
      </c>
      <c r="AJ70" s="1321">
        <f t="shared" si="139"/>
        <v>1.4227459504525964E-2</v>
      </c>
      <c r="AK70" s="1321">
        <f t="shared" si="139"/>
        <v>6.9903789370078734E-3</v>
      </c>
      <c r="AL70" s="2166">
        <f t="shared" si="139"/>
        <v>7.8583804809052218E-3</v>
      </c>
      <c r="AM70" s="1321">
        <f t="shared" si="139"/>
        <v>-1.0842487373737403E-3</v>
      </c>
      <c r="AN70" s="1321">
        <f>+AN69/2/AJ43</f>
        <v>2.6215917697551003E-3</v>
      </c>
      <c r="AO70" s="1321">
        <f t="shared" ref="AO70:AS70" si="140">+AO69/2/AK43</f>
        <v>7.3557818279551689E-5</v>
      </c>
      <c r="AP70" s="2166">
        <f t="shared" si="140"/>
        <v>3.3550655445145792E-3</v>
      </c>
      <c r="AQ70" s="1321">
        <f t="shared" si="140"/>
        <v>1.1839565793410728E-2</v>
      </c>
      <c r="AR70" s="1321">
        <f>+AR69/2/AN43</f>
        <v>4.5692856192200253E-3</v>
      </c>
      <c r="AS70" s="1321">
        <f t="shared" si="140"/>
        <v>5.4903349711148183E-3</v>
      </c>
      <c r="AT70" s="2166">
        <f t="shared" ref="AT70" si="141">+AT69/2/AP43</f>
        <v>4.5432615758075733E-3</v>
      </c>
      <c r="AU70" s="1321">
        <f t="shared" ref="AU70" si="142">+AU69/2/AQ43</f>
        <v>1.48158852801088E-2</v>
      </c>
      <c r="AV70" s="1321">
        <f t="shared" ref="AV70" si="143">+AV69/2/AR43</f>
        <v>1.809038844137897E-2</v>
      </c>
      <c r="AW70" s="1321">
        <f t="shared" ref="AW70" si="144">+AW69/2/AS43</f>
        <v>1.8193211278624145E-2</v>
      </c>
      <c r="AX70" s="2081"/>
      <c r="AY70" s="2081"/>
      <c r="AZ70" s="2081"/>
      <c r="BA70" s="2081"/>
      <c r="BB70" s="2081"/>
      <c r="BC70" s="2081"/>
      <c r="BD70" s="2081"/>
      <c r="BE70" s="2081"/>
      <c r="BF70" s="2081"/>
      <c r="BG70" s="2081"/>
      <c r="BH70" s="2081"/>
      <c r="BI70" s="2081"/>
      <c r="BJ70" s="2081"/>
      <c r="BK70" s="2081"/>
      <c r="BL70" s="2081"/>
      <c r="BM70" s="2081"/>
      <c r="BN70" s="2081"/>
      <c r="BO70" s="2081"/>
      <c r="BP70" s="2081"/>
      <c r="BQ70" s="2081"/>
      <c r="BR70" s="2081"/>
      <c r="BS70" s="2081"/>
      <c r="BT70" s="2081"/>
      <c r="BU70" s="2081"/>
      <c r="BV70" s="2081"/>
      <c r="BW70" s="2081"/>
    </row>
    <row r="71" spans="1:75" s="2065" customFormat="1">
      <c r="A71" s="2076"/>
      <c r="B71" s="2076"/>
      <c r="C71" s="2076"/>
      <c r="D71" s="2076"/>
      <c r="E71" s="2076"/>
      <c r="F71" s="2076"/>
      <c r="G71" s="2076"/>
      <c r="H71" s="2076"/>
      <c r="I71" s="2076"/>
      <c r="J71" s="2076"/>
      <c r="K71" s="2076"/>
      <c r="L71" s="2076"/>
      <c r="M71" s="2076"/>
      <c r="N71" s="2076"/>
      <c r="O71" s="2076"/>
      <c r="P71" s="2076"/>
      <c r="Q71" s="2076"/>
      <c r="R71" s="2076"/>
      <c r="S71" s="2076"/>
      <c r="T71" s="2076"/>
      <c r="U71" s="2076"/>
      <c r="V71" s="2076"/>
      <c r="W71" s="2076"/>
      <c r="X71" s="2076"/>
      <c r="Y71" s="2076"/>
      <c r="Z71" s="2076"/>
      <c r="AA71" s="2076"/>
      <c r="AB71" s="2076"/>
      <c r="AC71" s="2076"/>
      <c r="AD71" s="2076"/>
      <c r="AE71" s="2076"/>
      <c r="AF71" s="2076"/>
      <c r="AG71" s="2076"/>
      <c r="AH71" s="2076"/>
      <c r="AI71" s="2076"/>
      <c r="AJ71" s="2076"/>
      <c r="AK71" s="2076"/>
      <c r="AL71" s="2076"/>
      <c r="AM71" s="2076"/>
      <c r="AN71" s="2076"/>
      <c r="AO71" s="2076"/>
      <c r="AP71" s="2076"/>
      <c r="AQ71" s="2076"/>
      <c r="AR71" s="2076"/>
      <c r="AS71" s="2076"/>
      <c r="AT71" s="2076"/>
      <c r="AU71" s="2076"/>
      <c r="AV71" s="2076"/>
      <c r="AW71" s="2076"/>
      <c r="AX71" s="2081"/>
      <c r="AY71" s="2081"/>
      <c r="AZ71" s="2081"/>
      <c r="BA71" s="2081"/>
      <c r="BB71" s="2081"/>
      <c r="BC71" s="2081"/>
      <c r="BD71" s="2081"/>
      <c r="BE71" s="2081"/>
      <c r="BF71" s="2081"/>
      <c r="BG71" s="2081"/>
      <c r="BH71" s="2081"/>
      <c r="BI71" s="2081"/>
      <c r="BJ71" s="2081"/>
      <c r="BK71" s="2081"/>
      <c r="BL71" s="2081"/>
      <c r="BM71" s="2081"/>
      <c r="BN71" s="2081"/>
      <c r="BO71" s="2081"/>
      <c r="BP71" s="2081"/>
      <c r="BQ71" s="2081"/>
      <c r="BR71" s="2081"/>
      <c r="BS71" s="2081"/>
      <c r="BT71" s="2081"/>
      <c r="BU71" s="2081"/>
      <c r="BV71" s="2081"/>
      <c r="BW71" s="2081"/>
    </row>
    <row r="72" spans="1:75" s="2065" customFormat="1">
      <c r="A72" s="2107" t="s">
        <v>521</v>
      </c>
      <c r="B72" s="2081"/>
      <c r="C72" s="2081"/>
      <c r="D72" s="2076"/>
      <c r="E72" s="2076"/>
      <c r="F72" s="2076"/>
      <c r="G72" s="2076"/>
      <c r="H72" s="2076"/>
      <c r="I72" s="2054"/>
      <c r="J72" s="2054"/>
      <c r="K72" s="2054"/>
      <c r="L72" s="2054"/>
      <c r="M72" s="2054"/>
      <c r="N72" s="2054"/>
      <c r="O72" s="2054"/>
      <c r="P72" s="2054"/>
      <c r="Q72" s="2054"/>
      <c r="R72" s="2054"/>
      <c r="S72" s="2054"/>
      <c r="T72" s="2054"/>
      <c r="U72" s="2054"/>
      <c r="V72" s="2054"/>
      <c r="W72" s="2054"/>
      <c r="X72" s="2054"/>
      <c r="Y72" s="2054"/>
      <c r="Z72" s="2054"/>
      <c r="AA72" s="2054"/>
      <c r="AB72" s="2054"/>
      <c r="AC72" s="2054"/>
      <c r="AD72" s="2054"/>
      <c r="AE72" s="2054"/>
      <c r="AF72" s="2076"/>
      <c r="AG72" s="2076"/>
      <c r="AH72" s="2076"/>
      <c r="AI72" s="2076"/>
      <c r="AJ72" s="2076"/>
      <c r="AK72" s="2076"/>
      <c r="AL72" s="2076"/>
      <c r="AM72" s="2076"/>
      <c r="AN72" s="2076"/>
      <c r="AO72" s="2076"/>
      <c r="AP72" s="2076"/>
      <c r="AQ72" s="2076"/>
      <c r="AR72" s="2076"/>
      <c r="AS72" s="2076"/>
      <c r="AT72" s="2076"/>
      <c r="AU72" s="2076"/>
      <c r="AV72" s="2076"/>
      <c r="AW72" s="2076"/>
      <c r="AX72" s="2081"/>
      <c r="AY72" s="2081"/>
      <c r="AZ72" s="2081"/>
      <c r="BA72" s="2081"/>
      <c r="BB72" s="2081"/>
      <c r="BC72" s="2081"/>
      <c r="BD72" s="2081"/>
      <c r="BE72" s="2081"/>
      <c r="BF72" s="2081"/>
      <c r="BG72" s="2081"/>
      <c r="BH72" s="2081"/>
      <c r="BI72" s="2081"/>
      <c r="BJ72" s="2081"/>
      <c r="BK72" s="2081"/>
      <c r="BL72" s="2081"/>
      <c r="BM72" s="2081"/>
      <c r="BN72" s="2081"/>
      <c r="BO72" s="2081"/>
      <c r="BP72" s="2081"/>
      <c r="BQ72" s="2081"/>
      <c r="BR72" s="2081"/>
      <c r="BS72" s="2081"/>
      <c r="BT72" s="2081"/>
      <c r="BU72" s="2081"/>
      <c r="BV72" s="2081"/>
      <c r="BW72" s="2081"/>
    </row>
    <row r="73" spans="1:75">
      <c r="A73" s="2272"/>
      <c r="B73" s="2272" t="str">
        <f>B$4</f>
        <v>1Q07</v>
      </c>
      <c r="C73" s="2272" t="str">
        <f t="shared" ref="C73:AW73" si="145">C$4</f>
        <v>2Q07</v>
      </c>
      <c r="D73" s="2272" t="str">
        <f t="shared" si="145"/>
        <v>3Q07</v>
      </c>
      <c r="E73" s="2272" t="str">
        <f t="shared" si="145"/>
        <v>4Q07</v>
      </c>
      <c r="F73" s="2273" t="str">
        <f t="shared" si="145"/>
        <v>1Q08</v>
      </c>
      <c r="G73" s="2272" t="str">
        <f t="shared" si="145"/>
        <v>2Q08</v>
      </c>
      <c r="H73" s="2272" t="str">
        <f t="shared" si="145"/>
        <v>3Q08</v>
      </c>
      <c r="I73" s="2272" t="str">
        <f t="shared" si="145"/>
        <v>4Q08</v>
      </c>
      <c r="J73" s="2273" t="str">
        <f t="shared" si="145"/>
        <v>1Q09</v>
      </c>
      <c r="K73" s="2272" t="str">
        <f t="shared" si="145"/>
        <v>2Q09</v>
      </c>
      <c r="L73" s="2272" t="str">
        <f t="shared" si="145"/>
        <v>3Q09</v>
      </c>
      <c r="M73" s="2272" t="str">
        <f t="shared" si="145"/>
        <v>4Q09</v>
      </c>
      <c r="N73" s="2273" t="str">
        <f t="shared" si="145"/>
        <v>1Q10</v>
      </c>
      <c r="O73" s="2272" t="str">
        <f t="shared" si="145"/>
        <v>2Q10</v>
      </c>
      <c r="P73" s="2272" t="str">
        <f t="shared" si="145"/>
        <v>3Q10</v>
      </c>
      <c r="Q73" s="2272" t="str">
        <f t="shared" si="145"/>
        <v>4Q10</v>
      </c>
      <c r="R73" s="2273" t="str">
        <f t="shared" si="145"/>
        <v>1Q11</v>
      </c>
      <c r="S73" s="2272" t="str">
        <f t="shared" si="145"/>
        <v>2Q11</v>
      </c>
      <c r="T73" s="2272" t="str">
        <f t="shared" si="145"/>
        <v>3Q11</v>
      </c>
      <c r="U73" s="2272" t="str">
        <f t="shared" si="145"/>
        <v>4Q11</v>
      </c>
      <c r="V73" s="2273" t="str">
        <f t="shared" si="145"/>
        <v>1Q12</v>
      </c>
      <c r="W73" s="2272" t="str">
        <f t="shared" si="145"/>
        <v>2Q12</v>
      </c>
      <c r="X73" s="2272" t="str">
        <f t="shared" si="145"/>
        <v>3Q12</v>
      </c>
      <c r="Y73" s="2272" t="str">
        <f t="shared" si="145"/>
        <v>4Q12</v>
      </c>
      <c r="Z73" s="2273" t="str">
        <f t="shared" si="145"/>
        <v>1Q13</v>
      </c>
      <c r="AA73" s="2272" t="str">
        <f t="shared" si="145"/>
        <v>2Q13</v>
      </c>
      <c r="AB73" s="2272" t="str">
        <f t="shared" si="145"/>
        <v>3Q13</v>
      </c>
      <c r="AC73" s="2272" t="str">
        <f t="shared" si="145"/>
        <v>4Q13</v>
      </c>
      <c r="AD73" s="2273" t="str">
        <f t="shared" si="145"/>
        <v>1Q14</v>
      </c>
      <c r="AE73" s="2272" t="str">
        <f t="shared" si="145"/>
        <v>2Q14</v>
      </c>
      <c r="AF73" s="2272" t="str">
        <f t="shared" si="145"/>
        <v>3Q14</v>
      </c>
      <c r="AG73" s="2272" t="str">
        <f t="shared" si="145"/>
        <v>4Q14</v>
      </c>
      <c r="AH73" s="2273" t="str">
        <f t="shared" si="145"/>
        <v>1Q15</v>
      </c>
      <c r="AI73" s="2272" t="str">
        <f t="shared" si="145"/>
        <v>2Q15</v>
      </c>
      <c r="AJ73" s="2272" t="str">
        <f t="shared" si="145"/>
        <v>3Q15</v>
      </c>
      <c r="AK73" s="2272" t="str">
        <f t="shared" si="145"/>
        <v>4Q15</v>
      </c>
      <c r="AL73" s="2273" t="str">
        <f t="shared" si="145"/>
        <v>1Q16</v>
      </c>
      <c r="AM73" s="2272" t="str">
        <f t="shared" si="145"/>
        <v>2Q16</v>
      </c>
      <c r="AN73" s="2272" t="str">
        <f t="shared" si="145"/>
        <v>3Q16</v>
      </c>
      <c r="AO73" s="2272" t="str">
        <f t="shared" si="145"/>
        <v>4Q16</v>
      </c>
      <c r="AP73" s="2273" t="str">
        <f t="shared" si="145"/>
        <v>1Q17</v>
      </c>
      <c r="AQ73" s="2272" t="str">
        <f t="shared" si="145"/>
        <v>2Q17</v>
      </c>
      <c r="AR73" s="2272" t="str">
        <f t="shared" si="145"/>
        <v>3Q17</v>
      </c>
      <c r="AS73" s="2272" t="str">
        <f t="shared" si="145"/>
        <v>4Q17</v>
      </c>
      <c r="AT73" s="2273" t="str">
        <f t="shared" si="145"/>
        <v>1Q18E</v>
      </c>
      <c r="AU73" s="2272" t="str">
        <f t="shared" si="145"/>
        <v>2Q18E</v>
      </c>
      <c r="AV73" s="2272" t="str">
        <f t="shared" si="145"/>
        <v>3Q18E</v>
      </c>
      <c r="AW73" s="2272" t="str">
        <f t="shared" si="145"/>
        <v>4Q18E</v>
      </c>
      <c r="AX73" s="2065"/>
      <c r="AY73" s="2065"/>
      <c r="AZ73" s="2065"/>
      <c r="BA73" s="2065"/>
      <c r="BB73" s="2065"/>
      <c r="BC73" s="2065"/>
      <c r="BD73" s="2065"/>
      <c r="BE73" s="2065"/>
      <c r="BF73" s="2065"/>
      <c r="BG73" s="2065"/>
      <c r="BH73" s="2065"/>
      <c r="BI73" s="2065"/>
      <c r="BJ73" s="2065"/>
      <c r="BK73" s="2065"/>
      <c r="BL73" s="2065"/>
      <c r="BM73" s="2065"/>
      <c r="BN73" s="2065"/>
      <c r="BO73" s="2065"/>
      <c r="BP73" s="2065"/>
      <c r="BQ73" s="2065"/>
      <c r="BR73" s="2065"/>
      <c r="BS73" s="2065"/>
      <c r="BT73" s="2065"/>
      <c r="BU73" s="2065"/>
      <c r="BV73" s="2065"/>
      <c r="BW73" s="2065"/>
    </row>
    <row r="74" spans="1:75">
      <c r="A74" s="2076" t="str">
        <f>A80</f>
        <v>BSI</v>
      </c>
      <c r="B74" s="2054"/>
      <c r="C74" s="2054"/>
      <c r="D74" s="2054"/>
      <c r="E74" s="2054"/>
      <c r="F74" s="2145"/>
      <c r="G74" s="2054"/>
      <c r="H74" s="2054"/>
      <c r="I74" s="2054"/>
      <c r="J74" s="2141"/>
      <c r="K74" s="2117"/>
      <c r="L74" s="2117"/>
      <c r="M74" s="2117"/>
      <c r="N74" s="2141">
        <f t="shared" ref="N74:W76" si="146">IFERROR(N80-J80,"NM")</f>
        <v>1.7890805778663199E-2</v>
      </c>
      <c r="O74" s="2117">
        <f t="shared" si="146"/>
        <v>1.5432087541495054E-2</v>
      </c>
      <c r="P74" s="2117">
        <f t="shared" si="146"/>
        <v>5.6575746547397776E-2</v>
      </c>
      <c r="Q74" s="2117">
        <f t="shared" si="146"/>
        <v>-1.5390517696427519E-3</v>
      </c>
      <c r="R74" s="2141">
        <f t="shared" si="146"/>
        <v>2.2664895981797717E-2</v>
      </c>
      <c r="S74" s="2117">
        <f t="shared" si="146"/>
        <v>2.5201435098233138E-2</v>
      </c>
      <c r="T74" s="2117">
        <f t="shared" si="146"/>
        <v>-3.1499337440995534E-2</v>
      </c>
      <c r="U74" s="2117">
        <f t="shared" si="146"/>
        <v>-2.4303532162190222E-2</v>
      </c>
      <c r="V74" s="2141">
        <f t="shared" si="146"/>
        <v>6.6171268870606759E-3</v>
      </c>
      <c r="W74" s="2117">
        <f t="shared" si="146"/>
        <v>-2.028071078204291E-2</v>
      </c>
      <c r="X74" s="2117">
        <f t="shared" ref="X74:AG76" si="147">IFERROR(X80-T80,"NM")</f>
        <v>1.0049460824579914E-3</v>
      </c>
      <c r="Y74" s="2117">
        <f t="shared" si="147"/>
        <v>9.2357544089160526E-3</v>
      </c>
      <c r="Z74" s="2141">
        <f t="shared" si="147"/>
        <v>-4.466120074054486E-2</v>
      </c>
      <c r="AA74" s="2117">
        <f t="shared" si="147"/>
        <v>-1.7559193954659935E-2</v>
      </c>
      <c r="AB74" s="2117">
        <f t="shared" si="147"/>
        <v>-2.1758620689655173E-2</v>
      </c>
      <c r="AC74" s="2117">
        <f t="shared" si="147"/>
        <v>-5.1710942180147212E-2</v>
      </c>
      <c r="AD74" s="2141">
        <f t="shared" si="147"/>
        <v>-2.200000000000002E-2</v>
      </c>
      <c r="AE74" s="2117">
        <f t="shared" si="147"/>
        <v>-2.0000000000000018E-3</v>
      </c>
      <c r="AF74" s="2117">
        <f t="shared" si="147"/>
        <v>-4.9000000000000044E-2</v>
      </c>
      <c r="AG74" s="2117">
        <f t="shared" si="147"/>
        <v>-7.751207442157293E-3</v>
      </c>
      <c r="AH74" s="2141">
        <f t="shared" ref="AH74:AQ76" si="148">IFERROR(AH80-AD80,"NM")</f>
        <v>3.7999999999999978E-2</v>
      </c>
      <c r="AI74" s="2117">
        <f t="shared" si="148"/>
        <v>-1.100000000000001E-2</v>
      </c>
      <c r="AJ74" s="2117">
        <f t="shared" si="148"/>
        <v>2.8000000000000025E-2</v>
      </c>
      <c r="AK74" s="2117">
        <f t="shared" si="148"/>
        <v>1.9456695106189303E-2</v>
      </c>
      <c r="AL74" s="2141">
        <f t="shared" si="148"/>
        <v>-8.9999999999999525E-3</v>
      </c>
      <c r="AM74" s="2117">
        <f t="shared" si="148"/>
        <v>3.2999999999999974E-2</v>
      </c>
      <c r="AN74" s="2117">
        <f t="shared" si="148"/>
        <v>5.4999999999999993E-2</v>
      </c>
      <c r="AO74" s="2117">
        <f t="shared" si="148"/>
        <v>3.4412750183775709E-2</v>
      </c>
      <c r="AP74" s="2141">
        <f t="shared" si="148"/>
        <v>3.1999999999999973E-2</v>
      </c>
      <c r="AQ74" s="2117">
        <f t="shared" si="148"/>
        <v>5.0000000000000044E-3</v>
      </c>
      <c r="AR74" s="2117" t="str">
        <f t="shared" ref="AR74:AS76" si="149">IFERROR(AR80-AN80,"NM")</f>
        <v>NM</v>
      </c>
      <c r="AS74" s="2117" t="str">
        <f t="shared" si="149"/>
        <v>NM</v>
      </c>
      <c r="AT74" s="2141" t="str">
        <f t="shared" ref="AT74:AU76" si="150">IFERROR(AT80-AR80,"NM")</f>
        <v>NM</v>
      </c>
      <c r="AU74" s="2117" t="str">
        <f t="shared" si="150"/>
        <v>NM</v>
      </c>
      <c r="AV74" s="2117" t="str">
        <f>IFERROR(AV80-#REF!,"NM")</f>
        <v>NM</v>
      </c>
      <c r="AW74" s="2117" t="str">
        <f>IFERROR(AW80-#REF!,"NM")</f>
        <v>NM</v>
      </c>
      <c r="AX74" s="2063"/>
      <c r="AY74" s="2063"/>
      <c r="AZ74" s="2063"/>
      <c r="BA74" s="2063"/>
      <c r="BB74" s="2063"/>
      <c r="BC74" s="2063"/>
      <c r="BD74" s="2063"/>
      <c r="BE74" s="2063"/>
      <c r="BF74" s="2063"/>
      <c r="BG74" s="2063"/>
      <c r="BH74" s="2063"/>
      <c r="BI74" s="2063"/>
      <c r="BJ74" s="2063"/>
      <c r="BK74" s="2063"/>
      <c r="BL74" s="2063"/>
      <c r="BM74" s="2063"/>
      <c r="BN74" s="2063"/>
      <c r="BO74" s="2063"/>
      <c r="BP74" s="2063"/>
      <c r="BQ74" s="2063"/>
      <c r="BR74" s="2063"/>
      <c r="BS74" s="2063"/>
      <c r="BT74" s="2063"/>
      <c r="BU74" s="2063"/>
      <c r="BV74" s="2063"/>
      <c r="BW74" s="2063"/>
    </row>
    <row r="75" spans="1:75">
      <c r="A75" s="2055" t="str">
        <f>A81</f>
        <v>BEST</v>
      </c>
      <c r="B75" s="2056"/>
      <c r="C75" s="2056"/>
      <c r="D75" s="2056"/>
      <c r="E75" s="2056"/>
      <c r="F75" s="2159"/>
      <c r="G75" s="2056"/>
      <c r="H75" s="2056"/>
      <c r="I75" s="2056"/>
      <c r="J75" s="2142"/>
      <c r="K75" s="2118"/>
      <c r="L75" s="2118"/>
      <c r="M75" s="2118"/>
      <c r="N75" s="2142">
        <f t="shared" si="146"/>
        <v>0.11164787976382179</v>
      </c>
      <c r="O75" s="2118">
        <f t="shared" si="146"/>
        <v>5.448239706416097E-2</v>
      </c>
      <c r="P75" s="2118">
        <f t="shared" si="146"/>
        <v>-0.11324195171026161</v>
      </c>
      <c r="Q75" s="2118">
        <f t="shared" si="146"/>
        <v>9.894742880087197E-2</v>
      </c>
      <c r="R75" s="2142">
        <f t="shared" si="146"/>
        <v>6.0990338164251534E-3</v>
      </c>
      <c r="S75" s="2118">
        <f t="shared" si="146"/>
        <v>2.0900100273293892E-2</v>
      </c>
      <c r="T75" s="2118">
        <f t="shared" si="146"/>
        <v>5.1234528107271804E-2</v>
      </c>
      <c r="U75" s="2118">
        <f t="shared" si="146"/>
        <v>-2.8339834227206762E-3</v>
      </c>
      <c r="V75" s="2142">
        <f t="shared" si="146"/>
        <v>1.583333333333331E-2</v>
      </c>
      <c r="W75" s="2118">
        <f t="shared" si="146"/>
        <v>5.3983027648508097E-2</v>
      </c>
      <c r="X75" s="2118">
        <f t="shared" si="147"/>
        <v>0.30380253388733736</v>
      </c>
      <c r="Y75" s="2118">
        <f t="shared" si="147"/>
        <v>1.6865079365079305E-2</v>
      </c>
      <c r="Z75" s="2142">
        <f t="shared" si="147"/>
        <v>-2.0000000000000018E-3</v>
      </c>
      <c r="AA75" s="2118">
        <f t="shared" si="147"/>
        <v>6.8846153846153835E-2</v>
      </c>
      <c r="AB75" s="2118">
        <f t="shared" si="147"/>
        <v>-0.33935849056603773</v>
      </c>
      <c r="AC75" s="2118" t="str">
        <f t="shared" si="147"/>
        <v>NM</v>
      </c>
      <c r="AD75" s="2142">
        <f t="shared" si="147"/>
        <v>0</v>
      </c>
      <c r="AE75" s="2118">
        <f t="shared" si="147"/>
        <v>-9.8000000000000004E-2</v>
      </c>
      <c r="AF75" s="2118">
        <f t="shared" si="147"/>
        <v>6.2E-2</v>
      </c>
      <c r="AG75" s="2118" t="str">
        <f t="shared" si="147"/>
        <v>NM</v>
      </c>
      <c r="AH75" s="2142">
        <f t="shared" si="148"/>
        <v>-3.6000000000000004E-2</v>
      </c>
      <c r="AI75" s="2118">
        <f t="shared" si="148"/>
        <v>-1.2000000000000011E-2</v>
      </c>
      <c r="AJ75" s="2118">
        <f t="shared" si="148"/>
        <v>-3.4000000000000002E-2</v>
      </c>
      <c r="AK75" s="2118">
        <f t="shared" si="148"/>
        <v>0.11274891489020684</v>
      </c>
      <c r="AL75" s="2142">
        <f t="shared" si="148"/>
        <v>-4.5999999999999985E-2</v>
      </c>
      <c r="AM75" s="2118">
        <f t="shared" si="148"/>
        <v>-2.2999999999999993E-2</v>
      </c>
      <c r="AN75" s="2118">
        <f t="shared" si="148"/>
        <v>-1.2000000000000011E-2</v>
      </c>
      <c r="AO75" s="2118">
        <f t="shared" si="148"/>
        <v>-1.9171432880844552E-2</v>
      </c>
      <c r="AP75" s="2142">
        <f t="shared" si="148"/>
        <v>-1.100000000000001E-2</v>
      </c>
      <c r="AQ75" s="2118">
        <f t="shared" si="148"/>
        <v>-2.2999999999999993E-2</v>
      </c>
      <c r="AR75" s="2118" t="str">
        <f t="shared" si="149"/>
        <v>NM</v>
      </c>
      <c r="AS75" s="2118" t="str">
        <f t="shared" si="149"/>
        <v>NM</v>
      </c>
      <c r="AT75" s="2142" t="str">
        <f t="shared" si="150"/>
        <v>NM</v>
      </c>
      <c r="AU75" s="2118" t="str">
        <f t="shared" si="150"/>
        <v>NM</v>
      </c>
      <c r="AV75" s="2118" t="str">
        <f>IFERROR(AV81-#REF!,"NM")</f>
        <v>NM</v>
      </c>
      <c r="AW75" s="2118" t="str">
        <f>IFERROR(AW81-#REF!,"NM")</f>
        <v>NM</v>
      </c>
      <c r="AX75" s="2063"/>
      <c r="AY75" s="2063"/>
      <c r="AZ75" s="2063"/>
      <c r="BA75" s="2063"/>
      <c r="BB75" s="2063"/>
      <c r="BC75" s="2063"/>
      <c r="BD75" s="2063"/>
      <c r="BE75" s="2063"/>
      <c r="BF75" s="2063"/>
      <c r="BG75" s="2063"/>
      <c r="BH75" s="2063"/>
      <c r="BI75" s="2063"/>
      <c r="BJ75" s="2063"/>
      <c r="BK75" s="2063"/>
      <c r="BL75" s="2063"/>
      <c r="BM75" s="2063"/>
      <c r="BN75" s="2063"/>
      <c r="BO75" s="2063"/>
      <c r="BP75" s="2063"/>
      <c r="BQ75" s="2063"/>
      <c r="BR75" s="2063"/>
      <c r="BS75" s="2063"/>
      <c r="BT75" s="2063"/>
      <c r="BU75" s="2063"/>
      <c r="BV75" s="2063"/>
      <c r="BW75" s="2063"/>
    </row>
    <row r="76" spans="1:75" ht="15">
      <c r="A76" s="2082" t="s">
        <v>29</v>
      </c>
      <c r="B76" s="2058"/>
      <c r="C76" s="2058"/>
      <c r="D76" s="2058"/>
      <c r="E76" s="2058"/>
      <c r="F76" s="2160">
        <f>F82-B82</f>
        <v>2.2814613107848658E-2</v>
      </c>
      <c r="G76" s="2058">
        <f>G82-C82</f>
        <v>-3.1571679111768725E-3</v>
      </c>
      <c r="H76" s="2058">
        <f>H82-D82</f>
        <v>-6.7846804830101748E-4</v>
      </c>
      <c r="I76" s="2058">
        <f>I82-E82</f>
        <v>-1.6337800914201173E-2</v>
      </c>
      <c r="J76" s="2165">
        <f>IFERROR(J82-F82,"NM")</f>
        <v>-3.28354404799725E-2</v>
      </c>
      <c r="K76" s="2136">
        <f>IFERROR(K82-G82,"NM")</f>
        <v>2.4344675237989277E-2</v>
      </c>
      <c r="L76" s="2136">
        <f>IFERROR(L82-H82,"NM")</f>
        <v>-9.2596358002273171E-3</v>
      </c>
      <c r="M76" s="2136">
        <f>IFERROR(M82-I82,"NM")</f>
        <v>1.1151164852703177E-2</v>
      </c>
      <c r="N76" s="2165">
        <f t="shared" si="146"/>
        <v>9.9744023771342061E-3</v>
      </c>
      <c r="O76" s="2136">
        <f t="shared" si="146"/>
        <v>1.1913697850343352E-2</v>
      </c>
      <c r="P76" s="2136">
        <f t="shared" si="146"/>
        <v>4.0364802790864518E-2</v>
      </c>
      <c r="Q76" s="2136">
        <f t="shared" si="146"/>
        <v>-1.277720232266133E-4</v>
      </c>
      <c r="R76" s="2165">
        <f t="shared" si="146"/>
        <v>1.9262368253026796E-2</v>
      </c>
      <c r="S76" s="2136">
        <f t="shared" si="146"/>
        <v>2.725157859754096E-2</v>
      </c>
      <c r="T76" s="2136">
        <f t="shared" si="146"/>
        <v>-2.3706256248667124E-2</v>
      </c>
      <c r="U76" s="2136">
        <f t="shared" si="146"/>
        <v>-2.2698265979345211E-2</v>
      </c>
      <c r="V76" s="2165">
        <f t="shared" si="146"/>
        <v>6.9655080967297445E-3</v>
      </c>
      <c r="W76" s="2136">
        <f t="shared" si="146"/>
        <v>-1.6998920045189103E-2</v>
      </c>
      <c r="X76" s="2136">
        <f t="shared" si="147"/>
        <v>1.6951260336277585E-2</v>
      </c>
      <c r="Y76" s="2136">
        <f t="shared" si="147"/>
        <v>1.2120679224165265E-2</v>
      </c>
      <c r="Z76" s="2165">
        <f t="shared" si="147"/>
        <v>-2.5476827215124398E-2</v>
      </c>
      <c r="AA76" s="2136">
        <f t="shared" si="147"/>
        <v>-8.6164738259565388E-3</v>
      </c>
      <c r="AB76" s="2136">
        <f t="shared" si="147"/>
        <v>-3.1770813727654668E-2</v>
      </c>
      <c r="AC76" s="2136">
        <f t="shared" si="147"/>
        <v>-2.7548541178012143E-2</v>
      </c>
      <c r="AD76" s="2165">
        <f t="shared" si="147"/>
        <v>-1.4456552949006662E-2</v>
      </c>
      <c r="AE76" s="2136">
        <f t="shared" si="147"/>
        <v>9.1061110506083232E-3</v>
      </c>
      <c r="AF76" s="2136">
        <f t="shared" si="147"/>
        <v>-9.6035534873423201E-3</v>
      </c>
      <c r="AG76" s="2136">
        <f t="shared" si="147"/>
        <v>-1.0367287678969328E-2</v>
      </c>
      <c r="AH76" s="2165">
        <f t="shared" si="148"/>
        <v>3.0879511970887452E-2</v>
      </c>
      <c r="AI76" s="2136">
        <f t="shared" si="148"/>
        <v>-1.2546982726256872E-2</v>
      </c>
      <c r="AJ76" s="2136">
        <f t="shared" si="148"/>
        <v>1.937007548225983E-2</v>
      </c>
      <c r="AK76" s="2136">
        <f t="shared" si="148"/>
        <v>2.6543764839934314E-2</v>
      </c>
      <c r="AL76" s="2165">
        <f t="shared" si="148"/>
        <v>-5.4666064825524274E-3</v>
      </c>
      <c r="AM76" s="2136">
        <f t="shared" si="148"/>
        <v>2.5416391518086501E-2</v>
      </c>
      <c r="AN76" s="2136">
        <f t="shared" si="148"/>
        <v>2.7709428158359584E-2</v>
      </c>
      <c r="AO76" s="2136">
        <f t="shared" si="148"/>
        <v>2.2072548084802635E-2</v>
      </c>
      <c r="AP76" s="2165">
        <f t="shared" si="148"/>
        <v>9.2524499371796076E-3</v>
      </c>
      <c r="AQ76" s="2136">
        <f t="shared" si="148"/>
        <v>-1.0026045542057216E-2</v>
      </c>
      <c r="AR76" s="2136">
        <f t="shared" si="149"/>
        <v>-1.2831702750694618E-2</v>
      </c>
      <c r="AS76" s="2136">
        <f t="shared" si="149"/>
        <v>1.1542354800704091E-2</v>
      </c>
      <c r="AT76" s="2165">
        <f t="shared" si="150"/>
        <v>-2.2124885215794254E-2</v>
      </c>
      <c r="AU76" s="2136">
        <f t="shared" si="150"/>
        <v>-4.552874646559868E-2</v>
      </c>
      <c r="AV76" s="2136" t="str">
        <f>IFERROR(AV82-#REF!,"NM")</f>
        <v>NM</v>
      </c>
      <c r="AW76" s="2136" t="str">
        <f>IFERROR(AW82-#REF!,"NM")</f>
        <v>NM</v>
      </c>
      <c r="AX76" s="2063"/>
      <c r="AY76" s="2063"/>
      <c r="AZ76" s="2071"/>
      <c r="BA76" s="2071"/>
      <c r="BB76" s="2063"/>
      <c r="BC76" s="2063"/>
      <c r="BD76" s="2063"/>
      <c r="BE76" s="2063"/>
      <c r="BF76" s="2063"/>
      <c r="BG76" s="2063"/>
      <c r="BH76" s="2063"/>
      <c r="BI76" s="2063"/>
      <c r="BJ76" s="2063"/>
      <c r="BK76" s="2063"/>
      <c r="BL76" s="2070"/>
      <c r="BM76" s="2063"/>
      <c r="BN76" s="2063"/>
      <c r="BO76" s="2063"/>
      <c r="BP76" s="2063"/>
      <c r="BQ76" s="2063"/>
      <c r="BR76" s="2063"/>
      <c r="BS76" s="2063"/>
      <c r="BT76" s="2063"/>
      <c r="BU76" s="2063"/>
      <c r="BV76" s="2063"/>
      <c r="BW76" s="2063"/>
    </row>
    <row r="77" spans="1:75" s="2065" customFormat="1" ht="15">
      <c r="A77" s="2076"/>
      <c r="B77" s="2054"/>
      <c r="C77" s="2054"/>
      <c r="D77" s="2054"/>
      <c r="E77" s="2054"/>
      <c r="F77" s="2054"/>
      <c r="G77" s="2054"/>
      <c r="H77" s="2054"/>
      <c r="I77" s="2054"/>
      <c r="J77" s="2054"/>
      <c r="K77" s="2054"/>
      <c r="L77" s="2054"/>
      <c r="M77" s="2054"/>
      <c r="N77" s="2054"/>
      <c r="O77" s="2054"/>
      <c r="P77" s="2054"/>
      <c r="Q77" s="2054"/>
      <c r="R77" s="2054"/>
      <c r="S77" s="2054"/>
      <c r="T77" s="2054"/>
      <c r="U77" s="2054"/>
      <c r="V77" s="2054"/>
      <c r="W77" s="2054"/>
      <c r="X77" s="2054"/>
      <c r="Y77" s="2054"/>
      <c r="Z77" s="2054"/>
      <c r="AA77" s="2054"/>
      <c r="AB77" s="2054"/>
      <c r="AC77" s="2054"/>
      <c r="AD77" s="2054"/>
      <c r="AE77" s="2054"/>
      <c r="AF77" s="2054"/>
      <c r="AG77" s="2054"/>
      <c r="AH77" s="2054"/>
      <c r="AI77" s="2054"/>
      <c r="AJ77" s="2054"/>
      <c r="AK77" s="2054"/>
      <c r="AL77" s="2054"/>
      <c r="AM77" s="2054"/>
      <c r="AN77" s="2054"/>
      <c r="AO77" s="2054"/>
      <c r="AP77" s="2054"/>
      <c r="AQ77" s="2054"/>
      <c r="AR77" s="2054"/>
      <c r="AS77" s="2054"/>
      <c r="AT77" s="2054"/>
      <c r="AU77" s="2054"/>
      <c r="AV77" s="2054"/>
      <c r="AW77" s="2054"/>
      <c r="AX77" s="2081"/>
      <c r="AY77" s="2081"/>
      <c r="AZ77" s="2169"/>
      <c r="BA77" s="2170"/>
      <c r="BB77" s="2081"/>
      <c r="BC77" s="2081"/>
      <c r="BD77" s="2081"/>
      <c r="BE77" s="2081"/>
      <c r="BF77" s="2081"/>
      <c r="BG77" s="2081"/>
      <c r="BH77" s="2081"/>
      <c r="BI77" s="2081"/>
      <c r="BJ77" s="2081"/>
      <c r="BK77" s="2081"/>
      <c r="BL77" s="2171"/>
      <c r="BM77" s="2081"/>
      <c r="BN77" s="2081"/>
      <c r="BO77" s="2081"/>
      <c r="BP77" s="2081"/>
      <c r="BQ77" s="2081"/>
      <c r="BR77" s="2081"/>
      <c r="BS77" s="2081"/>
      <c r="BT77" s="2081"/>
      <c r="BU77" s="2081"/>
      <c r="BV77" s="2081"/>
      <c r="BW77" s="2081"/>
    </row>
    <row r="78" spans="1:75" s="2065" customFormat="1" hidden="1" outlineLevel="1">
      <c r="A78" s="2108" t="s">
        <v>45</v>
      </c>
      <c r="B78" s="2081"/>
      <c r="C78" s="2076"/>
      <c r="D78" s="2076"/>
      <c r="E78" s="2076"/>
      <c r="F78" s="2076"/>
      <c r="G78" s="2076"/>
      <c r="H78" s="2076"/>
      <c r="I78" s="2076"/>
      <c r="J78" s="2076"/>
      <c r="K78" s="2076"/>
      <c r="L78" s="2076"/>
      <c r="M78" s="2076"/>
      <c r="N78" s="2076"/>
      <c r="O78" s="2076"/>
      <c r="P78" s="2076"/>
      <c r="Q78" s="2076"/>
      <c r="R78" s="2076"/>
      <c r="S78" s="2076"/>
      <c r="T78" s="2076"/>
      <c r="U78" s="2076"/>
      <c r="V78" s="2076"/>
      <c r="W78" s="2076"/>
      <c r="X78" s="2076"/>
      <c r="Y78" s="2076"/>
      <c r="Z78" s="2076"/>
      <c r="AA78" s="2076"/>
      <c r="AB78" s="2076"/>
      <c r="AC78" s="2076"/>
      <c r="AD78" s="2054"/>
      <c r="AE78" s="2054"/>
      <c r="AF78" s="2077"/>
      <c r="AG78" s="2077"/>
      <c r="AH78" s="2077"/>
      <c r="AI78" s="2077"/>
      <c r="AJ78" s="2077"/>
      <c r="AK78" s="2077"/>
      <c r="AL78" s="2077"/>
      <c r="AM78" s="2077"/>
      <c r="AN78" s="2077"/>
      <c r="AO78" s="2077"/>
      <c r="AP78" s="2077"/>
      <c r="AQ78" s="2077"/>
      <c r="AR78" s="2077"/>
      <c r="AS78" s="2077"/>
      <c r="AT78" s="2077"/>
      <c r="AU78" s="2077"/>
      <c r="AV78" s="2077"/>
      <c r="AW78" s="2077"/>
      <c r="AX78" s="2081"/>
      <c r="AY78" s="2081"/>
      <c r="AZ78" s="2081"/>
      <c r="BA78" s="2081"/>
      <c r="BB78" s="2081"/>
      <c r="BC78" s="2081"/>
      <c r="BD78" s="2081"/>
      <c r="BE78" s="2081"/>
      <c r="BF78" s="2081"/>
      <c r="BG78" s="2081"/>
      <c r="BH78" s="2081"/>
      <c r="BI78" s="2081"/>
      <c r="BJ78" s="2081"/>
      <c r="BK78" s="2081"/>
      <c r="BL78" s="2081"/>
      <c r="BM78" s="2081"/>
      <c r="BN78" s="2081"/>
      <c r="BO78" s="2081"/>
      <c r="BP78" s="2081"/>
      <c r="BQ78" s="2081"/>
      <c r="BR78" s="2081"/>
      <c r="BS78" s="2081"/>
      <c r="BT78" s="2081"/>
      <c r="BU78" s="2081"/>
      <c r="BV78" s="2081"/>
      <c r="BW78" s="2081"/>
    </row>
    <row r="79" spans="1:75" hidden="1" outlineLevel="1">
      <c r="A79" s="2051"/>
      <c r="B79" s="2051" t="str">
        <f>B$4</f>
        <v>1Q07</v>
      </c>
      <c r="C79" s="2051" t="str">
        <f t="shared" ref="C79:AW79" si="151">C$4</f>
        <v>2Q07</v>
      </c>
      <c r="D79" s="2051" t="str">
        <f t="shared" si="151"/>
        <v>3Q07</v>
      </c>
      <c r="E79" s="2051" t="str">
        <f t="shared" si="151"/>
        <v>4Q07</v>
      </c>
      <c r="F79" s="2137" t="str">
        <f t="shared" si="151"/>
        <v>1Q08</v>
      </c>
      <c r="G79" s="2051" t="str">
        <f t="shared" si="151"/>
        <v>2Q08</v>
      </c>
      <c r="H79" s="2051" t="str">
        <f t="shared" si="151"/>
        <v>3Q08</v>
      </c>
      <c r="I79" s="2051" t="str">
        <f t="shared" si="151"/>
        <v>4Q08</v>
      </c>
      <c r="J79" s="2137" t="str">
        <f t="shared" si="151"/>
        <v>1Q09</v>
      </c>
      <c r="K79" s="2051" t="str">
        <f t="shared" si="151"/>
        <v>2Q09</v>
      </c>
      <c r="L79" s="2051" t="str">
        <f t="shared" si="151"/>
        <v>3Q09</v>
      </c>
      <c r="M79" s="2051" t="str">
        <f t="shared" si="151"/>
        <v>4Q09</v>
      </c>
      <c r="N79" s="2137" t="str">
        <f t="shared" si="151"/>
        <v>1Q10</v>
      </c>
      <c r="O79" s="2051" t="str">
        <f t="shared" si="151"/>
        <v>2Q10</v>
      </c>
      <c r="P79" s="2051" t="str">
        <f t="shared" si="151"/>
        <v>3Q10</v>
      </c>
      <c r="Q79" s="2051" t="str">
        <f t="shared" si="151"/>
        <v>4Q10</v>
      </c>
      <c r="R79" s="2137" t="str">
        <f t="shared" si="151"/>
        <v>1Q11</v>
      </c>
      <c r="S79" s="2051" t="str">
        <f t="shared" si="151"/>
        <v>2Q11</v>
      </c>
      <c r="T79" s="2051" t="str">
        <f t="shared" si="151"/>
        <v>3Q11</v>
      </c>
      <c r="U79" s="2051" t="str">
        <f t="shared" si="151"/>
        <v>4Q11</v>
      </c>
      <c r="V79" s="2137" t="str">
        <f t="shared" si="151"/>
        <v>1Q12</v>
      </c>
      <c r="W79" s="2051" t="str">
        <f t="shared" si="151"/>
        <v>2Q12</v>
      </c>
      <c r="X79" s="2051" t="str">
        <f t="shared" si="151"/>
        <v>3Q12</v>
      </c>
      <c r="Y79" s="2051" t="str">
        <f t="shared" si="151"/>
        <v>4Q12</v>
      </c>
      <c r="Z79" s="2137" t="str">
        <f t="shared" si="151"/>
        <v>1Q13</v>
      </c>
      <c r="AA79" s="2051" t="str">
        <f t="shared" si="151"/>
        <v>2Q13</v>
      </c>
      <c r="AB79" s="2051" t="str">
        <f t="shared" si="151"/>
        <v>3Q13</v>
      </c>
      <c r="AC79" s="2051" t="str">
        <f t="shared" si="151"/>
        <v>4Q13</v>
      </c>
      <c r="AD79" s="2137" t="str">
        <f t="shared" si="151"/>
        <v>1Q14</v>
      </c>
      <c r="AE79" s="2051" t="str">
        <f t="shared" si="151"/>
        <v>2Q14</v>
      </c>
      <c r="AF79" s="2051" t="str">
        <f t="shared" si="151"/>
        <v>3Q14</v>
      </c>
      <c r="AG79" s="2051" t="str">
        <f t="shared" si="151"/>
        <v>4Q14</v>
      </c>
      <c r="AH79" s="2137" t="str">
        <f t="shared" si="151"/>
        <v>1Q15</v>
      </c>
      <c r="AI79" s="2051" t="str">
        <f t="shared" si="151"/>
        <v>2Q15</v>
      </c>
      <c r="AJ79" s="2051" t="str">
        <f t="shared" si="151"/>
        <v>3Q15</v>
      </c>
      <c r="AK79" s="2051" t="str">
        <f t="shared" si="151"/>
        <v>4Q15</v>
      </c>
      <c r="AL79" s="2137" t="str">
        <f t="shared" si="151"/>
        <v>1Q16</v>
      </c>
      <c r="AM79" s="2051" t="str">
        <f t="shared" si="151"/>
        <v>2Q16</v>
      </c>
      <c r="AN79" s="2051" t="str">
        <f t="shared" si="151"/>
        <v>3Q16</v>
      </c>
      <c r="AO79" s="2051" t="str">
        <f t="shared" si="151"/>
        <v>4Q16</v>
      </c>
      <c r="AP79" s="2137" t="str">
        <f t="shared" si="151"/>
        <v>1Q17</v>
      </c>
      <c r="AQ79" s="2051" t="str">
        <f t="shared" si="151"/>
        <v>2Q17</v>
      </c>
      <c r="AR79" s="2051" t="str">
        <f t="shared" si="151"/>
        <v>3Q17</v>
      </c>
      <c r="AS79" s="2051" t="str">
        <f t="shared" si="151"/>
        <v>4Q17</v>
      </c>
      <c r="AT79" s="2137" t="str">
        <f t="shared" si="151"/>
        <v>1Q18E</v>
      </c>
      <c r="AU79" s="2051" t="str">
        <f t="shared" si="151"/>
        <v>2Q18E</v>
      </c>
      <c r="AV79" s="2051" t="str">
        <f t="shared" si="151"/>
        <v>3Q18E</v>
      </c>
      <c r="AW79" s="2051" t="str">
        <f t="shared" si="151"/>
        <v>4Q18E</v>
      </c>
      <c r="AX79" s="2065"/>
      <c r="AY79" s="2065"/>
      <c r="AZ79" s="2065"/>
      <c r="BA79" s="2065"/>
      <c r="BB79" s="2065"/>
      <c r="BC79" s="2065"/>
      <c r="BD79" s="2065"/>
      <c r="BE79" s="2065"/>
      <c r="BF79" s="2065"/>
      <c r="BG79" s="2065"/>
      <c r="BH79" s="2065"/>
      <c r="BI79" s="2065"/>
      <c r="BJ79" s="2065"/>
      <c r="BK79" s="2065"/>
      <c r="BL79" s="2065"/>
      <c r="BM79" s="2065"/>
      <c r="BN79" s="2065"/>
      <c r="BO79" s="2065"/>
      <c r="BP79" s="2065"/>
      <c r="BQ79" s="2065"/>
      <c r="BR79" s="2065"/>
      <c r="BS79" s="2065"/>
      <c r="BT79" s="2065"/>
      <c r="BU79" s="2065"/>
      <c r="BV79" s="2065"/>
      <c r="BW79" s="2065"/>
    </row>
    <row r="80" spans="1:75" hidden="1" outlineLevel="1">
      <c r="A80" s="2053" t="s">
        <v>332</v>
      </c>
      <c r="B80" s="2083"/>
      <c r="C80" s="2083"/>
      <c r="D80" s="2083"/>
      <c r="E80" s="2083"/>
      <c r="F80" s="2140"/>
      <c r="G80" s="2083"/>
      <c r="H80" s="2083"/>
      <c r="I80" s="2083"/>
      <c r="J80" s="2140">
        <f>RevBuild!AK115</f>
        <v>0.45348837209302328</v>
      </c>
      <c r="K80" s="2083">
        <f>RevBuild!AL115</f>
        <v>0.45420638209697467</v>
      </c>
      <c r="L80" s="2083">
        <f>RevBuild!AM115</f>
        <v>0.45667726550079496</v>
      </c>
      <c r="M80" s="2083">
        <f>RevBuild!AN115</f>
        <v>0.50924321201617562</v>
      </c>
      <c r="N80" s="2140">
        <f>RevBuild!AQ115</f>
        <v>0.47137917787168648</v>
      </c>
      <c r="O80" s="2083">
        <f>RevBuild!AR115</f>
        <v>0.46963846963846972</v>
      </c>
      <c r="P80" s="2083">
        <f>RevBuild!AS115</f>
        <v>0.51325301204819274</v>
      </c>
      <c r="Q80" s="2083">
        <f>RevBuild!AT115</f>
        <v>0.50770416024653287</v>
      </c>
      <c r="R80" s="2140">
        <f>RevBuild!AW115</f>
        <v>0.4940440738534842</v>
      </c>
      <c r="S80" s="2083">
        <f>RevBuild!AX115</f>
        <v>0.49483990473670286</v>
      </c>
      <c r="T80" s="2083">
        <f>RevBuild!AY115</f>
        <v>0.4817536746071972</v>
      </c>
      <c r="U80" s="2083">
        <f>RevBuild!AZ115</f>
        <v>0.48340062808434264</v>
      </c>
      <c r="V80" s="2140">
        <f>RevBuild!BC115</f>
        <v>0.50066120074054488</v>
      </c>
      <c r="W80" s="2083">
        <f>RevBuild!BD115</f>
        <v>0.47455919395465995</v>
      </c>
      <c r="X80" s="2083">
        <f>RevBuild!BE115</f>
        <v>0.48275862068965519</v>
      </c>
      <c r="Y80" s="2083">
        <f>RevBuild!BF115</f>
        <v>0.4926363824932587</v>
      </c>
      <c r="Z80" s="2140">
        <f>RevBuild!BI115</f>
        <v>0.45600000000000002</v>
      </c>
      <c r="AA80" s="2083">
        <f>RevBuild!BJ115</f>
        <v>0.45700000000000002</v>
      </c>
      <c r="AB80" s="2083">
        <f>RevBuild!BK115</f>
        <v>0.46100000000000002</v>
      </c>
      <c r="AC80" s="2083">
        <f>RevBuild!BL115</f>
        <v>0.44092544031311148</v>
      </c>
      <c r="AD80" s="2138">
        <f>RevBuild!BO115</f>
        <v>0.434</v>
      </c>
      <c r="AE80" s="2112">
        <f>RevBuild!BP115</f>
        <v>0.45500000000000002</v>
      </c>
      <c r="AF80" s="2112">
        <f>RevBuild!BQ115</f>
        <v>0.41199999999999998</v>
      </c>
      <c r="AG80" s="2112">
        <f>RevBuild!BR115</f>
        <v>0.43317423287095419</v>
      </c>
      <c r="AH80" s="2138">
        <f>RevBuild!BU115</f>
        <v>0.47199999999999998</v>
      </c>
      <c r="AI80" s="2112">
        <f>RevBuild!BV115</f>
        <v>0.44400000000000001</v>
      </c>
      <c r="AJ80" s="2112">
        <f>RevBuild!BW115</f>
        <v>0.44</v>
      </c>
      <c r="AK80" s="2112">
        <f>RevBuild!BX115</f>
        <v>0.45263092797714349</v>
      </c>
      <c r="AL80" s="2138">
        <f>RevBuild!CA115</f>
        <v>0.46300000000000002</v>
      </c>
      <c r="AM80" s="2112">
        <f>RevBuild!CB115</f>
        <v>0.47699999999999998</v>
      </c>
      <c r="AN80" s="2112">
        <f>RevBuild!CC115</f>
        <v>0.495</v>
      </c>
      <c r="AO80" s="2112">
        <f>RevBuild!CD115</f>
        <v>0.4870436781609192</v>
      </c>
      <c r="AP80" s="2138">
        <f>RevBuild!CG115</f>
        <v>0.495</v>
      </c>
      <c r="AQ80" s="2112">
        <f>RevBuild!CH115</f>
        <v>0.48199999999999998</v>
      </c>
      <c r="AR80" s="2134" t="s">
        <v>325</v>
      </c>
      <c r="AS80" s="2112" t="s">
        <v>325</v>
      </c>
      <c r="AT80" s="2138" t="s">
        <v>325</v>
      </c>
      <c r="AU80" s="2134" t="s">
        <v>325</v>
      </c>
      <c r="AV80" s="2134" t="s">
        <v>325</v>
      </c>
      <c r="AW80" s="2134" t="s">
        <v>325</v>
      </c>
      <c r="AX80" s="2063"/>
      <c r="AY80" s="2063"/>
      <c r="AZ80" s="2063"/>
      <c r="BA80" s="2063"/>
      <c r="BB80" s="2063"/>
      <c r="BC80" s="2063"/>
      <c r="BD80" s="2063"/>
      <c r="BE80" s="2063"/>
      <c r="BF80" s="2063"/>
      <c r="BG80" s="2063"/>
      <c r="BH80" s="2063"/>
      <c r="BI80" s="2063"/>
      <c r="BJ80" s="2063"/>
      <c r="BK80" s="2063"/>
      <c r="BL80" s="2063"/>
      <c r="BM80" s="2063"/>
      <c r="BN80" s="2063"/>
      <c r="BO80" s="2063"/>
      <c r="BP80" s="2063"/>
      <c r="BQ80" s="2063"/>
      <c r="BR80" s="2063"/>
      <c r="BS80" s="2063"/>
      <c r="BT80" s="2063"/>
      <c r="BU80" s="2063"/>
      <c r="BV80" s="2063"/>
      <c r="BW80" s="2063"/>
    </row>
    <row r="81" spans="1:75" hidden="1" outlineLevel="1">
      <c r="A81" s="2055" t="s">
        <v>333</v>
      </c>
      <c r="B81" s="2084"/>
      <c r="C81" s="2084"/>
      <c r="D81" s="2084"/>
      <c r="E81" s="2084"/>
      <c r="F81" s="2161"/>
      <c r="G81" s="2084"/>
      <c r="H81" s="2084"/>
      <c r="I81" s="2084"/>
      <c r="J81" s="2161">
        <f>RevBuild!AK118</f>
        <v>8.6419753086419748E-2</v>
      </c>
      <c r="K81" s="2084">
        <f>RevBuild!AL118</f>
        <v>0.11678832116788321</v>
      </c>
      <c r="L81" s="2084">
        <f>RevBuild!AM118</f>
        <v>0.26056338028169018</v>
      </c>
      <c r="M81" s="2084">
        <f>RevBuild!AN118</f>
        <v>0.10924369747899156</v>
      </c>
      <c r="N81" s="2161">
        <f>RevBuild!AQ118</f>
        <v>0.19806763285024154</v>
      </c>
      <c r="O81" s="2084">
        <f>RevBuild!AR118</f>
        <v>0.17127071823204418</v>
      </c>
      <c r="P81" s="2084">
        <f>RevBuild!AS118</f>
        <v>0.14732142857142858</v>
      </c>
      <c r="Q81" s="2084">
        <f>RevBuild!AT118</f>
        <v>0.20819112627986353</v>
      </c>
      <c r="R81" s="2161">
        <f>RevBuild!AW118</f>
        <v>0.20416666666666669</v>
      </c>
      <c r="S81" s="2084">
        <f>RevBuild!AX118</f>
        <v>0.19217081850533807</v>
      </c>
      <c r="T81" s="2084">
        <f>RevBuild!AY118</f>
        <v>0.19855595667870038</v>
      </c>
      <c r="U81" s="2084">
        <f>RevBuild!AZ118</f>
        <v>0.20535714285714285</v>
      </c>
      <c r="V81" s="2161">
        <f>RevBuild!BC118</f>
        <v>0.22</v>
      </c>
      <c r="W81" s="2084">
        <f>RevBuild!BD118</f>
        <v>0.24615384615384617</v>
      </c>
      <c r="X81" s="2084">
        <f>RevBuild!BE118</f>
        <v>0.50235849056603776</v>
      </c>
      <c r="Y81" s="2084">
        <f>RevBuild!BF118</f>
        <v>0.22222222222222215</v>
      </c>
      <c r="Z81" s="2161">
        <f>RevBuild!BI118</f>
        <v>0.218</v>
      </c>
      <c r="AA81" s="2084">
        <f>RevBuild!BJ118</f>
        <v>0.315</v>
      </c>
      <c r="AB81" s="2084">
        <f>RevBuild!BK118</f>
        <v>0.16300000000000001</v>
      </c>
      <c r="AC81" s="2113" t="str">
        <f>RevBuild!BL118</f>
        <v>ND</v>
      </c>
      <c r="AD81" s="2139">
        <f>RevBuild!BO118</f>
        <v>0.218</v>
      </c>
      <c r="AE81" s="2113">
        <f>RevBuild!BP118</f>
        <v>0.217</v>
      </c>
      <c r="AF81" s="2113">
        <f>RevBuild!BQ118</f>
        <v>0.22500000000000001</v>
      </c>
      <c r="AG81" s="2113">
        <f>RevBuild!BR118</f>
        <v>8.651226158038143E-2</v>
      </c>
      <c r="AH81" s="2139">
        <f>RevBuild!BU118</f>
        <v>0.182</v>
      </c>
      <c r="AI81" s="2113">
        <f>RevBuild!BV118</f>
        <v>0.20499999999999999</v>
      </c>
      <c r="AJ81" s="2113">
        <f>RevBuild!BW118</f>
        <v>0.191</v>
      </c>
      <c r="AK81" s="2113">
        <f>RevBuild!BX118</f>
        <v>0.19926117647058827</v>
      </c>
      <c r="AL81" s="2139">
        <f>RevBuild!CA118</f>
        <v>0.13600000000000001</v>
      </c>
      <c r="AM81" s="2113">
        <f>RevBuild!CB118</f>
        <v>0.182</v>
      </c>
      <c r="AN81" s="2113">
        <f>RevBuild!CC118</f>
        <v>0.17899999999999999</v>
      </c>
      <c r="AO81" s="2113">
        <f>RevBuild!CD118</f>
        <v>0.18008974358974372</v>
      </c>
      <c r="AP81" s="2139">
        <f>RevBuild!CG118</f>
        <v>0.125</v>
      </c>
      <c r="AQ81" s="2113">
        <f>RevBuild!CH118</f>
        <v>0.159</v>
      </c>
      <c r="AR81" s="2135" t="s">
        <v>325</v>
      </c>
      <c r="AS81" s="2113" t="s">
        <v>325</v>
      </c>
      <c r="AT81" s="2139" t="s">
        <v>325</v>
      </c>
      <c r="AU81" s="2135" t="s">
        <v>325</v>
      </c>
      <c r="AV81" s="2135" t="s">
        <v>325</v>
      </c>
      <c r="AW81" s="2135" t="s">
        <v>325</v>
      </c>
      <c r="AX81" s="2063"/>
      <c r="AY81" s="2063"/>
      <c r="AZ81" s="2063"/>
      <c r="BA81" s="2063"/>
      <c r="BB81" s="2063"/>
      <c r="BC81" s="2063"/>
      <c r="BD81" s="2063"/>
      <c r="BE81" s="2063"/>
      <c r="BF81" s="2063"/>
      <c r="BG81" s="2063"/>
      <c r="BH81" s="2063"/>
      <c r="BI81" s="2063"/>
      <c r="BJ81" s="2063"/>
      <c r="BK81" s="2063"/>
      <c r="BL81" s="2063"/>
      <c r="BM81" s="2063"/>
      <c r="BN81" s="2063"/>
      <c r="BO81" s="2063"/>
      <c r="BP81" s="2063"/>
      <c r="BQ81" s="2063"/>
      <c r="BR81" s="2063"/>
      <c r="BS81" s="2063"/>
      <c r="BT81" s="2063"/>
      <c r="BU81" s="2063"/>
      <c r="BV81" s="2063"/>
      <c r="BW81" s="2063"/>
    </row>
    <row r="82" spans="1:75" hidden="1" outlineLevel="1">
      <c r="A82" s="2082" t="s">
        <v>527</v>
      </c>
      <c r="B82" s="2127">
        <f>IS!Y49</f>
        <v>0.45557397270834937</v>
      </c>
      <c r="C82" s="2127">
        <f>IS!Z49</f>
        <v>0.41920853227714794</v>
      </c>
      <c r="D82" s="2127">
        <f>IS!AA49</f>
        <v>0.45957974851091982</v>
      </c>
      <c r="E82" s="2127">
        <f>IS!AB49</f>
        <v>0.49317790243704368</v>
      </c>
      <c r="F82" s="2162">
        <f>IS!AE49</f>
        <v>0.47838858581619803</v>
      </c>
      <c r="G82" s="2127">
        <f>IS!AF49</f>
        <v>0.41605136436597107</v>
      </c>
      <c r="H82" s="2127">
        <f>IS!AG49</f>
        <v>0.4589012804626188</v>
      </c>
      <c r="I82" s="2127">
        <f>IS!AH49</f>
        <v>0.47684010152284251</v>
      </c>
      <c r="J82" s="2162">
        <f>IS!AK49</f>
        <v>0.44555314533622553</v>
      </c>
      <c r="K82" s="2127">
        <f>IS!AL49</f>
        <v>0.44039603960396034</v>
      </c>
      <c r="L82" s="2127">
        <f>IS!AM49</f>
        <v>0.44964164466239148</v>
      </c>
      <c r="M82" s="2127">
        <f>IS!AN49</f>
        <v>0.48799126637554568</v>
      </c>
      <c r="N82" s="2162">
        <f>IS!AQ49</f>
        <v>0.45552754771335974</v>
      </c>
      <c r="O82" s="2127">
        <f>IS!AR49</f>
        <v>0.4523097374543037</v>
      </c>
      <c r="P82" s="2127">
        <f>IS!AS49</f>
        <v>0.490006447453256</v>
      </c>
      <c r="Q82" s="2127">
        <f>IS!AT49</f>
        <v>0.48786349435231907</v>
      </c>
      <c r="R82" s="2162">
        <f>IS!AW49</f>
        <v>0.47478991596638653</v>
      </c>
      <c r="S82" s="2127">
        <f>IS!AX49</f>
        <v>0.47956131605184465</v>
      </c>
      <c r="T82" s="2127">
        <f>IS!AY49</f>
        <v>0.46630019120458888</v>
      </c>
      <c r="U82" s="2127">
        <f>IS!AZ49</f>
        <v>0.46516522837297386</v>
      </c>
      <c r="V82" s="2162">
        <f>IS!BC49</f>
        <v>0.48175542406311628</v>
      </c>
      <c r="W82" s="2127">
        <f>IS!BD49</f>
        <v>0.46256239600665555</v>
      </c>
      <c r="X82" s="2127">
        <f>IS!BE49</f>
        <v>0.48325145154086646</v>
      </c>
      <c r="Y82" s="2127">
        <f>IS!BF49</f>
        <v>0.47728590759713913</v>
      </c>
      <c r="Z82" s="2162">
        <f>IS!BI49</f>
        <v>0.45627859684799188</v>
      </c>
      <c r="AA82" s="2127">
        <f>IS!BJ49</f>
        <v>0.45394592218069901</v>
      </c>
      <c r="AB82" s="2127">
        <f>IS!BK49</f>
        <v>0.45148063781321179</v>
      </c>
      <c r="AC82" s="2127">
        <f>IS!BL49</f>
        <v>0.44973736641912698</v>
      </c>
      <c r="AD82" s="2162">
        <f>IS!BO49</f>
        <v>0.44182204389898522</v>
      </c>
      <c r="AE82" s="2127">
        <f>IS!BP49</f>
        <v>0.46305203323130734</v>
      </c>
      <c r="AF82" s="2127">
        <f>IS!BQ49</f>
        <v>0.44187708432586947</v>
      </c>
      <c r="AG82" s="2127">
        <f>IS!BR49</f>
        <v>0.43937007874015765</v>
      </c>
      <c r="AH82" s="2162">
        <f>IS!BU49</f>
        <v>0.47270155586987267</v>
      </c>
      <c r="AI82" s="2127">
        <f>IS!BV49</f>
        <v>0.45050505050505046</v>
      </c>
      <c r="AJ82" s="2127">
        <f>IS!BW49</f>
        <v>0.4612471598081293</v>
      </c>
      <c r="AK82" s="2127">
        <f>IS!BX49</f>
        <v>0.46591384358009197</v>
      </c>
      <c r="AL82" s="2162">
        <f>IS!CA49</f>
        <v>0.46723494938732024</v>
      </c>
      <c r="AM82" s="2127">
        <f>IS!CB49</f>
        <v>0.47592144202313696</v>
      </c>
      <c r="AN82" s="2127">
        <f>IS!CC49</f>
        <v>0.48895658796648889</v>
      </c>
      <c r="AO82" s="2127">
        <f>IS!CD49</f>
        <v>0.4879863916648946</v>
      </c>
      <c r="AP82" s="2162">
        <f>IS!CG49</f>
        <v>0.47648739932449985</v>
      </c>
      <c r="AQ82" s="2127">
        <f>IS!CH49</f>
        <v>0.46589539648107975</v>
      </c>
      <c r="AR82" s="2127">
        <f>IS!CI49</f>
        <v>0.47612488521579427</v>
      </c>
      <c r="AS82" s="2127">
        <f>IS!CJ49</f>
        <v>0.49952874646559869</v>
      </c>
      <c r="AT82" s="2162">
        <f>IS!CM49</f>
        <v>0.45400000000000001</v>
      </c>
      <c r="AU82" s="2127">
        <f>IS!CN49</f>
        <v>0.45400000000000001</v>
      </c>
      <c r="AV82" s="2127">
        <f>IS!CO49</f>
        <v>0.498</v>
      </c>
      <c r="AW82" s="2127">
        <f>IS!CP49</f>
        <v>0.53800000000000003</v>
      </c>
      <c r="AX82" s="2063"/>
      <c r="AY82" s="2063"/>
      <c r="AZ82" s="2063"/>
      <c r="BA82" s="2063"/>
      <c r="BB82" s="2063"/>
      <c r="BC82" s="2063"/>
      <c r="BD82" s="2063"/>
      <c r="BE82" s="2063"/>
      <c r="BF82" s="2063"/>
      <c r="BG82" s="2063"/>
      <c r="BH82" s="2063"/>
      <c r="BI82" s="2063"/>
      <c r="BJ82" s="2063"/>
      <c r="BK82" s="2063"/>
      <c r="BL82" s="2063"/>
      <c r="BM82" s="2063"/>
      <c r="BN82" s="2063"/>
      <c r="BO82" s="2063"/>
      <c r="BP82" s="2063"/>
      <c r="BQ82" s="2063"/>
      <c r="BR82" s="2063"/>
      <c r="BS82" s="2063"/>
      <c r="BT82" s="2063"/>
      <c r="BU82" s="2063"/>
      <c r="BV82" s="2063"/>
      <c r="BW82" s="2063"/>
    </row>
    <row r="83" spans="1:75" s="2065" customFormat="1" hidden="1" outlineLevel="1">
      <c r="A83" s="2076"/>
      <c r="B83" s="2076"/>
      <c r="C83" s="2076"/>
      <c r="D83" s="2076"/>
      <c r="E83" s="2076"/>
      <c r="F83" s="2076"/>
      <c r="G83" s="2076"/>
      <c r="H83" s="2076"/>
      <c r="I83" s="2054"/>
      <c r="J83" s="2054"/>
      <c r="K83" s="2054"/>
      <c r="L83" s="2054"/>
      <c r="M83" s="2054"/>
      <c r="N83" s="2054"/>
      <c r="O83" s="2054"/>
      <c r="P83" s="2054"/>
      <c r="Q83" s="2054"/>
      <c r="R83" s="2054"/>
      <c r="S83" s="2054"/>
      <c r="T83" s="2054"/>
      <c r="U83" s="2054"/>
      <c r="V83" s="2054"/>
      <c r="W83" s="2054"/>
      <c r="X83" s="2054"/>
      <c r="Y83" s="2054"/>
      <c r="Z83" s="2054"/>
      <c r="AA83" s="2054"/>
      <c r="AB83" s="2054"/>
      <c r="AC83" s="2054"/>
      <c r="AD83" s="2054"/>
      <c r="AE83" s="2054"/>
      <c r="AF83" s="2054"/>
      <c r="AG83" s="2054"/>
      <c r="AH83" s="2054"/>
      <c r="AI83" s="2054"/>
      <c r="AJ83" s="2054"/>
      <c r="AK83" s="2054"/>
      <c r="AL83" s="2054"/>
      <c r="AM83" s="2054"/>
      <c r="AN83" s="2054"/>
      <c r="AO83" s="2054"/>
      <c r="AP83" s="2054"/>
      <c r="AQ83" s="2054"/>
      <c r="AR83" s="2054"/>
      <c r="AS83" s="2054"/>
      <c r="AT83" s="2054"/>
      <c r="AU83" s="2054"/>
      <c r="AV83" s="2054"/>
      <c r="AW83" s="2054"/>
      <c r="AX83" s="2081"/>
      <c r="AY83" s="2081"/>
      <c r="AZ83" s="2081"/>
      <c r="BA83" s="2081"/>
      <c r="BB83" s="2081"/>
      <c r="BC83" s="2081"/>
      <c r="BD83" s="2081"/>
      <c r="BE83" s="2081"/>
      <c r="BF83" s="2081"/>
      <c r="BG83" s="2081"/>
      <c r="BH83" s="2081"/>
      <c r="BI83" s="2081"/>
      <c r="BJ83" s="2081"/>
      <c r="BK83" s="2081"/>
      <c r="BL83" s="2081"/>
      <c r="BM83" s="2081"/>
      <c r="BN83" s="2081"/>
      <c r="BO83" s="2081"/>
      <c r="BP83" s="2081"/>
      <c r="BQ83" s="2081"/>
      <c r="BR83" s="2081"/>
      <c r="BS83" s="2081"/>
      <c r="BT83" s="2081"/>
      <c r="BU83" s="2081"/>
      <c r="BV83" s="2081"/>
      <c r="BW83" s="2081"/>
    </row>
    <row r="84" spans="1:75" s="2065" customFormat="1" ht="15" collapsed="1">
      <c r="A84" s="2108" t="s">
        <v>522</v>
      </c>
      <c r="B84" s="2054"/>
      <c r="C84" s="2054"/>
      <c r="D84" s="2054"/>
      <c r="E84" s="2054"/>
      <c r="F84" s="2054"/>
      <c r="G84" s="2054"/>
      <c r="H84" s="2054"/>
      <c r="I84" s="2054"/>
      <c r="J84" s="2054"/>
      <c r="K84" s="2054"/>
      <c r="L84" s="2054"/>
      <c r="M84" s="2054"/>
      <c r="N84" s="2054"/>
      <c r="O84" s="2054"/>
      <c r="P84" s="2054"/>
      <c r="Q84" s="2054"/>
      <c r="R84" s="2054"/>
      <c r="S84" s="2054"/>
      <c r="T84" s="2054"/>
      <c r="U84" s="2054"/>
      <c r="V84" s="2054"/>
      <c r="W84" s="2054"/>
      <c r="X84" s="2054"/>
      <c r="Y84" s="2054"/>
      <c r="Z84" s="2054"/>
      <c r="AA84" s="2054"/>
      <c r="AB84" s="2054"/>
      <c r="AC84" s="2054"/>
      <c r="AD84" s="2054"/>
      <c r="AE84" s="2054"/>
      <c r="AF84" s="2054"/>
      <c r="AG84" s="2054"/>
      <c r="AH84" s="2054"/>
      <c r="AI84" s="2054"/>
      <c r="AJ84" s="2054"/>
      <c r="AK84" s="2054"/>
      <c r="AL84" s="2054"/>
      <c r="AM84" s="2054"/>
      <c r="AN84" s="2054"/>
      <c r="AO84" s="2054"/>
      <c r="AP84" s="2054"/>
      <c r="AQ84" s="2054"/>
      <c r="AR84" s="2054"/>
      <c r="AS84" s="2054"/>
      <c r="AT84" s="2054"/>
      <c r="AU84" s="2054"/>
      <c r="AV84" s="2054"/>
      <c r="AW84" s="2054"/>
      <c r="AX84" s="2081"/>
      <c r="AY84" s="2081"/>
      <c r="AZ84" s="2170"/>
      <c r="BA84" s="2170"/>
      <c r="BB84" s="2081"/>
      <c r="BC84" s="2081"/>
      <c r="BD84" s="2081"/>
      <c r="BE84" s="2081"/>
      <c r="BF84" s="2081"/>
      <c r="BG84" s="2081"/>
      <c r="BH84" s="2081"/>
      <c r="BI84" s="2081"/>
      <c r="BJ84" s="2081"/>
      <c r="BK84" s="2081"/>
      <c r="BL84" s="2171"/>
      <c r="BM84" s="2081"/>
      <c r="BN84" s="2081"/>
      <c r="BO84" s="2081"/>
      <c r="BP84" s="2081"/>
      <c r="BQ84" s="2081"/>
      <c r="BR84" s="2081"/>
      <c r="BS84" s="2081"/>
      <c r="BT84" s="2081"/>
      <c r="BU84" s="2081"/>
      <c r="BV84" s="2081"/>
      <c r="BW84" s="2081"/>
    </row>
    <row r="85" spans="1:75">
      <c r="A85" s="2272"/>
      <c r="B85" s="2272" t="str">
        <f>B$4</f>
        <v>1Q07</v>
      </c>
      <c r="C85" s="2272" t="str">
        <f t="shared" ref="C85:AW85" si="152">C$4</f>
        <v>2Q07</v>
      </c>
      <c r="D85" s="2272" t="str">
        <f t="shared" si="152"/>
        <v>3Q07</v>
      </c>
      <c r="E85" s="2272" t="str">
        <f t="shared" si="152"/>
        <v>4Q07</v>
      </c>
      <c r="F85" s="2273" t="str">
        <f t="shared" si="152"/>
        <v>1Q08</v>
      </c>
      <c r="G85" s="2272" t="str">
        <f t="shared" si="152"/>
        <v>2Q08</v>
      </c>
      <c r="H85" s="2272" t="str">
        <f t="shared" si="152"/>
        <v>3Q08</v>
      </c>
      <c r="I85" s="2272" t="str">
        <f t="shared" si="152"/>
        <v>4Q08</v>
      </c>
      <c r="J85" s="2273" t="str">
        <f t="shared" si="152"/>
        <v>1Q09</v>
      </c>
      <c r="K85" s="2272" t="str">
        <f t="shared" si="152"/>
        <v>2Q09</v>
      </c>
      <c r="L85" s="2272" t="str">
        <f t="shared" si="152"/>
        <v>3Q09</v>
      </c>
      <c r="M85" s="2272" t="str">
        <f t="shared" si="152"/>
        <v>4Q09</v>
      </c>
      <c r="N85" s="2273" t="str">
        <f t="shared" si="152"/>
        <v>1Q10</v>
      </c>
      <c r="O85" s="2272" t="str">
        <f t="shared" si="152"/>
        <v>2Q10</v>
      </c>
      <c r="P85" s="2272" t="str">
        <f t="shared" si="152"/>
        <v>3Q10</v>
      </c>
      <c r="Q85" s="2272" t="str">
        <f t="shared" si="152"/>
        <v>4Q10</v>
      </c>
      <c r="R85" s="2273" t="str">
        <f t="shared" si="152"/>
        <v>1Q11</v>
      </c>
      <c r="S85" s="2272" t="str">
        <f t="shared" si="152"/>
        <v>2Q11</v>
      </c>
      <c r="T85" s="2272" t="str">
        <f t="shared" si="152"/>
        <v>3Q11</v>
      </c>
      <c r="U85" s="2272" t="str">
        <f t="shared" si="152"/>
        <v>4Q11</v>
      </c>
      <c r="V85" s="2273" t="str">
        <f t="shared" si="152"/>
        <v>1Q12</v>
      </c>
      <c r="W85" s="2272" t="str">
        <f t="shared" si="152"/>
        <v>2Q12</v>
      </c>
      <c r="X85" s="2272" t="str">
        <f t="shared" si="152"/>
        <v>3Q12</v>
      </c>
      <c r="Y85" s="2272" t="str">
        <f t="shared" si="152"/>
        <v>4Q12</v>
      </c>
      <c r="Z85" s="2273" t="str">
        <f t="shared" si="152"/>
        <v>1Q13</v>
      </c>
      <c r="AA85" s="2272" t="str">
        <f t="shared" si="152"/>
        <v>2Q13</v>
      </c>
      <c r="AB85" s="2272" t="str">
        <f t="shared" si="152"/>
        <v>3Q13</v>
      </c>
      <c r="AC85" s="2272" t="str">
        <f t="shared" si="152"/>
        <v>4Q13</v>
      </c>
      <c r="AD85" s="2273" t="str">
        <f t="shared" si="152"/>
        <v>1Q14</v>
      </c>
      <c r="AE85" s="2272" t="str">
        <f t="shared" si="152"/>
        <v>2Q14</v>
      </c>
      <c r="AF85" s="2272" t="str">
        <f t="shared" si="152"/>
        <v>3Q14</v>
      </c>
      <c r="AG85" s="2272" t="str">
        <f t="shared" si="152"/>
        <v>4Q14</v>
      </c>
      <c r="AH85" s="2273" t="str">
        <f t="shared" si="152"/>
        <v>1Q15</v>
      </c>
      <c r="AI85" s="2272" t="str">
        <f t="shared" si="152"/>
        <v>2Q15</v>
      </c>
      <c r="AJ85" s="2272" t="str">
        <f t="shared" si="152"/>
        <v>3Q15</v>
      </c>
      <c r="AK85" s="2272" t="str">
        <f t="shared" si="152"/>
        <v>4Q15</v>
      </c>
      <c r="AL85" s="2273" t="str">
        <f t="shared" si="152"/>
        <v>1Q16</v>
      </c>
      <c r="AM85" s="2272" t="str">
        <f t="shared" si="152"/>
        <v>2Q16</v>
      </c>
      <c r="AN85" s="2272" t="str">
        <f t="shared" si="152"/>
        <v>3Q16</v>
      </c>
      <c r="AO85" s="2272" t="str">
        <f t="shared" si="152"/>
        <v>4Q16</v>
      </c>
      <c r="AP85" s="2273" t="str">
        <f t="shared" si="152"/>
        <v>1Q17</v>
      </c>
      <c r="AQ85" s="2272" t="str">
        <f t="shared" si="152"/>
        <v>2Q17</v>
      </c>
      <c r="AR85" s="2272" t="str">
        <f t="shared" si="152"/>
        <v>3Q17</v>
      </c>
      <c r="AS85" s="2272" t="str">
        <f t="shared" si="152"/>
        <v>4Q17</v>
      </c>
      <c r="AT85" s="2273" t="str">
        <f t="shared" si="152"/>
        <v>1Q18E</v>
      </c>
      <c r="AU85" s="2272" t="str">
        <f t="shared" si="152"/>
        <v>2Q18E</v>
      </c>
      <c r="AV85" s="2272" t="str">
        <f t="shared" si="152"/>
        <v>3Q18E</v>
      </c>
      <c r="AW85" s="2272" t="str">
        <f t="shared" si="152"/>
        <v>4Q18E</v>
      </c>
      <c r="AX85" s="2065"/>
      <c r="AY85" s="2065"/>
      <c r="AZ85" s="2065"/>
      <c r="BA85" s="2065"/>
      <c r="BB85" s="2065"/>
      <c r="BC85" s="2065"/>
      <c r="BD85" s="2065"/>
      <c r="BE85" s="2065"/>
      <c r="BF85" s="2065"/>
      <c r="BG85" s="2065"/>
      <c r="BH85" s="2065"/>
      <c r="BI85" s="2065"/>
      <c r="BJ85" s="2065"/>
      <c r="BK85" s="2065"/>
      <c r="BL85" s="2065"/>
      <c r="BM85" s="2065"/>
      <c r="BN85" s="2065"/>
      <c r="BO85" s="2065"/>
      <c r="BP85" s="2065"/>
      <c r="BQ85" s="2065"/>
      <c r="BR85" s="2065"/>
      <c r="BS85" s="2065"/>
      <c r="BT85" s="2065"/>
      <c r="BU85" s="2065"/>
      <c r="BV85" s="2065"/>
      <c r="BW85" s="2065"/>
    </row>
    <row r="86" spans="1:75" ht="15">
      <c r="A86" s="2076" t="str">
        <f>A74</f>
        <v>BSI</v>
      </c>
      <c r="B86" s="2054"/>
      <c r="C86" s="2054"/>
      <c r="D86" s="2054"/>
      <c r="E86" s="2054"/>
      <c r="F86" s="2145"/>
      <c r="G86" s="2054"/>
      <c r="H86" s="2054"/>
      <c r="I86" s="2054"/>
      <c r="J86" s="2145"/>
      <c r="K86" s="2054"/>
      <c r="L86" s="2054"/>
      <c r="M86" s="2054"/>
      <c r="N86" s="2145"/>
      <c r="O86" s="2054"/>
      <c r="P86" s="2054"/>
      <c r="Q86" s="2054"/>
      <c r="R86" s="2145">
        <f t="shared" ref="R86:AA88" si="153">IFERROR(R74+N74,"NM")</f>
        <v>4.0555701760460916E-2</v>
      </c>
      <c r="S86" s="2054">
        <f t="shared" si="153"/>
        <v>4.0633522639728192E-2</v>
      </c>
      <c r="T86" s="2054">
        <f t="shared" si="153"/>
        <v>2.5076409106402242E-2</v>
      </c>
      <c r="U86" s="2054">
        <f t="shared" si="153"/>
        <v>-2.5842583931832974E-2</v>
      </c>
      <c r="V86" s="2145">
        <f t="shared" si="153"/>
        <v>2.9282022868858393E-2</v>
      </c>
      <c r="W86" s="2054">
        <f t="shared" si="153"/>
        <v>4.9207243161902281E-3</v>
      </c>
      <c r="X86" s="2054">
        <f t="shared" si="153"/>
        <v>-3.0494391358537543E-2</v>
      </c>
      <c r="Y86" s="2054">
        <f t="shared" si="153"/>
        <v>-1.506777775327417E-2</v>
      </c>
      <c r="Z86" s="2141">
        <f t="shared" si="153"/>
        <v>-3.8044073853484184E-2</v>
      </c>
      <c r="AA86" s="2117">
        <f t="shared" si="153"/>
        <v>-3.7839904736702845E-2</v>
      </c>
      <c r="AB86" s="2117">
        <f t="shared" ref="AB86:AK88" si="154">IFERROR(AB74+X74,"NM")</f>
        <v>-2.0753674607197181E-2</v>
      </c>
      <c r="AC86" s="2117">
        <f t="shared" si="154"/>
        <v>-4.247518777123116E-2</v>
      </c>
      <c r="AD86" s="2141">
        <f t="shared" si="154"/>
        <v>-6.6661200740544879E-2</v>
      </c>
      <c r="AE86" s="2117">
        <f t="shared" si="154"/>
        <v>-1.9559193954659937E-2</v>
      </c>
      <c r="AF86" s="2117">
        <f t="shared" si="154"/>
        <v>-7.0758620689655216E-2</v>
      </c>
      <c r="AG86" s="2117">
        <f t="shared" si="154"/>
        <v>-5.9462149622304505E-2</v>
      </c>
      <c r="AH86" s="2141">
        <f t="shared" si="154"/>
        <v>1.5999999999999959E-2</v>
      </c>
      <c r="AI86" s="2117">
        <f t="shared" si="154"/>
        <v>-1.3000000000000012E-2</v>
      </c>
      <c r="AJ86" s="2117">
        <f t="shared" si="154"/>
        <v>-2.1000000000000019E-2</v>
      </c>
      <c r="AK86" s="2117">
        <f t="shared" si="154"/>
        <v>1.170548766403201E-2</v>
      </c>
      <c r="AL86" s="2141">
        <f t="shared" ref="AL86:AS88" si="155">IFERROR(AL74+AH74,"NM")</f>
        <v>2.9000000000000026E-2</v>
      </c>
      <c r="AM86" s="2117">
        <f t="shared" si="155"/>
        <v>2.1999999999999964E-2</v>
      </c>
      <c r="AN86" s="2117">
        <f t="shared" si="155"/>
        <v>8.3000000000000018E-2</v>
      </c>
      <c r="AO86" s="2117">
        <f t="shared" si="155"/>
        <v>5.3869445289965012E-2</v>
      </c>
      <c r="AP86" s="2141">
        <f t="shared" si="155"/>
        <v>2.300000000000002E-2</v>
      </c>
      <c r="AQ86" s="2117">
        <f t="shared" si="155"/>
        <v>3.7999999999999978E-2</v>
      </c>
      <c r="AR86" s="2117" t="str">
        <f t="shared" si="155"/>
        <v>NM</v>
      </c>
      <c r="AS86" s="2117" t="str">
        <f t="shared" si="155"/>
        <v>NM</v>
      </c>
      <c r="AT86" s="2141" t="str">
        <f t="shared" ref="AT86:AT88" si="156">IFERROR(AT74+AP74,"NM")</f>
        <v>NM</v>
      </c>
      <c r="AU86" s="2117" t="str">
        <f t="shared" ref="AU86:AU88" si="157">IFERROR(AU74+AQ74,"NM")</f>
        <v>NM</v>
      </c>
      <c r="AV86" s="2117" t="str">
        <f t="shared" ref="AV86:AV88" si="158">IFERROR(AV74+AR74,"NM")</f>
        <v>NM</v>
      </c>
      <c r="AW86" s="2117" t="str">
        <f t="shared" ref="AW86:AW88" si="159">IFERROR(AW74+AS74,"NM")</f>
        <v>NM</v>
      </c>
      <c r="AX86" s="2063"/>
      <c r="AY86" s="2063"/>
      <c r="AZ86" s="2071"/>
      <c r="BA86" s="2071"/>
      <c r="BB86" s="2063"/>
      <c r="BC86" s="2063"/>
      <c r="BD86" s="2063"/>
      <c r="BE86" s="2063"/>
      <c r="BF86" s="2063"/>
      <c r="BG86" s="2063"/>
      <c r="BH86" s="2063"/>
      <c r="BI86" s="2063"/>
      <c r="BJ86" s="2063"/>
      <c r="BK86" s="2063"/>
      <c r="BL86" s="2070"/>
      <c r="BM86" s="2063"/>
      <c r="BN86" s="2063"/>
      <c r="BO86" s="2063"/>
      <c r="BP86" s="2063"/>
      <c r="BQ86" s="2063"/>
      <c r="BR86" s="2063"/>
      <c r="BS86" s="2063"/>
      <c r="BT86" s="2063"/>
      <c r="BU86" s="2063"/>
      <c r="BV86" s="2063"/>
      <c r="BW86" s="2063"/>
    </row>
    <row r="87" spans="1:75" ht="15">
      <c r="A87" s="2055" t="str">
        <f>A75</f>
        <v>BEST</v>
      </c>
      <c r="B87" s="2056"/>
      <c r="C87" s="2056"/>
      <c r="D87" s="2056"/>
      <c r="E87" s="2056"/>
      <c r="F87" s="2159"/>
      <c r="G87" s="2056"/>
      <c r="H87" s="2056"/>
      <c r="I87" s="2056"/>
      <c r="J87" s="2159"/>
      <c r="K87" s="2056"/>
      <c r="L87" s="2056"/>
      <c r="M87" s="2056"/>
      <c r="N87" s="2159"/>
      <c r="O87" s="2056"/>
      <c r="P87" s="2056"/>
      <c r="Q87" s="2056"/>
      <c r="R87" s="2159">
        <f t="shared" si="153"/>
        <v>0.11774691358024694</v>
      </c>
      <c r="S87" s="2056">
        <f t="shared" si="153"/>
        <v>7.5382497337454862E-2</v>
      </c>
      <c r="T87" s="2056">
        <f t="shared" si="153"/>
        <v>-6.2007423602989803E-2</v>
      </c>
      <c r="U87" s="2056">
        <f t="shared" si="153"/>
        <v>9.6113445378151294E-2</v>
      </c>
      <c r="V87" s="2159">
        <f t="shared" si="153"/>
        <v>2.1932367149758464E-2</v>
      </c>
      <c r="W87" s="2056">
        <f t="shared" si="153"/>
        <v>7.488312792180199E-2</v>
      </c>
      <c r="X87" s="2056">
        <f t="shared" si="153"/>
        <v>0.35503706199460916</v>
      </c>
      <c r="Y87" s="2056">
        <f t="shared" si="153"/>
        <v>1.4031095942358629E-2</v>
      </c>
      <c r="Z87" s="2142">
        <f t="shared" si="153"/>
        <v>1.3833333333333309E-2</v>
      </c>
      <c r="AA87" s="2118">
        <f t="shared" si="153"/>
        <v>0.12282918149466193</v>
      </c>
      <c r="AB87" s="2118">
        <f t="shared" si="154"/>
        <v>-3.5555956678700373E-2</v>
      </c>
      <c r="AC87" s="2118" t="str">
        <f t="shared" si="154"/>
        <v>NM</v>
      </c>
      <c r="AD87" s="2142">
        <f t="shared" si="154"/>
        <v>-2.0000000000000018E-3</v>
      </c>
      <c r="AE87" s="2118">
        <f t="shared" si="154"/>
        <v>-2.9153846153846169E-2</v>
      </c>
      <c r="AF87" s="2118">
        <f t="shared" si="154"/>
        <v>-0.27735849056603773</v>
      </c>
      <c r="AG87" s="2118" t="str">
        <f t="shared" si="154"/>
        <v>NM</v>
      </c>
      <c r="AH87" s="2142">
        <f t="shared" si="154"/>
        <v>-3.6000000000000004E-2</v>
      </c>
      <c r="AI87" s="2118">
        <f t="shared" si="154"/>
        <v>-0.11000000000000001</v>
      </c>
      <c r="AJ87" s="2118">
        <f t="shared" si="154"/>
        <v>2.7999999999999997E-2</v>
      </c>
      <c r="AK87" s="2118" t="str">
        <f t="shared" si="154"/>
        <v>NM</v>
      </c>
      <c r="AL87" s="2142">
        <f t="shared" si="155"/>
        <v>-8.199999999999999E-2</v>
      </c>
      <c r="AM87" s="2118">
        <f t="shared" si="155"/>
        <v>-3.5000000000000003E-2</v>
      </c>
      <c r="AN87" s="2118">
        <f t="shared" si="155"/>
        <v>-4.6000000000000013E-2</v>
      </c>
      <c r="AO87" s="2118">
        <f t="shared" si="155"/>
        <v>9.3577482009362292E-2</v>
      </c>
      <c r="AP87" s="2142">
        <f t="shared" si="155"/>
        <v>-5.6999999999999995E-2</v>
      </c>
      <c r="AQ87" s="2118">
        <f t="shared" si="155"/>
        <v>-4.5999999999999985E-2</v>
      </c>
      <c r="AR87" s="2118" t="str">
        <f t="shared" si="155"/>
        <v>NM</v>
      </c>
      <c r="AS87" s="2118" t="str">
        <f t="shared" si="155"/>
        <v>NM</v>
      </c>
      <c r="AT87" s="2142" t="str">
        <f t="shared" si="156"/>
        <v>NM</v>
      </c>
      <c r="AU87" s="2118" t="str">
        <f t="shared" si="157"/>
        <v>NM</v>
      </c>
      <c r="AV87" s="2118" t="str">
        <f t="shared" si="158"/>
        <v>NM</v>
      </c>
      <c r="AW87" s="2118" t="str">
        <f t="shared" si="159"/>
        <v>NM</v>
      </c>
      <c r="AX87" s="2063"/>
      <c r="AY87" s="2063"/>
      <c r="AZ87" s="2071"/>
      <c r="BA87" s="2071"/>
      <c r="BB87" s="2063"/>
      <c r="BC87" s="2063"/>
      <c r="BD87" s="2063"/>
      <c r="BE87" s="2063"/>
      <c r="BF87" s="2063"/>
      <c r="BG87" s="2063"/>
      <c r="BH87" s="2063"/>
      <c r="BI87" s="2063"/>
      <c r="BJ87" s="2063"/>
      <c r="BK87" s="2063"/>
      <c r="BL87" s="2070"/>
      <c r="BM87" s="2063"/>
      <c r="BN87" s="2063"/>
      <c r="BO87" s="2063"/>
      <c r="BP87" s="2063"/>
      <c r="BQ87" s="2063"/>
      <c r="BR87" s="2063"/>
      <c r="BS87" s="2063"/>
      <c r="BT87" s="2063"/>
      <c r="BU87" s="2063"/>
      <c r="BV87" s="2063"/>
      <c r="BW87" s="2063"/>
    </row>
    <row r="88" spans="1:75">
      <c r="A88" s="2082" t="str">
        <f>A76</f>
        <v>Total</v>
      </c>
      <c r="B88" s="2058"/>
      <c r="C88" s="2058"/>
      <c r="D88" s="2058"/>
      <c r="E88" s="2058"/>
      <c r="F88" s="2160"/>
      <c r="G88" s="2058"/>
      <c r="H88" s="2058"/>
      <c r="I88" s="2058"/>
      <c r="J88" s="2160">
        <f t="shared" ref="J88:Q88" si="160">IFERROR(J76+F76,"NM")</f>
        <v>-1.0020827372123842E-2</v>
      </c>
      <c r="K88" s="2058">
        <f t="shared" si="160"/>
        <v>2.1187507326812405E-2</v>
      </c>
      <c r="L88" s="2058">
        <f t="shared" si="160"/>
        <v>-9.9381038485283346E-3</v>
      </c>
      <c r="M88" s="2058">
        <f t="shared" si="160"/>
        <v>-5.1866360614979956E-3</v>
      </c>
      <c r="N88" s="2160">
        <f t="shared" si="160"/>
        <v>-2.2861038102838294E-2</v>
      </c>
      <c r="O88" s="2058">
        <f t="shared" si="160"/>
        <v>3.6258373088332629E-2</v>
      </c>
      <c r="P88" s="2058">
        <f t="shared" si="160"/>
        <v>3.1105166990637201E-2</v>
      </c>
      <c r="Q88" s="2058">
        <f t="shared" si="160"/>
        <v>1.1023392829476564E-2</v>
      </c>
      <c r="R88" s="2160">
        <f t="shared" si="153"/>
        <v>2.9236770630161002E-2</v>
      </c>
      <c r="S88" s="2058">
        <f t="shared" si="153"/>
        <v>3.9165276447884312E-2</v>
      </c>
      <c r="T88" s="2058">
        <f t="shared" si="153"/>
        <v>1.6658546542197394E-2</v>
      </c>
      <c r="U88" s="2058">
        <f t="shared" si="153"/>
        <v>-2.2826038002571825E-2</v>
      </c>
      <c r="V88" s="2160">
        <f t="shared" si="153"/>
        <v>2.622787634975654E-2</v>
      </c>
      <c r="W88" s="2058">
        <f t="shared" si="153"/>
        <v>1.0252658552351857E-2</v>
      </c>
      <c r="X88" s="2058">
        <f t="shared" si="153"/>
        <v>-6.7549959123895387E-3</v>
      </c>
      <c r="Y88" s="2058">
        <f t="shared" si="153"/>
        <v>-1.0577586755179946E-2</v>
      </c>
      <c r="Z88" s="2165">
        <f t="shared" si="153"/>
        <v>-1.8511319118394653E-2</v>
      </c>
      <c r="AA88" s="2136">
        <f t="shared" si="153"/>
        <v>-2.5615393871145642E-2</v>
      </c>
      <c r="AB88" s="2136">
        <f t="shared" si="154"/>
        <v>-1.4819553391377083E-2</v>
      </c>
      <c r="AC88" s="2136">
        <f t="shared" si="154"/>
        <v>-1.5427861953846878E-2</v>
      </c>
      <c r="AD88" s="2165">
        <f t="shared" si="154"/>
        <v>-3.993338016413106E-2</v>
      </c>
      <c r="AE88" s="2136">
        <f t="shared" si="154"/>
        <v>4.8963722465178439E-4</v>
      </c>
      <c r="AF88" s="2136">
        <f t="shared" si="154"/>
        <v>-4.1374367214996988E-2</v>
      </c>
      <c r="AG88" s="2136">
        <f t="shared" si="154"/>
        <v>-3.7915828856981471E-2</v>
      </c>
      <c r="AH88" s="2165">
        <f t="shared" si="154"/>
        <v>1.642295902188079E-2</v>
      </c>
      <c r="AI88" s="2136">
        <f t="shared" si="154"/>
        <v>-3.4408716756485491E-3</v>
      </c>
      <c r="AJ88" s="2136">
        <f t="shared" si="154"/>
        <v>9.7665219949175097E-3</v>
      </c>
      <c r="AK88" s="2136">
        <f t="shared" si="154"/>
        <v>1.6176477160964986E-2</v>
      </c>
      <c r="AL88" s="2165">
        <f t="shared" si="155"/>
        <v>2.5412905488335025E-2</v>
      </c>
      <c r="AM88" s="2136">
        <f t="shared" si="155"/>
        <v>1.2869408791829628E-2</v>
      </c>
      <c r="AN88" s="2136">
        <f t="shared" si="155"/>
        <v>4.7079503640619413E-2</v>
      </c>
      <c r="AO88" s="2136">
        <f t="shared" si="155"/>
        <v>4.8616312924736949E-2</v>
      </c>
      <c r="AP88" s="2165">
        <f t="shared" si="155"/>
        <v>3.7858434546271802E-3</v>
      </c>
      <c r="AQ88" s="2136">
        <f t="shared" si="155"/>
        <v>1.5390345976029285E-2</v>
      </c>
      <c r="AR88" s="2136">
        <f t="shared" si="155"/>
        <v>1.4877725407664966E-2</v>
      </c>
      <c r="AS88" s="2136">
        <f t="shared" si="155"/>
        <v>3.3614902885506726E-2</v>
      </c>
      <c r="AT88" s="2165">
        <f t="shared" si="156"/>
        <v>-1.2872435278614647E-2</v>
      </c>
      <c r="AU88" s="2136">
        <f t="shared" si="157"/>
        <v>-5.5554792007655895E-2</v>
      </c>
      <c r="AV88" s="2136" t="str">
        <f t="shared" si="158"/>
        <v>NM</v>
      </c>
      <c r="AW88" s="2136" t="str">
        <f t="shared" si="159"/>
        <v>NM</v>
      </c>
      <c r="AX88" s="2063"/>
      <c r="AY88" s="2063"/>
      <c r="AZ88" s="2063"/>
      <c r="BA88" s="2063"/>
      <c r="BB88" s="2063"/>
      <c r="BC88" s="2063"/>
      <c r="BD88" s="2063"/>
      <c r="BE88" s="2063"/>
      <c r="BF88" s="2063"/>
      <c r="BG88" s="2063"/>
      <c r="BH88" s="2063"/>
      <c r="BI88" s="2063"/>
      <c r="BJ88" s="2063"/>
      <c r="BK88" s="2063"/>
      <c r="BL88" s="2063"/>
      <c r="BM88" s="2063"/>
      <c r="BN88" s="2063"/>
      <c r="BO88" s="2063"/>
      <c r="BP88" s="2063"/>
      <c r="BQ88" s="2063"/>
      <c r="BR88" s="2063"/>
      <c r="BS88" s="2063"/>
      <c r="BT88" s="2063"/>
      <c r="BU88" s="2063"/>
      <c r="BV88" s="2063"/>
      <c r="BW88" s="2063"/>
    </row>
    <row r="89" spans="1:75" s="2065" customFormat="1">
      <c r="A89" s="2076"/>
      <c r="B89" s="2054"/>
      <c r="C89" s="2054"/>
      <c r="D89" s="2054"/>
      <c r="E89" s="2054"/>
      <c r="F89" s="2054"/>
      <c r="G89" s="2054"/>
      <c r="H89" s="2054"/>
      <c r="I89" s="2054"/>
      <c r="J89" s="2054"/>
      <c r="K89" s="2054"/>
      <c r="L89" s="2054"/>
      <c r="M89" s="2054"/>
      <c r="N89" s="2054"/>
      <c r="O89" s="2054"/>
      <c r="P89" s="2054"/>
      <c r="Q89" s="2054"/>
      <c r="R89" s="2054"/>
      <c r="S89" s="2054"/>
      <c r="T89" s="2054"/>
      <c r="U89" s="2054"/>
      <c r="V89" s="2054"/>
      <c r="W89" s="2054"/>
      <c r="X89" s="2054"/>
      <c r="Y89" s="2054"/>
      <c r="Z89" s="2054"/>
      <c r="AA89" s="2054"/>
      <c r="AB89" s="2054"/>
      <c r="AC89" s="2054"/>
      <c r="AD89" s="2054"/>
      <c r="AE89" s="2054"/>
      <c r="AF89" s="2054"/>
      <c r="AG89" s="2054"/>
      <c r="AH89" s="2054"/>
      <c r="AI89" s="2054"/>
      <c r="AJ89" s="2054"/>
      <c r="AK89" s="2054"/>
      <c r="AL89" s="2054"/>
      <c r="AM89" s="2054"/>
      <c r="AN89" s="2054"/>
      <c r="AO89" s="2054"/>
      <c r="AP89" s="2054"/>
      <c r="AQ89" s="2054"/>
      <c r="AR89" s="2054"/>
      <c r="AS89" s="2054"/>
      <c r="AT89" s="2054"/>
      <c r="AU89" s="2054"/>
      <c r="AV89" s="2054"/>
      <c r="AW89" s="2054"/>
      <c r="AX89" s="2081"/>
      <c r="AY89" s="2081"/>
      <c r="AZ89" s="2081"/>
      <c r="BA89" s="2081"/>
      <c r="BB89" s="2081"/>
      <c r="BC89" s="2081"/>
      <c r="BD89" s="2081"/>
      <c r="BE89" s="2081"/>
      <c r="BF89" s="2081"/>
      <c r="BG89" s="2081"/>
      <c r="BH89" s="2081"/>
      <c r="BI89" s="2081"/>
      <c r="BJ89" s="2081"/>
      <c r="BK89" s="2081"/>
      <c r="BL89" s="2081"/>
      <c r="BM89" s="2081"/>
      <c r="BN89" s="2081"/>
      <c r="BO89" s="2081"/>
      <c r="BP89" s="2081"/>
      <c r="BQ89" s="2081"/>
      <c r="BR89" s="2081"/>
      <c r="BS89" s="2081"/>
      <c r="BT89" s="2081"/>
      <c r="BU89" s="2081"/>
      <c r="BV89" s="2081"/>
      <c r="BW89" s="2081"/>
    </row>
    <row r="90" spans="1:75" s="2065" customFormat="1">
      <c r="A90" s="2076"/>
      <c r="B90" s="2076"/>
      <c r="C90" s="2076"/>
      <c r="D90" s="2076"/>
      <c r="E90" s="2076"/>
      <c r="F90" s="2076"/>
      <c r="G90" s="2076"/>
      <c r="H90" s="2076"/>
      <c r="I90" s="2054"/>
      <c r="J90" s="2054"/>
      <c r="K90" s="2054"/>
      <c r="L90" s="2054"/>
      <c r="M90" s="2054"/>
      <c r="N90" s="2054"/>
      <c r="O90" s="2054"/>
      <c r="P90" s="2054"/>
      <c r="Q90" s="2054"/>
      <c r="R90" s="2054"/>
      <c r="S90" s="2054"/>
      <c r="T90" s="2054"/>
      <c r="U90" s="2054"/>
      <c r="V90" s="2054"/>
      <c r="W90" s="2054"/>
      <c r="X90" s="2054"/>
      <c r="Y90" s="2054"/>
      <c r="Z90" s="2054"/>
      <c r="AA90" s="2054"/>
      <c r="AB90" s="2054"/>
      <c r="AC90" s="2054"/>
      <c r="AD90" s="2054"/>
      <c r="AE90" s="2054"/>
      <c r="AF90" s="2054"/>
      <c r="AG90" s="2054"/>
      <c r="AH90" s="2054"/>
      <c r="AI90" s="2054"/>
      <c r="AJ90" s="2054"/>
      <c r="AK90" s="2054"/>
      <c r="AL90" s="2054"/>
      <c r="AM90" s="2054"/>
      <c r="AN90" s="2054"/>
      <c r="AO90" s="2054"/>
      <c r="AP90" s="2054"/>
      <c r="AQ90" s="2054"/>
      <c r="AR90" s="2054"/>
      <c r="AS90" s="2054"/>
      <c r="AT90" s="2054"/>
      <c r="AU90" s="2054"/>
      <c r="AV90" s="2054"/>
      <c r="AW90" s="2054"/>
      <c r="AX90" s="2081"/>
      <c r="AY90" s="2081"/>
      <c r="AZ90" s="2081"/>
      <c r="BA90" s="2081"/>
      <c r="BB90" s="2081"/>
      <c r="BC90" s="2081"/>
      <c r="BD90" s="2081"/>
      <c r="BE90" s="2081"/>
      <c r="BF90" s="2081"/>
      <c r="BG90" s="2081"/>
      <c r="BH90" s="2081"/>
      <c r="BI90" s="2081"/>
      <c r="BJ90" s="2081"/>
      <c r="BK90" s="2081"/>
      <c r="BL90" s="2081"/>
      <c r="BM90" s="2081"/>
      <c r="BN90" s="2081"/>
      <c r="BO90" s="2081"/>
      <c r="BP90" s="2081"/>
      <c r="BQ90" s="2081"/>
      <c r="BR90" s="2081"/>
      <c r="BS90" s="2081"/>
      <c r="BT90" s="2081"/>
      <c r="BU90" s="2081"/>
      <c r="BV90" s="2081"/>
      <c r="BW90" s="2081"/>
    </row>
    <row r="91" spans="1:75" s="2065" customFormat="1">
      <c r="A91" s="2076"/>
      <c r="B91" s="2076"/>
      <c r="C91" s="2076"/>
      <c r="D91" s="2076"/>
      <c r="E91" s="2076"/>
      <c r="F91" s="2076"/>
      <c r="G91" s="2076"/>
      <c r="H91" s="2076"/>
      <c r="I91" s="2054"/>
      <c r="J91" s="2054"/>
      <c r="K91" s="2054"/>
      <c r="L91" s="2054"/>
      <c r="M91" s="2054"/>
      <c r="N91" s="2054"/>
      <c r="O91" s="2054"/>
      <c r="P91" s="2054"/>
      <c r="Q91" s="2054"/>
      <c r="R91" s="2054"/>
      <c r="S91" s="2054"/>
      <c r="T91" s="2054"/>
      <c r="U91" s="2054"/>
      <c r="V91" s="2054"/>
      <c r="W91" s="2054"/>
      <c r="X91" s="2054"/>
      <c r="Y91" s="2054"/>
      <c r="Z91" s="2054"/>
      <c r="AA91" s="2054"/>
      <c r="AB91" s="2054"/>
      <c r="AC91" s="2054"/>
      <c r="AD91" s="2054"/>
      <c r="AE91" s="2054"/>
      <c r="AF91" s="2054"/>
      <c r="AG91" s="2054"/>
      <c r="AH91" s="2054"/>
      <c r="AI91" s="2054"/>
      <c r="AJ91" s="2054"/>
      <c r="AK91" s="2054"/>
      <c r="AL91" s="2054"/>
      <c r="AM91" s="2054"/>
      <c r="AN91" s="2054"/>
      <c r="AO91" s="2054"/>
      <c r="AP91" s="2054"/>
      <c r="AQ91" s="2054"/>
      <c r="AR91" s="2054"/>
      <c r="AS91" s="2054"/>
      <c r="AT91" s="2054"/>
      <c r="AU91" s="2054"/>
      <c r="AV91" s="2054"/>
      <c r="AW91" s="2054"/>
      <c r="AX91" s="2081"/>
      <c r="AY91" s="2081"/>
      <c r="AZ91" s="2081"/>
      <c r="BA91" s="2081"/>
      <c r="BB91" s="2081"/>
      <c r="BC91" s="2081"/>
      <c r="BD91" s="2081"/>
      <c r="BE91" s="2081"/>
      <c r="BF91" s="2081"/>
      <c r="BG91" s="2081"/>
      <c r="BH91" s="2081"/>
      <c r="BI91" s="2081"/>
      <c r="BJ91" s="2081"/>
      <c r="BK91" s="2081"/>
      <c r="BL91" s="2081"/>
      <c r="BM91" s="2081"/>
      <c r="BN91" s="2081"/>
      <c r="BO91" s="2081"/>
      <c r="BP91" s="2081"/>
      <c r="BQ91" s="2081"/>
      <c r="BR91" s="2081"/>
      <c r="BS91" s="2081"/>
      <c r="BT91" s="2081"/>
      <c r="BU91" s="2081"/>
      <c r="BV91" s="2081"/>
      <c r="BW91" s="2081"/>
    </row>
    <row r="92" spans="1:75" s="2065" customFormat="1">
      <c r="A92" s="2107" t="s">
        <v>523</v>
      </c>
      <c r="B92" s="2081"/>
      <c r="C92" s="2081"/>
      <c r="D92" s="2076"/>
      <c r="E92" s="2076"/>
      <c r="F92" s="2076"/>
      <c r="G92" s="2076"/>
      <c r="H92" s="2076"/>
      <c r="I92" s="2054"/>
      <c r="J92" s="2054"/>
      <c r="K92" s="2054"/>
      <c r="L92" s="2054"/>
      <c r="M92" s="2054"/>
      <c r="N92" s="2054"/>
      <c r="O92" s="2054"/>
      <c r="P92" s="2054"/>
      <c r="Q92" s="2054"/>
      <c r="R92" s="2054"/>
      <c r="S92" s="2054"/>
      <c r="T92" s="2054"/>
      <c r="U92" s="2054"/>
      <c r="V92" s="2054"/>
      <c r="W92" s="2054"/>
      <c r="X92" s="2054"/>
      <c r="Y92" s="2054"/>
      <c r="Z92" s="2054"/>
      <c r="AA92" s="2054"/>
      <c r="AB92" s="2054"/>
      <c r="AC92" s="2054"/>
      <c r="AD92" s="2054"/>
      <c r="AE92" s="2054"/>
      <c r="AF92" s="2076"/>
      <c r="AG92" s="2076"/>
      <c r="AH92" s="2076"/>
      <c r="AI92" s="2076"/>
      <c r="AJ92" s="2076"/>
      <c r="AK92" s="2076"/>
      <c r="AL92" s="2076"/>
      <c r="AM92" s="2076"/>
      <c r="AN92" s="2076"/>
      <c r="AO92" s="2076"/>
      <c r="AP92" s="2076"/>
      <c r="AQ92" s="2076"/>
      <c r="AR92" s="2076"/>
      <c r="AS92" s="2076"/>
      <c r="AT92" s="2076"/>
      <c r="AU92" s="2076"/>
      <c r="AV92" s="2076"/>
      <c r="AW92" s="2076"/>
      <c r="AX92" s="2081"/>
      <c r="AY92" s="2081"/>
      <c r="AZ92" s="2081"/>
      <c r="BA92" s="2081"/>
      <c r="BB92" s="2081"/>
      <c r="BC92" s="2081"/>
      <c r="BD92" s="2081"/>
      <c r="BE92" s="2081"/>
      <c r="BF92" s="2081"/>
      <c r="BG92" s="2081"/>
      <c r="BH92" s="2081"/>
      <c r="BI92" s="2081"/>
      <c r="BJ92" s="2081"/>
      <c r="BK92" s="2081"/>
      <c r="BL92" s="2081"/>
      <c r="BM92" s="2081"/>
      <c r="BN92" s="2081"/>
      <c r="BO92" s="2081"/>
      <c r="BP92" s="2081"/>
      <c r="BQ92" s="2081"/>
      <c r="BR92" s="2081"/>
      <c r="BS92" s="2081"/>
      <c r="BT92" s="2081"/>
      <c r="BU92" s="2081"/>
      <c r="BV92" s="2081"/>
      <c r="BW92" s="2081"/>
    </row>
    <row r="93" spans="1:75">
      <c r="A93" s="2272"/>
      <c r="B93" s="2272" t="str">
        <f>B$4</f>
        <v>1Q07</v>
      </c>
      <c r="C93" s="2272" t="str">
        <f t="shared" ref="C93:AW93" si="161">C$4</f>
        <v>2Q07</v>
      </c>
      <c r="D93" s="2272" t="str">
        <f t="shared" si="161"/>
        <v>3Q07</v>
      </c>
      <c r="E93" s="2272" t="str">
        <f t="shared" si="161"/>
        <v>4Q07</v>
      </c>
      <c r="F93" s="2273" t="str">
        <f t="shared" si="161"/>
        <v>1Q08</v>
      </c>
      <c r="G93" s="2272" t="str">
        <f t="shared" si="161"/>
        <v>2Q08</v>
      </c>
      <c r="H93" s="2272" t="str">
        <f t="shared" si="161"/>
        <v>3Q08</v>
      </c>
      <c r="I93" s="2272" t="str">
        <f t="shared" si="161"/>
        <v>4Q08</v>
      </c>
      <c r="J93" s="2273" t="str">
        <f t="shared" si="161"/>
        <v>1Q09</v>
      </c>
      <c r="K93" s="2272" t="str">
        <f t="shared" si="161"/>
        <v>2Q09</v>
      </c>
      <c r="L93" s="2272" t="str">
        <f t="shared" si="161"/>
        <v>3Q09</v>
      </c>
      <c r="M93" s="2272" t="str">
        <f t="shared" si="161"/>
        <v>4Q09</v>
      </c>
      <c r="N93" s="2273" t="str">
        <f t="shared" si="161"/>
        <v>1Q10</v>
      </c>
      <c r="O93" s="2272" t="str">
        <f t="shared" si="161"/>
        <v>2Q10</v>
      </c>
      <c r="P93" s="2272" t="str">
        <f t="shared" si="161"/>
        <v>3Q10</v>
      </c>
      <c r="Q93" s="2272" t="str">
        <f t="shared" si="161"/>
        <v>4Q10</v>
      </c>
      <c r="R93" s="2273" t="str">
        <f t="shared" si="161"/>
        <v>1Q11</v>
      </c>
      <c r="S93" s="2272" t="str">
        <f t="shared" si="161"/>
        <v>2Q11</v>
      </c>
      <c r="T93" s="2272" t="str">
        <f t="shared" si="161"/>
        <v>3Q11</v>
      </c>
      <c r="U93" s="2272" t="str">
        <f t="shared" si="161"/>
        <v>4Q11</v>
      </c>
      <c r="V93" s="2273" t="str">
        <f t="shared" si="161"/>
        <v>1Q12</v>
      </c>
      <c r="W93" s="2272" t="str">
        <f t="shared" si="161"/>
        <v>2Q12</v>
      </c>
      <c r="X93" s="2272" t="str">
        <f t="shared" si="161"/>
        <v>3Q12</v>
      </c>
      <c r="Y93" s="2272" t="str">
        <f t="shared" si="161"/>
        <v>4Q12</v>
      </c>
      <c r="Z93" s="2273" t="str">
        <f t="shared" si="161"/>
        <v>1Q13</v>
      </c>
      <c r="AA93" s="2272" t="str">
        <f t="shared" si="161"/>
        <v>2Q13</v>
      </c>
      <c r="AB93" s="2272" t="str">
        <f t="shared" si="161"/>
        <v>3Q13</v>
      </c>
      <c r="AC93" s="2272" t="str">
        <f t="shared" si="161"/>
        <v>4Q13</v>
      </c>
      <c r="AD93" s="2273" t="str">
        <f t="shared" si="161"/>
        <v>1Q14</v>
      </c>
      <c r="AE93" s="2272" t="str">
        <f t="shared" si="161"/>
        <v>2Q14</v>
      </c>
      <c r="AF93" s="2272" t="str">
        <f t="shared" si="161"/>
        <v>3Q14</v>
      </c>
      <c r="AG93" s="2272" t="str">
        <f t="shared" si="161"/>
        <v>4Q14</v>
      </c>
      <c r="AH93" s="2273" t="str">
        <f t="shared" si="161"/>
        <v>1Q15</v>
      </c>
      <c r="AI93" s="2272" t="str">
        <f t="shared" si="161"/>
        <v>2Q15</v>
      </c>
      <c r="AJ93" s="2272" t="str">
        <f t="shared" si="161"/>
        <v>3Q15</v>
      </c>
      <c r="AK93" s="2272" t="str">
        <f t="shared" si="161"/>
        <v>4Q15</v>
      </c>
      <c r="AL93" s="2273" t="str">
        <f t="shared" si="161"/>
        <v>1Q16</v>
      </c>
      <c r="AM93" s="2272" t="str">
        <f t="shared" si="161"/>
        <v>2Q16</v>
      </c>
      <c r="AN93" s="2272" t="str">
        <f t="shared" si="161"/>
        <v>3Q16</v>
      </c>
      <c r="AO93" s="2272" t="str">
        <f t="shared" si="161"/>
        <v>4Q16</v>
      </c>
      <c r="AP93" s="2273" t="str">
        <f t="shared" si="161"/>
        <v>1Q17</v>
      </c>
      <c r="AQ93" s="2272" t="str">
        <f t="shared" si="161"/>
        <v>2Q17</v>
      </c>
      <c r="AR93" s="2272" t="str">
        <f t="shared" si="161"/>
        <v>3Q17</v>
      </c>
      <c r="AS93" s="2272" t="str">
        <f t="shared" si="161"/>
        <v>4Q17</v>
      </c>
      <c r="AT93" s="2273" t="str">
        <f t="shared" si="161"/>
        <v>1Q18E</v>
      </c>
      <c r="AU93" s="2272" t="str">
        <f t="shared" si="161"/>
        <v>2Q18E</v>
      </c>
      <c r="AV93" s="2272" t="str">
        <f t="shared" si="161"/>
        <v>3Q18E</v>
      </c>
      <c r="AW93" s="2272" t="str">
        <f t="shared" si="161"/>
        <v>4Q18E</v>
      </c>
      <c r="AX93" s="2065"/>
      <c r="AY93" s="2065"/>
      <c r="AZ93" s="2065"/>
      <c r="BA93" s="2065"/>
      <c r="BB93" s="2065"/>
      <c r="BC93" s="2065"/>
      <c r="BD93" s="2065"/>
      <c r="BE93" s="2065"/>
      <c r="BF93" s="2065"/>
      <c r="BG93" s="2065"/>
      <c r="BH93" s="2065"/>
      <c r="BI93" s="2065"/>
      <c r="BJ93" s="2065"/>
      <c r="BK93" s="2065"/>
      <c r="BL93" s="2065"/>
      <c r="BM93" s="2065"/>
      <c r="BN93" s="2065"/>
      <c r="BO93" s="2065"/>
      <c r="BP93" s="2065"/>
      <c r="BQ93" s="2065"/>
      <c r="BR93" s="2065"/>
      <c r="BS93" s="2065"/>
      <c r="BT93" s="2065"/>
      <c r="BU93" s="2065"/>
      <c r="BV93" s="2065"/>
      <c r="BW93" s="2065"/>
    </row>
    <row r="94" spans="1:75">
      <c r="A94" s="2076" t="s">
        <v>8</v>
      </c>
      <c r="B94" s="2079"/>
      <c r="C94" s="2079"/>
      <c r="D94" s="2079"/>
      <c r="E94" s="2079"/>
      <c r="F94" s="2157">
        <f>IS!AE17-IS!Y17</f>
        <v>12.018999999999998</v>
      </c>
      <c r="G94" s="2079">
        <f>IS!AF17-IS!Z17</f>
        <v>13.131999999999991</v>
      </c>
      <c r="H94" s="2079">
        <f>IS!AG17-IS!AA17</f>
        <v>8.3930000000000149</v>
      </c>
      <c r="I94" s="2079">
        <f>IS!AH17-IS!AB17</f>
        <v>-1.0439999999999969</v>
      </c>
      <c r="J94" s="2157">
        <f>IS!AK17-IS!AE17</f>
        <v>-1.9999999999999929</v>
      </c>
      <c r="K94" s="2079">
        <f>IS!AL17-IS!AF17</f>
        <v>-2.7999999999999972</v>
      </c>
      <c r="L94" s="2079">
        <f>IS!AM17-IS!AG17</f>
        <v>-0.40000000000000568</v>
      </c>
      <c r="M94" s="2079">
        <f>IS!AN17-IS!AH17</f>
        <v>8.4999999999999858</v>
      </c>
      <c r="N94" s="2157">
        <f>IS!AQ17-IS!AK17</f>
        <v>5.6999999999999815</v>
      </c>
      <c r="O94" s="2079">
        <f>IS!AR17-IS!AL17</f>
        <v>2.1000000000000014</v>
      </c>
      <c r="P94" s="2079">
        <f>IS!AS17-IS!AM17</f>
        <v>9.5999999999999943</v>
      </c>
      <c r="Q94" s="2079">
        <f>IS!AT17-IS!AN17</f>
        <v>20.700000000000045</v>
      </c>
      <c r="R94" s="2157">
        <f>IS!AW17-IS!AQ17</f>
        <v>23.000000000000014</v>
      </c>
      <c r="S94" s="2079">
        <f>IS!AX17-IS!AR17</f>
        <v>33.400000000000006</v>
      </c>
      <c r="T94" s="2079">
        <f>IS!AY17-IS!AS17</f>
        <v>28.599999999999994</v>
      </c>
      <c r="U94" s="2079">
        <f>IS!AZ17-IS!AT17</f>
        <v>20.399999999999977</v>
      </c>
      <c r="V94" s="2157">
        <f>IS!BC17-IS!AW17</f>
        <v>16.400000000000006</v>
      </c>
      <c r="W94" s="2079">
        <f>IS!BD17-IS!AX17</f>
        <v>13.799999999999983</v>
      </c>
      <c r="X94" s="2079">
        <f>IS!BE17-IS!AY17</f>
        <v>2.7000000000000171</v>
      </c>
      <c r="Y94" s="2079">
        <f>IS!BF17-IS!AZ17</f>
        <v>9.2999999999999545</v>
      </c>
      <c r="Z94" s="2157">
        <f>IS!BI17-IS!BC17</f>
        <v>-3.2000000000000171</v>
      </c>
      <c r="AA94" s="2079">
        <f>IS!BJ17-IS!BD17</f>
        <v>-7.4999999999999716</v>
      </c>
      <c r="AB94" s="2079">
        <f>IS!BK17-IS!BE17</f>
        <v>-7.1999999999999886</v>
      </c>
      <c r="AC94" s="2079">
        <f>IS!BL17-IS!BF17</f>
        <v>-13.200000000000045</v>
      </c>
      <c r="AD94" s="2157">
        <f>IS!BO17-IS!BI17</f>
        <v>5.1000000000000085</v>
      </c>
      <c r="AE94" s="2079">
        <f>IS!BP17-IS!BJ17</f>
        <v>6.7999999999999829</v>
      </c>
      <c r="AF94" s="2079">
        <f>IS!BQ17-IS!BK17</f>
        <v>0.29999999999998295</v>
      </c>
      <c r="AG94" s="2079">
        <f>IS!BR17-IS!BL17</f>
        <v>-3.6999999999999176</v>
      </c>
      <c r="AH94" s="2157">
        <f>IS!BU17-IS!BO17</f>
        <v>-24.600000000000009</v>
      </c>
      <c r="AI94" s="2079">
        <f>IS!BV17-IS!BP17</f>
        <v>-12.799999999999997</v>
      </c>
      <c r="AJ94" s="2079">
        <f>IS!BW17-IS!BQ17</f>
        <v>-8.5</v>
      </c>
      <c r="AK94" s="2079">
        <f>IS!BX17-IS!BR17</f>
        <v>-5.4000000000000057</v>
      </c>
      <c r="AL94" s="2157">
        <f>IS!CA17-IS!BU17</f>
        <v>7.1000000000000085</v>
      </c>
      <c r="AM94" s="2079">
        <f>IS!CB17-IS!BV17</f>
        <v>-8.1000000000000085</v>
      </c>
      <c r="AN94" s="2079">
        <f>IS!CC17-IS!BW17</f>
        <v>4.7999999999999972</v>
      </c>
      <c r="AO94" s="2079">
        <f>IS!CD17-IS!BX17</f>
        <v>-7.2000000000000171</v>
      </c>
      <c r="AP94" s="2157">
        <f>IS!CG17-IS!CA17</f>
        <v>5.5</v>
      </c>
      <c r="AQ94" s="2079">
        <f>IS!CH17-IS!CB17</f>
        <v>6.3999999999999915</v>
      </c>
      <c r="AR94" s="2079">
        <f>IS!CI17-IS!CC17</f>
        <v>6.3000000000000114</v>
      </c>
      <c r="AS94" s="2079">
        <f>IS!CJ17-IS!CD17</f>
        <v>10.700000000000031</v>
      </c>
      <c r="AT94" s="2157">
        <f>IS!CM17-IS!CG17</f>
        <v>0.98001384355546861</v>
      </c>
      <c r="AU94" s="2079">
        <f>IS!CN17-IS!CH17</f>
        <v>2.3454024232138266</v>
      </c>
      <c r="AV94" s="2079">
        <f>IS!CO17-IS!CI17</f>
        <v>2.7729536610143981</v>
      </c>
      <c r="AW94" s="2079">
        <f>IS!CP17-IS!CJ17</f>
        <v>19.586659727893817</v>
      </c>
      <c r="AX94" s="2063"/>
      <c r="AY94" s="2063"/>
      <c r="AZ94" s="2063"/>
      <c r="BA94" s="2063"/>
      <c r="BB94" s="2063"/>
      <c r="BC94" s="2063"/>
      <c r="BD94" s="2063"/>
      <c r="BE94" s="2063"/>
      <c r="BF94" s="2063"/>
      <c r="BG94" s="2063"/>
      <c r="BH94" s="2063"/>
      <c r="BI94" s="2063"/>
      <c r="BJ94" s="2063"/>
      <c r="BK94" s="2063"/>
      <c r="BL94" s="2063"/>
      <c r="BM94" s="2063"/>
      <c r="BN94" s="2063"/>
      <c r="BO94" s="2063"/>
      <c r="BP94" s="2063"/>
      <c r="BQ94" s="2063"/>
      <c r="BR94" s="2063"/>
      <c r="BS94" s="2063"/>
      <c r="BT94" s="2063"/>
      <c r="BU94" s="2063"/>
      <c r="BV94" s="2063"/>
      <c r="BW94" s="2063"/>
    </row>
    <row r="95" spans="1:75">
      <c r="A95" s="2088" t="s">
        <v>47</v>
      </c>
      <c r="B95" s="2089"/>
      <c r="C95" s="2089"/>
      <c r="D95" s="2089"/>
      <c r="E95" s="2089"/>
      <c r="F95" s="2163">
        <f>IS!AE16-IS!Y16</f>
        <v>5.2360000000000007</v>
      </c>
      <c r="G95" s="2089">
        <f>IS!AF16-IS!Z16</f>
        <v>8.843</v>
      </c>
      <c r="H95" s="2089">
        <f>IS!AG16-IS!AA16</f>
        <v>6.2590000000000003</v>
      </c>
      <c r="I95" s="2089">
        <f>IS!AH16-IS!AB16</f>
        <v>2.6620000000000061</v>
      </c>
      <c r="J95" s="2163">
        <f>IS!AK16-IS!AE16</f>
        <v>-2.0999999999999979</v>
      </c>
      <c r="K95" s="2089">
        <f>IS!AL16-IS!AF16</f>
        <v>-5.3999999999999986</v>
      </c>
      <c r="L95" s="2089">
        <f>IS!AM16-IS!AG16</f>
        <v>-1.5</v>
      </c>
      <c r="M95" s="2089">
        <f>IS!AN16-IS!AH16</f>
        <v>1.5999999999999872</v>
      </c>
      <c r="N95" s="2163">
        <f>IS!AQ16-IS!AK16</f>
        <v>3.6999999999999957</v>
      </c>
      <c r="O95" s="2089">
        <f>IS!AR16-IS!AL16</f>
        <v>9.9999999999997868E-2</v>
      </c>
      <c r="P95" s="2089">
        <f>IS!AS16-IS!AM16</f>
        <v>0.89999999999999858</v>
      </c>
      <c r="Q95" s="2089">
        <f>IS!AT16-IS!AN16</f>
        <v>10.300000000000011</v>
      </c>
      <c r="R95" s="2163">
        <f>IS!AW16-IS!AQ16</f>
        <v>11.900000000000006</v>
      </c>
      <c r="S95" s="2089">
        <f>IS!AX16-IS!AR16</f>
        <v>13.099999999999998</v>
      </c>
      <c r="T95" s="2089">
        <f>IS!AY16-IS!AS16</f>
        <v>11</v>
      </c>
      <c r="U95" s="2089">
        <f>IS!AZ16-IS!AT16</f>
        <v>-0.20000000000001705</v>
      </c>
      <c r="V95" s="2163">
        <f>IS!BC16-IS!AW16</f>
        <v>3.5</v>
      </c>
      <c r="W95" s="2089">
        <f>IS!BD16-IS!AX16</f>
        <v>7.6000000000000014</v>
      </c>
      <c r="X95" s="2089">
        <f>IS!BE16-IS!AY16</f>
        <v>1.3999999999999986</v>
      </c>
      <c r="Y95" s="2089">
        <f>IS!BF16-IS!AZ16</f>
        <v>5.6000000000000227</v>
      </c>
      <c r="Z95" s="2163">
        <f>IS!BI16-IS!BC16</f>
        <v>1.1999999999999957</v>
      </c>
      <c r="AA95" s="2089">
        <f>IS!BJ16-IS!BD16</f>
        <v>-5.3999999999999986</v>
      </c>
      <c r="AB95" s="2089">
        <f>IS!BK16-IS!BE16</f>
        <v>0.60000000000000142</v>
      </c>
      <c r="AC95" s="2089">
        <f>IS!BL16-IS!BF16</f>
        <v>-1.2000000000000171</v>
      </c>
      <c r="AD95" s="2163">
        <f>IS!BO16-IS!BI16</f>
        <v>-3.3999999999999986</v>
      </c>
      <c r="AE95" s="2089">
        <f>IS!BP16-IS!BJ16</f>
        <v>-2</v>
      </c>
      <c r="AF95" s="2089">
        <f>IS!BQ16-IS!BK16</f>
        <v>-3.3999999999999986</v>
      </c>
      <c r="AG95" s="2089">
        <f>IS!BR16-IS!BL16</f>
        <v>-7.5</v>
      </c>
      <c r="AH95" s="2163">
        <f>IS!BU16-IS!BO16</f>
        <v>-8.7999999999999972</v>
      </c>
      <c r="AI95" s="2089">
        <f>IS!BV16-IS!BP16</f>
        <v>-7</v>
      </c>
      <c r="AJ95" s="2089">
        <f>IS!BW16-IS!BQ16</f>
        <v>-7.8000000000000043</v>
      </c>
      <c r="AK95" s="2089">
        <f>IS!BX16-IS!BR16</f>
        <v>-4.8999999999999915</v>
      </c>
      <c r="AL95" s="2163">
        <f>IS!CA16-IS!BU16</f>
        <v>-1.1000000000000014</v>
      </c>
      <c r="AM95" s="2089">
        <f>IS!CB16-IS!BV16</f>
        <v>-0.70000000000000284</v>
      </c>
      <c r="AN95" s="2089">
        <f>IS!CC16-IS!BW16</f>
        <v>3.6000000000000014</v>
      </c>
      <c r="AO95" s="2089">
        <f>IS!CD16-IS!BX16</f>
        <v>1.5</v>
      </c>
      <c r="AP95" s="2163">
        <f>IS!CG16-IS!CA16</f>
        <v>1.5</v>
      </c>
      <c r="AQ95" s="2089">
        <f>IS!CH16-IS!CB16</f>
        <v>3.9000000000000057</v>
      </c>
      <c r="AR95" s="2089">
        <f>IS!CI16-IS!CC16</f>
        <v>3</v>
      </c>
      <c r="AS95" s="2089">
        <f>IS!CJ16-IS!CD16</f>
        <v>5.2999999999999972</v>
      </c>
      <c r="AT95" s="2163">
        <f>IS!CM16-IS!CG16</f>
        <v>1.8019788674917407</v>
      </c>
      <c r="AU95" s="2089">
        <f>IS!CN16-IS!CH16</f>
        <v>-0.3115586306776521</v>
      </c>
      <c r="AV95" s="2089">
        <f>IS!CO16-IS!CI16</f>
        <v>1.0429806747728279</v>
      </c>
      <c r="AW95" s="2089">
        <f>IS!CP16-IS!CJ16</f>
        <v>8.3742571959377798</v>
      </c>
      <c r="AX95" s="2063"/>
      <c r="AY95" s="2063"/>
      <c r="AZ95" s="2063"/>
      <c r="BA95" s="2063"/>
      <c r="BB95" s="2063"/>
      <c r="BC95" s="2063"/>
      <c r="BD95" s="2063"/>
      <c r="BE95" s="2063"/>
      <c r="BF95" s="2063"/>
      <c r="BG95" s="2063"/>
      <c r="BH95" s="2063"/>
      <c r="BI95" s="2063"/>
      <c r="BJ95" s="2063"/>
      <c r="BK95" s="2063"/>
      <c r="BL95" s="2063"/>
      <c r="BM95" s="2063"/>
      <c r="BN95" s="2063"/>
      <c r="BO95" s="2063"/>
      <c r="BP95" s="2063"/>
      <c r="BQ95" s="2063"/>
      <c r="BR95" s="2063"/>
      <c r="BS95" s="2063"/>
      <c r="BT95" s="2063"/>
      <c r="BU95" s="2063"/>
      <c r="BV95" s="2063"/>
      <c r="BW95" s="2063"/>
    </row>
    <row r="96" spans="1:75">
      <c r="A96" s="2076" t="s">
        <v>528</v>
      </c>
      <c r="B96" s="2079"/>
      <c r="C96" s="2079"/>
      <c r="D96" s="2079"/>
      <c r="E96" s="2079"/>
      <c r="F96" s="2157">
        <f>IS!AE20-IS!Y20</f>
        <v>2.1969999999999885</v>
      </c>
      <c r="G96" s="2079">
        <f>IS!AF20-IS!Z20</f>
        <v>7.7100000000000222</v>
      </c>
      <c r="H96" s="2079">
        <f>IS!AG20-IS!AA20</f>
        <v>-14.659999999999968</v>
      </c>
      <c r="I96" s="2079">
        <f>IS!AH20-IS!AB20</f>
        <v>-21.347000000000179</v>
      </c>
      <c r="J96" s="2157">
        <f>IS!AK20-IS!AE20</f>
        <v>-7.2000000000000171</v>
      </c>
      <c r="K96" s="2079">
        <f>IS!AL20-IS!AF20</f>
        <v>-10.200000000000017</v>
      </c>
      <c r="L96" s="2079">
        <f>IS!AM20-IS!AG20</f>
        <v>9.9999999999999432</v>
      </c>
      <c r="M96" s="2079">
        <f>IS!AN20-IS!AH20</f>
        <v>18.400000000000063</v>
      </c>
      <c r="N96" s="2157">
        <f>IS!AQ20-IS!AK20</f>
        <v>14.400000000000034</v>
      </c>
      <c r="O96" s="2079">
        <f>IS!AR20-IS!AL20</f>
        <v>22.699999999999974</v>
      </c>
      <c r="P96" s="2079">
        <f>IS!AS20-IS!AM20</f>
        <v>22.300000000000054</v>
      </c>
      <c r="Q96" s="2079">
        <f>IS!AT20-IS!AN20</f>
        <v>-4.0000000000000284</v>
      </c>
      <c r="R96" s="2157">
        <f>IS!AW20-IS!AQ20</f>
        <v>8.0999999999999801</v>
      </c>
      <c r="S96" s="2079">
        <f>IS!AX20-IS!AR20</f>
        <v>9.8000000000001393</v>
      </c>
      <c r="T96" s="2079">
        <f>IS!AY20-IS!AS20</f>
        <v>3.4999999999999858</v>
      </c>
      <c r="U96" s="2079">
        <f>IS!AZ20-IS!AT20</f>
        <v>-4.3000000000001251</v>
      </c>
      <c r="V96" s="2157">
        <f>IS!BC20-IS!AW20</f>
        <v>5.9999999999999716</v>
      </c>
      <c r="W96" s="2079">
        <f>IS!BD20-IS!AX20</f>
        <v>-19.200000000000074</v>
      </c>
      <c r="X96" s="2079">
        <f>IS!BE20-IS!AY20</f>
        <v>17.200000000000017</v>
      </c>
      <c r="Y96" s="2079">
        <f>IS!BF20-IS!AZ20</f>
        <v>10.300000000000296</v>
      </c>
      <c r="Z96" s="2157">
        <f>IS!BI20-IS!BC20</f>
        <v>-19.999999999999915</v>
      </c>
      <c r="AA96" s="2079">
        <f>IS!BJ20-IS!BD20</f>
        <v>20.299999999999955</v>
      </c>
      <c r="AB96" s="2079">
        <f>IS!BK20-IS!BE20</f>
        <v>-22.100000000000051</v>
      </c>
      <c r="AC96" s="2079">
        <f>IS!BL20-IS!BF20</f>
        <v>8.2999999999999829</v>
      </c>
      <c r="AD96" s="2157">
        <f>IS!BO20-IS!BI20</f>
        <v>8.5</v>
      </c>
      <c r="AE96" s="2079">
        <f>IS!BP20-IS!BJ20</f>
        <v>-0.60000000000002274</v>
      </c>
      <c r="AF96" s="2079">
        <f>IS!BQ20-IS!BK20</f>
        <v>-11.399999999999977</v>
      </c>
      <c r="AG96" s="2079">
        <f>IS!BR20-IS!BL20</f>
        <v>-17.599999999999994</v>
      </c>
      <c r="AH96" s="2157">
        <f>IS!BU20-IS!BO20</f>
        <v>3.6999999999999602</v>
      </c>
      <c r="AI96" s="2079">
        <f>IS!BV20-IS!BP20</f>
        <v>-9.7999999999999829</v>
      </c>
      <c r="AJ96" s="2079">
        <f>IS!BW20-IS!BQ20</f>
        <v>16.900000000000034</v>
      </c>
      <c r="AK96" s="2079">
        <f>IS!BX20-IS!BR20</f>
        <v>19.999999999999801</v>
      </c>
      <c r="AL96" s="2157">
        <f>IS!CA20-IS!BU20</f>
        <v>11.500000000000028</v>
      </c>
      <c r="AM96" s="2079">
        <f>IS!CB20-IS!BV20</f>
        <v>-2.8999999999999204</v>
      </c>
      <c r="AN96" s="2079">
        <f>IS!CC20-IS!BW20</f>
        <v>5.7999999999999545</v>
      </c>
      <c r="AO96" s="2079">
        <f>IS!CD20-IS!BX20</f>
        <v>8.3000000000000398</v>
      </c>
      <c r="AP96" s="2157">
        <f>IS!CG20-IS!CA20</f>
        <v>1.8999999999999488</v>
      </c>
      <c r="AQ96" s="2079">
        <f>IS!CH20-IS!CB20</f>
        <v>11.699999999999932</v>
      </c>
      <c r="AR96" s="2079">
        <f>IS!CI20-IS!CC20</f>
        <v>5.7999999999999829</v>
      </c>
      <c r="AS96" s="2079">
        <f>IS!CJ20-IS!CD20</f>
        <v>18.800000000000267</v>
      </c>
      <c r="AT96" s="2157">
        <f>IS!CM20-IS!CG20</f>
        <v>5.2674525130522625</v>
      </c>
      <c r="AU96" s="2079">
        <f>IS!CN20-IS!CH20</f>
        <v>4.231235580284789</v>
      </c>
      <c r="AV96" s="2079">
        <f>IS!CO20-IS!CI20</f>
        <v>13.681962180738282</v>
      </c>
      <c r="AW96" s="2079">
        <f>IS!CP20-IS!CJ20</f>
        <v>9.0288720161093465</v>
      </c>
      <c r="AX96" s="2063"/>
      <c r="AY96" s="2063"/>
      <c r="AZ96" s="2063"/>
      <c r="BA96" s="2063"/>
      <c r="BB96" s="2063"/>
      <c r="BC96" s="2063"/>
      <c r="BD96" s="2063"/>
      <c r="BE96" s="2063"/>
      <c r="BF96" s="2063"/>
      <c r="BG96" s="2063"/>
      <c r="BH96" s="2063"/>
      <c r="BI96" s="2063"/>
      <c r="BJ96" s="2063"/>
      <c r="BK96" s="2063"/>
      <c r="BL96" s="2063"/>
      <c r="BM96" s="2063"/>
      <c r="BN96" s="2063"/>
      <c r="BO96" s="2063"/>
      <c r="BP96" s="2063"/>
      <c r="BQ96" s="2063"/>
      <c r="BR96" s="2063"/>
      <c r="BS96" s="2063"/>
      <c r="BT96" s="2063"/>
      <c r="BU96" s="2063"/>
      <c r="BV96" s="2063"/>
      <c r="BW96" s="2063"/>
    </row>
    <row r="97" spans="1:75" s="2065" customFormat="1">
      <c r="A97" s="2076"/>
      <c r="B97" s="2079"/>
      <c r="C97" s="2079"/>
      <c r="D97" s="2079"/>
      <c r="E97" s="2079"/>
      <c r="F97" s="2079"/>
      <c r="G97" s="2079"/>
      <c r="H97" s="2079"/>
      <c r="I97" s="2079"/>
      <c r="J97" s="2079"/>
      <c r="K97" s="2079"/>
      <c r="L97" s="2079"/>
      <c r="M97" s="2079"/>
      <c r="N97" s="2079"/>
      <c r="O97" s="2079"/>
      <c r="P97" s="2079"/>
      <c r="Q97" s="2079"/>
      <c r="R97" s="2079"/>
      <c r="S97" s="2079"/>
      <c r="T97" s="2079"/>
      <c r="U97" s="2079"/>
      <c r="V97" s="2079"/>
      <c r="W97" s="2079"/>
      <c r="X97" s="2079"/>
      <c r="Y97" s="2079"/>
      <c r="Z97" s="2079"/>
      <c r="AA97" s="2079"/>
      <c r="AB97" s="2079"/>
      <c r="AC97" s="2079"/>
      <c r="AD97" s="2079"/>
      <c r="AE97" s="2079"/>
      <c r="AF97" s="2076"/>
      <c r="AG97" s="2076"/>
      <c r="AH97" s="2076"/>
      <c r="AI97" s="2076"/>
      <c r="AJ97" s="2076"/>
      <c r="AK97" s="2076"/>
      <c r="AL97" s="2076"/>
      <c r="AM97" s="2076"/>
      <c r="AN97" s="2076"/>
      <c r="AO97" s="2076"/>
      <c r="AP97" s="2076"/>
      <c r="AQ97" s="2076"/>
      <c r="AR97" s="2076"/>
      <c r="AS97" s="2076"/>
      <c r="AT97" s="2076"/>
      <c r="AU97" s="2076"/>
      <c r="AV97" s="2076"/>
      <c r="AW97" s="2076"/>
      <c r="AX97" s="2081"/>
      <c r="AY97" s="2081"/>
      <c r="AZ97" s="2081"/>
      <c r="BA97" s="2081"/>
      <c r="BB97" s="2081"/>
      <c r="BC97" s="2081"/>
      <c r="BD97" s="2081"/>
      <c r="BE97" s="2081"/>
      <c r="BF97" s="2081"/>
      <c r="BG97" s="2081"/>
      <c r="BH97" s="2081"/>
      <c r="BI97" s="2081"/>
      <c r="BJ97" s="2081"/>
      <c r="BK97" s="2081"/>
      <c r="BL97" s="2081"/>
      <c r="BM97" s="2081"/>
      <c r="BN97" s="2081"/>
      <c r="BO97" s="2081"/>
      <c r="BP97" s="2081"/>
      <c r="BQ97" s="2081"/>
      <c r="BR97" s="2081"/>
      <c r="BS97" s="2081"/>
      <c r="BT97" s="2081"/>
      <c r="BU97" s="2081"/>
      <c r="BV97" s="2081"/>
      <c r="BW97" s="2081"/>
    </row>
    <row r="98" spans="1:75" s="2065" customFormat="1">
      <c r="A98" s="2108" t="s">
        <v>534</v>
      </c>
      <c r="B98" s="2079"/>
      <c r="C98" s="2079"/>
      <c r="D98" s="2079"/>
      <c r="E98" s="2172"/>
      <c r="F98" s="2172"/>
      <c r="G98" s="2172"/>
      <c r="H98" s="2079"/>
      <c r="I98" s="2079"/>
      <c r="J98" s="2079"/>
      <c r="K98" s="2079"/>
      <c r="L98" s="2079"/>
      <c r="M98" s="2079"/>
      <c r="N98" s="2079"/>
      <c r="O98" s="2079"/>
      <c r="P98" s="2079"/>
      <c r="Q98" s="2079"/>
      <c r="R98" s="2079"/>
      <c r="S98" s="2079"/>
      <c r="T98" s="2079"/>
      <c r="U98" s="2079"/>
      <c r="V98" s="2079"/>
      <c r="W98" s="2079"/>
      <c r="X98" s="2079"/>
      <c r="Y98" s="2079"/>
      <c r="Z98" s="2079"/>
      <c r="AA98" s="2079"/>
      <c r="AB98" s="2079"/>
      <c r="AC98" s="2079"/>
      <c r="AD98" s="2079"/>
      <c r="AE98" s="2079"/>
      <c r="AF98" s="2076"/>
      <c r="AG98" s="2076"/>
      <c r="AH98" s="2076"/>
      <c r="AI98" s="2076"/>
      <c r="AJ98" s="2076"/>
      <c r="AK98" s="2076"/>
      <c r="AL98" s="2076"/>
      <c r="AM98" s="2076"/>
      <c r="AN98" s="2076"/>
      <c r="AO98" s="2076"/>
      <c r="AP98" s="2076"/>
      <c r="AQ98" s="2076"/>
      <c r="AR98" s="2076"/>
      <c r="AS98" s="2076"/>
      <c r="AT98" s="2076"/>
      <c r="AU98" s="2076"/>
      <c r="AV98" s="2076"/>
      <c r="AW98" s="2076"/>
      <c r="AX98" s="2081"/>
      <c r="AY98" s="2081"/>
      <c r="AZ98" s="2081"/>
      <c r="BA98" s="2081"/>
      <c r="BB98" s="2081"/>
      <c r="BC98" s="2081"/>
      <c r="BD98" s="2081"/>
      <c r="BE98" s="2081"/>
      <c r="BF98" s="2081"/>
      <c r="BG98" s="2081"/>
      <c r="BH98" s="2081"/>
      <c r="BI98" s="2081"/>
      <c r="BJ98" s="2081"/>
      <c r="BK98" s="2081"/>
      <c r="BL98" s="2081"/>
      <c r="BM98" s="2081"/>
      <c r="BN98" s="2081"/>
      <c r="BO98" s="2081"/>
      <c r="BP98" s="2081"/>
      <c r="BQ98" s="2081"/>
      <c r="BR98" s="2081"/>
      <c r="BS98" s="2081"/>
      <c r="BT98" s="2081"/>
      <c r="BU98" s="2081"/>
      <c r="BV98" s="2081"/>
      <c r="BW98" s="2081"/>
    </row>
    <row r="99" spans="1:75">
      <c r="A99" s="2272"/>
      <c r="B99" s="2272" t="str">
        <f>B93</f>
        <v>1Q07</v>
      </c>
      <c r="C99" s="2272" t="str">
        <f t="shared" ref="C99:AS99" si="162">C93</f>
        <v>2Q07</v>
      </c>
      <c r="D99" s="2272" t="str">
        <f t="shared" si="162"/>
        <v>3Q07</v>
      </c>
      <c r="E99" s="2272" t="str">
        <f t="shared" si="162"/>
        <v>4Q07</v>
      </c>
      <c r="F99" s="2273" t="str">
        <f t="shared" si="162"/>
        <v>1Q08</v>
      </c>
      <c r="G99" s="2272" t="str">
        <f t="shared" si="162"/>
        <v>2Q08</v>
      </c>
      <c r="H99" s="2272" t="str">
        <f t="shared" si="162"/>
        <v>3Q08</v>
      </c>
      <c r="I99" s="2272" t="str">
        <f t="shared" si="162"/>
        <v>4Q08</v>
      </c>
      <c r="J99" s="2273" t="str">
        <f t="shared" si="162"/>
        <v>1Q09</v>
      </c>
      <c r="K99" s="2272" t="str">
        <f t="shared" si="162"/>
        <v>2Q09</v>
      </c>
      <c r="L99" s="2272" t="str">
        <f t="shared" si="162"/>
        <v>3Q09</v>
      </c>
      <c r="M99" s="2272" t="str">
        <f t="shared" si="162"/>
        <v>4Q09</v>
      </c>
      <c r="N99" s="2273" t="str">
        <f t="shared" si="162"/>
        <v>1Q10</v>
      </c>
      <c r="O99" s="2272" t="str">
        <f t="shared" si="162"/>
        <v>2Q10</v>
      </c>
      <c r="P99" s="2272" t="str">
        <f t="shared" si="162"/>
        <v>3Q10</v>
      </c>
      <c r="Q99" s="2272" t="str">
        <f t="shared" si="162"/>
        <v>4Q10</v>
      </c>
      <c r="R99" s="2273" t="str">
        <f t="shared" si="162"/>
        <v>1Q11</v>
      </c>
      <c r="S99" s="2272" t="str">
        <f t="shared" si="162"/>
        <v>2Q11</v>
      </c>
      <c r="T99" s="2272" t="str">
        <f t="shared" si="162"/>
        <v>3Q11</v>
      </c>
      <c r="U99" s="2272" t="str">
        <f t="shared" si="162"/>
        <v>4Q11</v>
      </c>
      <c r="V99" s="2273" t="str">
        <f t="shared" si="162"/>
        <v>1Q12</v>
      </c>
      <c r="W99" s="2272" t="str">
        <f t="shared" si="162"/>
        <v>2Q12</v>
      </c>
      <c r="X99" s="2272" t="str">
        <f t="shared" si="162"/>
        <v>3Q12</v>
      </c>
      <c r="Y99" s="2272" t="str">
        <f t="shared" si="162"/>
        <v>4Q12</v>
      </c>
      <c r="Z99" s="2273" t="str">
        <f t="shared" si="162"/>
        <v>1Q13</v>
      </c>
      <c r="AA99" s="2272" t="str">
        <f t="shared" si="162"/>
        <v>2Q13</v>
      </c>
      <c r="AB99" s="2272" t="str">
        <f t="shared" si="162"/>
        <v>3Q13</v>
      </c>
      <c r="AC99" s="2272" t="str">
        <f t="shared" si="162"/>
        <v>4Q13</v>
      </c>
      <c r="AD99" s="2273" t="str">
        <f t="shared" si="162"/>
        <v>1Q14</v>
      </c>
      <c r="AE99" s="2272" t="str">
        <f t="shared" si="162"/>
        <v>2Q14</v>
      </c>
      <c r="AF99" s="2272" t="str">
        <f t="shared" si="162"/>
        <v>3Q14</v>
      </c>
      <c r="AG99" s="2272" t="str">
        <f t="shared" si="162"/>
        <v>4Q14</v>
      </c>
      <c r="AH99" s="2273" t="str">
        <f t="shared" si="162"/>
        <v>1Q15</v>
      </c>
      <c r="AI99" s="2272" t="str">
        <f t="shared" si="162"/>
        <v>2Q15</v>
      </c>
      <c r="AJ99" s="2272" t="str">
        <f t="shared" si="162"/>
        <v>3Q15</v>
      </c>
      <c r="AK99" s="2272" t="str">
        <f t="shared" si="162"/>
        <v>4Q15</v>
      </c>
      <c r="AL99" s="2273" t="str">
        <f t="shared" si="162"/>
        <v>1Q16</v>
      </c>
      <c r="AM99" s="2272" t="str">
        <f t="shared" si="162"/>
        <v>2Q16</v>
      </c>
      <c r="AN99" s="2272" t="str">
        <f t="shared" si="162"/>
        <v>3Q16</v>
      </c>
      <c r="AO99" s="2272" t="str">
        <f t="shared" si="162"/>
        <v>4Q16</v>
      </c>
      <c r="AP99" s="2273" t="str">
        <f t="shared" si="162"/>
        <v>1Q17</v>
      </c>
      <c r="AQ99" s="2272" t="str">
        <f t="shared" si="162"/>
        <v>2Q17</v>
      </c>
      <c r="AR99" s="2272" t="str">
        <f t="shared" si="162"/>
        <v>3Q17</v>
      </c>
      <c r="AS99" s="2272" t="str">
        <f t="shared" si="162"/>
        <v>4Q17</v>
      </c>
      <c r="AT99" s="2273" t="str">
        <f t="shared" ref="AT99:AW99" si="163">AT93</f>
        <v>1Q18E</v>
      </c>
      <c r="AU99" s="2272" t="str">
        <f t="shared" si="163"/>
        <v>2Q18E</v>
      </c>
      <c r="AV99" s="2272" t="str">
        <f t="shared" si="163"/>
        <v>3Q18E</v>
      </c>
      <c r="AW99" s="2272" t="str">
        <f t="shared" si="163"/>
        <v>4Q18E</v>
      </c>
      <c r="AX99" s="2065"/>
      <c r="AY99" s="2065"/>
      <c r="AZ99" s="2065"/>
      <c r="BA99" s="2065"/>
      <c r="BB99" s="2065"/>
      <c r="BC99" s="2065"/>
      <c r="BD99" s="2065"/>
      <c r="BE99" s="2065"/>
      <c r="BF99" s="2065"/>
      <c r="BG99" s="2065"/>
      <c r="BH99" s="2065"/>
      <c r="BI99" s="2065"/>
      <c r="BJ99" s="2065"/>
      <c r="BK99" s="2065"/>
      <c r="BL99" s="2065"/>
      <c r="BM99" s="2065"/>
      <c r="BN99" s="2065"/>
      <c r="BO99" s="2065"/>
      <c r="BP99" s="2065"/>
      <c r="BQ99" s="2065"/>
      <c r="BR99" s="2065"/>
      <c r="BS99" s="2065"/>
      <c r="BT99" s="2065"/>
      <c r="BU99" s="2065"/>
      <c r="BV99" s="2065"/>
      <c r="BW99" s="2065"/>
    </row>
    <row r="100" spans="1:75">
      <c r="A100" s="2076" t="str">
        <f>A94</f>
        <v>SG&amp;A</v>
      </c>
      <c r="B100" s="2079"/>
      <c r="C100" s="2079"/>
      <c r="D100" s="2079"/>
      <c r="E100" s="2079"/>
      <c r="F100" s="2157"/>
      <c r="G100" s="2079"/>
      <c r="H100" s="2079"/>
      <c r="I100" s="2079"/>
      <c r="J100" s="2157">
        <f t="shared" ref="J100:S102" si="164">J94+F94</f>
        <v>10.019000000000005</v>
      </c>
      <c r="K100" s="2079">
        <f t="shared" si="164"/>
        <v>10.331999999999994</v>
      </c>
      <c r="L100" s="2079">
        <f t="shared" si="164"/>
        <v>7.9930000000000092</v>
      </c>
      <c r="M100" s="2079">
        <f t="shared" si="164"/>
        <v>7.4559999999999889</v>
      </c>
      <c r="N100" s="2157">
        <f t="shared" si="164"/>
        <v>3.6999999999999886</v>
      </c>
      <c r="O100" s="2079">
        <f t="shared" si="164"/>
        <v>-0.69999999999999574</v>
      </c>
      <c r="P100" s="2079">
        <f t="shared" si="164"/>
        <v>9.1999999999999886</v>
      </c>
      <c r="Q100" s="2079">
        <f t="shared" si="164"/>
        <v>29.200000000000031</v>
      </c>
      <c r="R100" s="2157">
        <f t="shared" si="164"/>
        <v>28.699999999999996</v>
      </c>
      <c r="S100" s="2079">
        <f t="shared" si="164"/>
        <v>35.500000000000007</v>
      </c>
      <c r="T100" s="2079">
        <f t="shared" ref="T100:AC102" si="165">T94+P94</f>
        <v>38.199999999999989</v>
      </c>
      <c r="U100" s="2079">
        <f t="shared" si="165"/>
        <v>41.100000000000023</v>
      </c>
      <c r="V100" s="2157">
        <f t="shared" si="165"/>
        <v>39.40000000000002</v>
      </c>
      <c r="W100" s="2079">
        <f t="shared" si="165"/>
        <v>47.199999999999989</v>
      </c>
      <c r="X100" s="2079">
        <f t="shared" si="165"/>
        <v>31.300000000000011</v>
      </c>
      <c r="Y100" s="2079">
        <f t="shared" si="165"/>
        <v>29.699999999999932</v>
      </c>
      <c r="Z100" s="2157">
        <f t="shared" si="165"/>
        <v>13.199999999999989</v>
      </c>
      <c r="AA100" s="2079">
        <f t="shared" si="165"/>
        <v>6.3000000000000114</v>
      </c>
      <c r="AB100" s="2079">
        <f t="shared" si="165"/>
        <v>-4.4999999999999716</v>
      </c>
      <c r="AC100" s="2079">
        <f t="shared" si="165"/>
        <v>-3.9000000000000909</v>
      </c>
      <c r="AD100" s="2157">
        <f t="shared" ref="AD100:AM102" si="166">AD94+Z94</f>
        <v>1.8999999999999915</v>
      </c>
      <c r="AE100" s="2079">
        <f t="shared" si="166"/>
        <v>-0.69999999999998863</v>
      </c>
      <c r="AF100" s="2079">
        <f t="shared" si="166"/>
        <v>-6.9000000000000057</v>
      </c>
      <c r="AG100" s="2079">
        <f t="shared" si="166"/>
        <v>-16.899999999999963</v>
      </c>
      <c r="AH100" s="2157">
        <f t="shared" si="166"/>
        <v>-19.5</v>
      </c>
      <c r="AI100" s="2079">
        <f t="shared" si="166"/>
        <v>-6.0000000000000142</v>
      </c>
      <c r="AJ100" s="2079">
        <f t="shared" si="166"/>
        <v>-8.2000000000000171</v>
      </c>
      <c r="AK100" s="2079">
        <f t="shared" si="166"/>
        <v>-9.0999999999999233</v>
      </c>
      <c r="AL100" s="2157">
        <f t="shared" si="166"/>
        <v>-17.5</v>
      </c>
      <c r="AM100" s="2079">
        <f t="shared" si="166"/>
        <v>-20.900000000000006</v>
      </c>
      <c r="AN100" s="2079">
        <f t="shared" ref="AN100:AS102" si="167">AN94+AJ94</f>
        <v>-3.7000000000000028</v>
      </c>
      <c r="AO100" s="2079">
        <f t="shared" si="167"/>
        <v>-12.600000000000023</v>
      </c>
      <c r="AP100" s="2157">
        <f t="shared" si="167"/>
        <v>12.600000000000009</v>
      </c>
      <c r="AQ100" s="2079">
        <f t="shared" si="167"/>
        <v>-1.7000000000000171</v>
      </c>
      <c r="AR100" s="2079">
        <f t="shared" si="167"/>
        <v>11.100000000000009</v>
      </c>
      <c r="AS100" s="2079">
        <f t="shared" si="167"/>
        <v>3.5000000000000142</v>
      </c>
      <c r="AT100" s="2157">
        <f t="shared" ref="AT100:AT102" si="168">AT94+AP94</f>
        <v>6.4800138435554686</v>
      </c>
      <c r="AU100" s="2079">
        <f t="shared" ref="AU100:AU102" si="169">AU94+AQ94</f>
        <v>8.7454024232138181</v>
      </c>
      <c r="AV100" s="2079">
        <f t="shared" ref="AV100:AV102" si="170">AV94+AR94</f>
        <v>9.0729536610144095</v>
      </c>
      <c r="AW100" s="2079">
        <f t="shared" ref="AW100:AW102" si="171">AW94+AS94</f>
        <v>30.286659727893849</v>
      </c>
      <c r="AX100" s="2063"/>
      <c r="AY100" s="2063"/>
      <c r="AZ100" s="2063"/>
      <c r="BA100" s="2063"/>
      <c r="BB100" s="2063"/>
      <c r="BC100" s="2063"/>
      <c r="BD100" s="2063"/>
      <c r="BE100" s="2063"/>
      <c r="BF100" s="2063"/>
      <c r="BG100" s="2063"/>
      <c r="BH100" s="2063"/>
      <c r="BI100" s="2063"/>
      <c r="BJ100" s="2063"/>
      <c r="BK100" s="2063"/>
      <c r="BL100" s="2063"/>
      <c r="BM100" s="2063"/>
      <c r="BN100" s="2063"/>
      <c r="BO100" s="2063"/>
      <c r="BP100" s="2063"/>
      <c r="BQ100" s="2063"/>
      <c r="BR100" s="2063"/>
      <c r="BS100" s="2063"/>
      <c r="BT100" s="2063"/>
      <c r="BU100" s="2063"/>
      <c r="BV100" s="2063"/>
      <c r="BW100" s="2063"/>
    </row>
    <row r="101" spans="1:75">
      <c r="A101" s="2088" t="str">
        <f>A95</f>
        <v>R&amp;D</v>
      </c>
      <c r="B101" s="2089"/>
      <c r="C101" s="2089"/>
      <c r="D101" s="2089"/>
      <c r="E101" s="2089"/>
      <c r="F101" s="2163"/>
      <c r="G101" s="2089"/>
      <c r="H101" s="2089"/>
      <c r="I101" s="2089"/>
      <c r="J101" s="2163">
        <f t="shared" si="164"/>
        <v>3.1360000000000028</v>
      </c>
      <c r="K101" s="2089">
        <f t="shared" si="164"/>
        <v>3.4430000000000014</v>
      </c>
      <c r="L101" s="2089">
        <f t="shared" si="164"/>
        <v>4.7590000000000003</v>
      </c>
      <c r="M101" s="2089">
        <f t="shared" si="164"/>
        <v>4.2619999999999933</v>
      </c>
      <c r="N101" s="2163">
        <f t="shared" si="164"/>
        <v>1.5999999999999979</v>
      </c>
      <c r="O101" s="2089">
        <f t="shared" si="164"/>
        <v>-5.3000000000000007</v>
      </c>
      <c r="P101" s="2089">
        <f t="shared" si="164"/>
        <v>-0.60000000000000142</v>
      </c>
      <c r="Q101" s="2089">
        <f t="shared" si="164"/>
        <v>11.899999999999999</v>
      </c>
      <c r="R101" s="2163">
        <f t="shared" si="164"/>
        <v>15.600000000000001</v>
      </c>
      <c r="S101" s="2089">
        <f t="shared" si="164"/>
        <v>13.199999999999996</v>
      </c>
      <c r="T101" s="2089">
        <f t="shared" si="165"/>
        <v>11.899999999999999</v>
      </c>
      <c r="U101" s="2089">
        <f t="shared" si="165"/>
        <v>10.099999999999994</v>
      </c>
      <c r="V101" s="2163">
        <f t="shared" si="165"/>
        <v>15.400000000000006</v>
      </c>
      <c r="W101" s="2089">
        <f t="shared" si="165"/>
        <v>20.7</v>
      </c>
      <c r="X101" s="2089">
        <f t="shared" si="165"/>
        <v>12.399999999999999</v>
      </c>
      <c r="Y101" s="2089">
        <f t="shared" si="165"/>
        <v>5.4000000000000057</v>
      </c>
      <c r="Z101" s="2163">
        <f t="shared" si="165"/>
        <v>4.6999999999999957</v>
      </c>
      <c r="AA101" s="2089">
        <f t="shared" si="165"/>
        <v>2.2000000000000028</v>
      </c>
      <c r="AB101" s="2089">
        <f t="shared" si="165"/>
        <v>2</v>
      </c>
      <c r="AC101" s="2089">
        <f t="shared" si="165"/>
        <v>4.4000000000000057</v>
      </c>
      <c r="AD101" s="2163">
        <f t="shared" si="166"/>
        <v>-2.2000000000000028</v>
      </c>
      <c r="AE101" s="2089">
        <f t="shared" si="166"/>
        <v>-7.3999999999999986</v>
      </c>
      <c r="AF101" s="2089">
        <f t="shared" si="166"/>
        <v>-2.7999999999999972</v>
      </c>
      <c r="AG101" s="2089">
        <f t="shared" si="166"/>
        <v>-8.7000000000000171</v>
      </c>
      <c r="AH101" s="2163">
        <f t="shared" si="166"/>
        <v>-12.199999999999996</v>
      </c>
      <c r="AI101" s="2089">
        <f t="shared" si="166"/>
        <v>-9</v>
      </c>
      <c r="AJ101" s="2089">
        <f t="shared" si="166"/>
        <v>-11.200000000000003</v>
      </c>
      <c r="AK101" s="2089">
        <f t="shared" si="166"/>
        <v>-12.399999999999991</v>
      </c>
      <c r="AL101" s="2163">
        <f t="shared" si="166"/>
        <v>-9.8999999999999986</v>
      </c>
      <c r="AM101" s="2089">
        <f t="shared" si="166"/>
        <v>-7.7000000000000028</v>
      </c>
      <c r="AN101" s="2089">
        <f t="shared" si="167"/>
        <v>-4.2000000000000028</v>
      </c>
      <c r="AO101" s="2089">
        <f t="shared" si="167"/>
        <v>-3.3999999999999915</v>
      </c>
      <c r="AP101" s="2163">
        <f t="shared" si="167"/>
        <v>0.39999999999999858</v>
      </c>
      <c r="AQ101" s="2089">
        <f t="shared" si="167"/>
        <v>3.2000000000000028</v>
      </c>
      <c r="AR101" s="2089">
        <f t="shared" si="167"/>
        <v>6.6000000000000014</v>
      </c>
      <c r="AS101" s="2089">
        <f t="shared" si="167"/>
        <v>6.7999999999999972</v>
      </c>
      <c r="AT101" s="2163">
        <f t="shared" si="168"/>
        <v>3.3019788674917407</v>
      </c>
      <c r="AU101" s="2089">
        <f t="shared" si="169"/>
        <v>3.5884413693223536</v>
      </c>
      <c r="AV101" s="2089">
        <f t="shared" si="170"/>
        <v>4.0429806747728279</v>
      </c>
      <c r="AW101" s="2089">
        <f t="shared" si="171"/>
        <v>13.674257195937777</v>
      </c>
      <c r="AX101" s="2063"/>
      <c r="AY101" s="2063"/>
      <c r="AZ101" s="2063"/>
      <c r="BA101" s="2063"/>
      <c r="BB101" s="2063"/>
      <c r="BC101" s="2063"/>
      <c r="BD101" s="2063"/>
      <c r="BE101" s="2063"/>
      <c r="BF101" s="2063"/>
      <c r="BG101" s="2063"/>
      <c r="BH101" s="2063"/>
      <c r="BI101" s="2063"/>
      <c r="BJ101" s="2063"/>
      <c r="BK101" s="2063"/>
      <c r="BL101" s="2063"/>
      <c r="BM101" s="2063"/>
      <c r="BN101" s="2063"/>
      <c r="BO101" s="2063"/>
      <c r="BP101" s="2063"/>
      <c r="BQ101" s="2063"/>
      <c r="BR101" s="2063"/>
      <c r="BS101" s="2063"/>
      <c r="BT101" s="2063"/>
      <c r="BU101" s="2063"/>
      <c r="BV101" s="2063"/>
      <c r="BW101" s="2063"/>
    </row>
    <row r="102" spans="1:75">
      <c r="A102" s="2076" t="str">
        <f>A96</f>
        <v>Op. Income</v>
      </c>
      <c r="B102" s="2079"/>
      <c r="C102" s="2079"/>
      <c r="D102" s="2079"/>
      <c r="E102" s="2079"/>
      <c r="F102" s="2157"/>
      <c r="G102" s="2079"/>
      <c r="H102" s="2079"/>
      <c r="I102" s="2079"/>
      <c r="J102" s="2157">
        <f t="shared" si="164"/>
        <v>-5.0030000000000285</v>
      </c>
      <c r="K102" s="2079">
        <f t="shared" si="164"/>
        <v>-2.4899999999999949</v>
      </c>
      <c r="L102" s="2079">
        <f t="shared" si="164"/>
        <v>-4.660000000000025</v>
      </c>
      <c r="M102" s="2079">
        <f t="shared" si="164"/>
        <v>-2.9470000000001164</v>
      </c>
      <c r="N102" s="2157">
        <f t="shared" si="164"/>
        <v>7.2000000000000171</v>
      </c>
      <c r="O102" s="2079">
        <f t="shared" si="164"/>
        <v>12.499999999999957</v>
      </c>
      <c r="P102" s="2079">
        <f t="shared" si="164"/>
        <v>32.299999999999997</v>
      </c>
      <c r="Q102" s="2079">
        <f t="shared" si="164"/>
        <v>14.400000000000034</v>
      </c>
      <c r="R102" s="2157">
        <f t="shared" si="164"/>
        <v>22.500000000000014</v>
      </c>
      <c r="S102" s="2079">
        <f t="shared" si="164"/>
        <v>32.500000000000114</v>
      </c>
      <c r="T102" s="2079">
        <f t="shared" si="165"/>
        <v>25.80000000000004</v>
      </c>
      <c r="U102" s="2079">
        <f t="shared" si="165"/>
        <v>-8.3000000000001535</v>
      </c>
      <c r="V102" s="2157">
        <f t="shared" si="165"/>
        <v>14.099999999999952</v>
      </c>
      <c r="W102" s="2079">
        <f t="shared" si="165"/>
        <v>-9.3999999999999346</v>
      </c>
      <c r="X102" s="2079">
        <f t="shared" si="165"/>
        <v>20.700000000000003</v>
      </c>
      <c r="Y102" s="2079">
        <f t="shared" si="165"/>
        <v>6.0000000000001705</v>
      </c>
      <c r="Z102" s="2157">
        <f t="shared" si="165"/>
        <v>-13.999999999999943</v>
      </c>
      <c r="AA102" s="2079">
        <f t="shared" si="165"/>
        <v>1.0999999999998806</v>
      </c>
      <c r="AB102" s="2079">
        <f t="shared" si="165"/>
        <v>-4.9000000000000341</v>
      </c>
      <c r="AC102" s="2079">
        <f t="shared" si="165"/>
        <v>18.600000000000279</v>
      </c>
      <c r="AD102" s="2157">
        <f t="shared" si="166"/>
        <v>-11.499999999999915</v>
      </c>
      <c r="AE102" s="2079">
        <f t="shared" si="166"/>
        <v>19.699999999999932</v>
      </c>
      <c r="AF102" s="2079">
        <f t="shared" si="166"/>
        <v>-33.500000000000028</v>
      </c>
      <c r="AG102" s="2079">
        <f t="shared" si="166"/>
        <v>-9.3000000000000114</v>
      </c>
      <c r="AH102" s="2157">
        <f t="shared" si="166"/>
        <v>12.19999999999996</v>
      </c>
      <c r="AI102" s="2079">
        <f t="shared" si="166"/>
        <v>-10.400000000000006</v>
      </c>
      <c r="AJ102" s="2079">
        <f t="shared" si="166"/>
        <v>5.5000000000000568</v>
      </c>
      <c r="AK102" s="2079">
        <f t="shared" si="166"/>
        <v>2.3999999999998067</v>
      </c>
      <c r="AL102" s="2157">
        <f t="shared" si="166"/>
        <v>15.199999999999989</v>
      </c>
      <c r="AM102" s="2079">
        <f t="shared" si="166"/>
        <v>-12.699999999999903</v>
      </c>
      <c r="AN102" s="2079">
        <f t="shared" si="167"/>
        <v>22.699999999999989</v>
      </c>
      <c r="AO102" s="2079">
        <f t="shared" si="167"/>
        <v>28.299999999999841</v>
      </c>
      <c r="AP102" s="2157">
        <f t="shared" si="167"/>
        <v>13.399999999999977</v>
      </c>
      <c r="AQ102" s="2079">
        <f t="shared" si="167"/>
        <v>8.8000000000000114</v>
      </c>
      <c r="AR102" s="2079">
        <f t="shared" si="167"/>
        <v>11.599999999999937</v>
      </c>
      <c r="AS102" s="2079">
        <f t="shared" si="167"/>
        <v>27.100000000000307</v>
      </c>
      <c r="AT102" s="2157">
        <f t="shared" si="168"/>
        <v>7.1674525130522113</v>
      </c>
      <c r="AU102" s="2079">
        <f t="shared" si="169"/>
        <v>15.931235580284721</v>
      </c>
      <c r="AV102" s="2079">
        <f t="shared" si="170"/>
        <v>19.481962180738265</v>
      </c>
      <c r="AW102" s="2079">
        <f t="shared" si="171"/>
        <v>27.828872016109614</v>
      </c>
      <c r="AX102" s="2063"/>
      <c r="AY102" s="2063"/>
      <c r="AZ102" s="2063"/>
      <c r="BA102" s="2063"/>
      <c r="BB102" s="2063"/>
      <c r="BC102" s="2063"/>
      <c r="BD102" s="2063"/>
      <c r="BE102" s="2063"/>
      <c r="BF102" s="2063"/>
      <c r="BG102" s="2063"/>
      <c r="BH102" s="2063"/>
      <c r="BI102" s="2063"/>
      <c r="BJ102" s="2063"/>
      <c r="BK102" s="2063"/>
      <c r="BL102" s="2063"/>
      <c r="BM102" s="2063"/>
      <c r="BN102" s="2063"/>
      <c r="BO102" s="2063"/>
      <c r="BP102" s="2063"/>
      <c r="BQ102" s="2063"/>
      <c r="BR102" s="2063"/>
      <c r="BS102" s="2063"/>
      <c r="BT102" s="2063"/>
      <c r="BU102" s="2063"/>
      <c r="BV102" s="2063"/>
      <c r="BW102" s="2063"/>
    </row>
    <row r="103" spans="1:75">
      <c r="A103" s="2076"/>
      <c r="B103" s="2080"/>
      <c r="C103" s="2080"/>
      <c r="D103" s="2080"/>
      <c r="E103" s="2080"/>
      <c r="F103" s="2164"/>
      <c r="G103" s="2080"/>
      <c r="H103" s="2080"/>
      <c r="I103" s="2080"/>
      <c r="J103" s="2164"/>
      <c r="K103" s="2080"/>
      <c r="L103" s="2080"/>
      <c r="M103" s="2080"/>
      <c r="N103" s="2164"/>
      <c r="O103" s="2080"/>
      <c r="P103" s="2080"/>
      <c r="Q103" s="2080"/>
      <c r="R103" s="2164"/>
      <c r="S103" s="2080"/>
      <c r="T103" s="2080"/>
      <c r="U103" s="2080"/>
      <c r="V103" s="2164"/>
      <c r="W103" s="2080"/>
      <c r="X103" s="2080"/>
      <c r="Y103" s="2080"/>
      <c r="Z103" s="2164"/>
      <c r="AA103" s="2080"/>
      <c r="AB103" s="2080"/>
      <c r="AC103" s="2080"/>
      <c r="AD103" s="2164"/>
      <c r="AE103" s="2080"/>
      <c r="AF103" s="2080"/>
      <c r="AG103" s="2080"/>
      <c r="AH103" s="2164"/>
      <c r="AI103" s="2080"/>
      <c r="AJ103" s="2080"/>
      <c r="AK103" s="2080"/>
      <c r="AL103" s="2164"/>
      <c r="AM103" s="2080"/>
      <c r="AN103" s="2080"/>
      <c r="AO103" s="2080"/>
      <c r="AP103" s="2164"/>
      <c r="AQ103" s="2080"/>
      <c r="AR103" s="2080"/>
      <c r="AS103" s="2080"/>
      <c r="AT103" s="2164"/>
      <c r="AU103" s="2080"/>
      <c r="AV103" s="2080"/>
      <c r="AW103" s="2080"/>
      <c r="AX103" s="2063"/>
      <c r="AY103" s="2063"/>
      <c r="AZ103" s="2063"/>
      <c r="BA103" s="2063"/>
      <c r="BB103" s="2063"/>
      <c r="BC103" s="2063"/>
      <c r="BD103" s="2063"/>
      <c r="BE103" s="2063"/>
      <c r="BF103" s="2063"/>
      <c r="BG103" s="2063"/>
      <c r="BH103" s="2063"/>
      <c r="BI103" s="2063"/>
      <c r="BJ103" s="2063"/>
      <c r="BK103" s="2063"/>
      <c r="BL103" s="2063"/>
      <c r="BM103" s="2063"/>
      <c r="BN103" s="2063"/>
      <c r="BO103" s="2063"/>
      <c r="BP103" s="2063"/>
      <c r="BQ103" s="2063"/>
      <c r="BR103" s="2063"/>
      <c r="BS103" s="2063"/>
      <c r="BT103" s="2063"/>
      <c r="BU103" s="2063"/>
      <c r="BV103" s="2063"/>
      <c r="BW103" s="2063"/>
    </row>
    <row r="104" spans="1:75">
      <c r="A104" s="2076"/>
      <c r="B104" s="2076"/>
      <c r="C104" s="2076"/>
      <c r="D104" s="2076"/>
      <c r="E104" s="2076"/>
      <c r="F104" s="2147"/>
      <c r="G104" s="2076"/>
      <c r="H104" s="2076"/>
      <c r="I104" s="2076"/>
      <c r="J104" s="2147"/>
      <c r="K104" s="2076"/>
      <c r="L104" s="2076"/>
      <c r="M104" s="2076"/>
      <c r="N104" s="2147"/>
      <c r="O104" s="2076"/>
      <c r="P104" s="2076"/>
      <c r="Q104" s="2076"/>
      <c r="R104" s="2147"/>
      <c r="S104" s="2076"/>
      <c r="T104" s="2076"/>
      <c r="U104" s="2076"/>
      <c r="V104" s="2147"/>
      <c r="W104" s="2076"/>
      <c r="X104" s="2076"/>
      <c r="Y104" s="2076"/>
      <c r="Z104" s="2147"/>
      <c r="AA104" s="2076"/>
      <c r="AB104" s="2076"/>
      <c r="AC104" s="2076"/>
      <c r="AD104" s="2147"/>
      <c r="AE104" s="2076"/>
      <c r="AF104" s="2076"/>
      <c r="AG104" s="2076"/>
      <c r="AH104" s="2147"/>
      <c r="AI104" s="2076"/>
      <c r="AJ104" s="2076"/>
      <c r="AK104" s="2076"/>
      <c r="AL104" s="2147"/>
      <c r="AM104" s="2076"/>
      <c r="AN104" s="2076"/>
      <c r="AO104" s="2076"/>
      <c r="AP104" s="2147"/>
      <c r="AQ104" s="2076"/>
      <c r="AR104" s="2076"/>
      <c r="AS104" s="2076"/>
      <c r="AT104" s="2147"/>
      <c r="AU104" s="2076"/>
      <c r="AV104" s="2076"/>
      <c r="AW104" s="2076"/>
      <c r="AX104" s="2063"/>
      <c r="AY104" s="2063"/>
      <c r="AZ104" s="2063"/>
      <c r="BA104" s="2063"/>
      <c r="BB104" s="2063"/>
      <c r="BC104" s="2063"/>
      <c r="BD104" s="2063"/>
      <c r="BE104" s="2063"/>
      <c r="BF104" s="2063"/>
      <c r="BG104" s="2063"/>
      <c r="BH104" s="2063"/>
      <c r="BI104" s="2063"/>
      <c r="BJ104" s="2063"/>
      <c r="BK104" s="2063"/>
      <c r="BL104" s="2063"/>
      <c r="BM104" s="2063"/>
      <c r="BN104" s="2063"/>
      <c r="BO104" s="2063"/>
      <c r="BP104" s="2063"/>
      <c r="BQ104" s="2063"/>
      <c r="BR104" s="2063"/>
      <c r="BS104" s="2063"/>
      <c r="BT104" s="2063"/>
      <c r="BU104" s="2063"/>
      <c r="BV104" s="2063"/>
      <c r="BW104" s="2063"/>
    </row>
    <row r="105" spans="1:75">
      <c r="A105" s="2076" t="s">
        <v>524</v>
      </c>
      <c r="B105" s="2079"/>
      <c r="C105" s="2079"/>
      <c r="D105" s="2079"/>
      <c r="E105" s="2079"/>
      <c r="F105" s="2152">
        <f>F52-(IS!AE12-IS!Y12)</f>
        <v>-0.93520000000001069</v>
      </c>
      <c r="G105" s="2085">
        <f>G52-(IS!AF12-IS!Z12)</f>
        <v>2.7653479999999817</v>
      </c>
      <c r="H105" s="2085">
        <f>H52-(IS!AG12-IS!AA12)</f>
        <v>-13.644799999999984</v>
      </c>
      <c r="I105" s="2085">
        <f>I52-(IS!AH12-IS!AB12)</f>
        <v>-0.50986000000003173</v>
      </c>
      <c r="J105" s="2152">
        <f>J52-(IS!AK12-IS!AE12)</f>
        <v>7.2235000000000014</v>
      </c>
      <c r="K105" s="2085">
        <f>K52-(IS!AL12-IS!AF12)</f>
        <v>6.0234999999999914</v>
      </c>
      <c r="L105" s="2079">
        <f>L52-(IS!AM12-IS!AG12)</f>
        <v>12.699399999999994</v>
      </c>
      <c r="M105" s="2079">
        <f>M52-(IS!AN12-IS!AH12)</f>
        <v>-3.7880000000000784</v>
      </c>
      <c r="N105" s="2157">
        <f>N52-(IS!AQ12-IS!AK12)</f>
        <v>5.1820000000000235</v>
      </c>
      <c r="O105" s="2079">
        <f>O52-(IS!AR12-IS!AL12)</f>
        <v>27</v>
      </c>
      <c r="P105" s="2079">
        <f>P52-(IS!AS12-IS!AM12)</f>
        <v>33.827400000000019</v>
      </c>
      <c r="Q105" s="2079">
        <f>Q52-(IS!AT12-IS!AN12)</f>
        <v>36.788000000000039</v>
      </c>
      <c r="R105" s="2157">
        <f>R52-(IS!AW12-IS!AQ12)</f>
        <v>-23.803500000000014</v>
      </c>
      <c r="S105" s="2079">
        <f>S52-(IS!AX12-IS!AR12)</f>
        <v>-21.432499999999944</v>
      </c>
      <c r="T105" s="2079">
        <f>T52-(IS!AY12-IS!AS12)</f>
        <v>-31.288200000000025</v>
      </c>
      <c r="U105" s="2079">
        <f>U52-(IS!AZ12-IS!AT12)</f>
        <v>9.7641999999999811</v>
      </c>
      <c r="V105" s="2157">
        <f>V52-(IS!BC12-IS!AW12)</f>
        <v>26.208999999999961</v>
      </c>
      <c r="W105" s="2079">
        <f>W52-(IS!BD12-IS!AX12)</f>
        <v>24.424799999999927</v>
      </c>
      <c r="X105" s="2079">
        <f>X52-(IS!BE12-IS!AY12)</f>
        <v>49.63920000000001</v>
      </c>
      <c r="Y105" s="2079">
        <f>Y52-(IS!BF12-IS!AZ12)</f>
        <v>32.16020000000011</v>
      </c>
      <c r="Z105" s="2157">
        <f>Z52-(IS!BI12-IS!BC12)</f>
        <v>-8.1615999999999609</v>
      </c>
      <c r="AA105" s="2079">
        <f>AA52-(IS!BJ12-IS!BD12)</f>
        <v>17.666499999999985</v>
      </c>
      <c r="AB105" s="2079">
        <f>AB52-(IS!BK12-IS!BE12)</f>
        <v>-20.147200000000005</v>
      </c>
      <c r="AC105" s="2079">
        <f>AC52-(IS!BL12-IS!BF12)</f>
        <v>-1.3274000000000399</v>
      </c>
      <c r="AD105" s="2157">
        <f>AD52-(IS!BO12-IS!BI12)</f>
        <v>3.3644000000000069</v>
      </c>
      <c r="AE105" s="2079">
        <f>AE52-(IS!BP12-IS!BJ12)</f>
        <v>-8.1175999999999888</v>
      </c>
      <c r="AF105" s="2079">
        <f>AF52-(IS!BQ12-IS!BK12)</f>
        <v>-14.571999999999999</v>
      </c>
      <c r="AG105" s="2079">
        <f>AG52-(IS!BR12-IS!BL12)</f>
        <v>16.239500000000056</v>
      </c>
      <c r="AH105" s="2157">
        <f>AH52-(IS!BU12-IS!BO12)</f>
        <v>37.388999999999996</v>
      </c>
      <c r="AI105" s="2079">
        <f>AI52-(IS!BV12-IS!BP12)</f>
        <v>31.201799999999999</v>
      </c>
      <c r="AJ105" s="2079">
        <f>AJ52-(IS!BW12-IS!BQ12)</f>
        <v>54.903800000000004</v>
      </c>
      <c r="AK105" s="2079">
        <f>AK52-(IS!BX12-IS!BR12)</f>
        <v>42.100000000000037</v>
      </c>
      <c r="AL105" s="2157">
        <f>AL52-(IS!CA12-IS!BU12)</f>
        <v>6.1789999999999665</v>
      </c>
      <c r="AM105" s="2079">
        <f>AM52-(IS!CB12-IS!BV12)</f>
        <v>-13.775999999999961</v>
      </c>
      <c r="AN105" s="2079">
        <f>AN52-(IS!CC12-IS!BW12)</f>
        <v>2.7701999999999671</v>
      </c>
      <c r="AO105" s="2079">
        <f>AO52-(IS!CD12-IS!BX12)</f>
        <v>3.8136128432861174</v>
      </c>
      <c r="AP105" s="2157">
        <f>AP52-(IS!CG12-IS!CA12)</f>
        <v>-4.4164800000000151</v>
      </c>
      <c r="AQ105" s="2079">
        <f>AQ52-(IS!CH12-IS!CB12)</f>
        <v>1.5319999999999716</v>
      </c>
      <c r="AR105" s="2079">
        <f>AR52-(IS!CI12-IS!CC12)</f>
        <v>-13.703599999999973</v>
      </c>
      <c r="AS105" s="2079">
        <f>AS52-(IS!CJ12-IS!CD12)</f>
        <v>-5.7418965479637158</v>
      </c>
      <c r="AT105" s="2157">
        <f>AT52-(IS!CM12-IS!CG12)</f>
        <v>-16.715972150563402</v>
      </c>
      <c r="AU105" s="2079">
        <f>AU52-(IS!CN12-IS!CH12)</f>
        <v>-16.907961048833677</v>
      </c>
      <c r="AV105" s="2079">
        <f>AV52-(IS!CO12-IS!CI12)</f>
        <v>6.3328035334473931</v>
      </c>
      <c r="AW105" s="2079">
        <f>AW52-(IS!CP12-IS!CJ12)</f>
        <v>11.181010218787266</v>
      </c>
      <c r="AX105" s="2063"/>
      <c r="AY105" s="2063"/>
      <c r="AZ105" s="2063"/>
      <c r="BA105" s="2063"/>
      <c r="BB105" s="2063"/>
      <c r="BC105" s="2063"/>
      <c r="BD105" s="2063"/>
      <c r="BE105" s="2063"/>
      <c r="BF105" s="2063"/>
      <c r="BG105" s="2063"/>
      <c r="BH105" s="2063"/>
      <c r="BI105" s="2063"/>
      <c r="BJ105" s="2063"/>
      <c r="BK105" s="2063"/>
      <c r="BL105" s="2063"/>
      <c r="BM105" s="2063"/>
      <c r="BN105" s="2063"/>
      <c r="BO105" s="2063"/>
      <c r="BP105" s="2063"/>
      <c r="BQ105" s="2063"/>
      <c r="BR105" s="2063"/>
      <c r="BS105" s="2063"/>
      <c r="BT105" s="2063"/>
      <c r="BU105" s="2063"/>
      <c r="BV105" s="2063"/>
      <c r="BW105" s="2063"/>
    </row>
    <row r="106" spans="1:75">
      <c r="A106" s="2076" t="s">
        <v>525</v>
      </c>
      <c r="B106" s="2080"/>
      <c r="C106" s="2080"/>
      <c r="D106" s="2080"/>
      <c r="E106" s="2080"/>
      <c r="F106" s="2164"/>
      <c r="G106" s="2080"/>
      <c r="H106" s="2080"/>
      <c r="I106" s="2080"/>
      <c r="J106" s="2164">
        <f t="shared" ref="J106:AS106" si="172">+J105+F105</f>
        <v>6.2882999999999907</v>
      </c>
      <c r="K106" s="2080">
        <f t="shared" si="172"/>
        <v>8.7888479999999731</v>
      </c>
      <c r="L106" s="2080">
        <f t="shared" si="172"/>
        <v>-0.94539999999999047</v>
      </c>
      <c r="M106" s="2080">
        <f t="shared" si="172"/>
        <v>-4.2978600000001101</v>
      </c>
      <c r="N106" s="2164">
        <f t="shared" si="172"/>
        <v>12.405500000000025</v>
      </c>
      <c r="O106" s="2080">
        <f t="shared" si="172"/>
        <v>33.023499999999991</v>
      </c>
      <c r="P106" s="2080">
        <f t="shared" si="172"/>
        <v>46.526800000000009</v>
      </c>
      <c r="Q106" s="2080">
        <f t="shared" si="172"/>
        <v>32.999999999999957</v>
      </c>
      <c r="R106" s="2164">
        <f t="shared" si="172"/>
        <v>-18.62149999999999</v>
      </c>
      <c r="S106" s="2080">
        <f t="shared" si="172"/>
        <v>5.5675000000000558</v>
      </c>
      <c r="T106" s="2080">
        <f t="shared" si="172"/>
        <v>2.5391999999999939</v>
      </c>
      <c r="U106" s="2080">
        <f t="shared" si="172"/>
        <v>46.55220000000002</v>
      </c>
      <c r="V106" s="2164">
        <f t="shared" si="172"/>
        <v>2.4054999999999467</v>
      </c>
      <c r="W106" s="2080">
        <f t="shared" si="172"/>
        <v>2.9922999999999824</v>
      </c>
      <c r="X106" s="2080">
        <f t="shared" si="172"/>
        <v>18.350999999999985</v>
      </c>
      <c r="Y106" s="2080">
        <f t="shared" si="172"/>
        <v>41.924400000000091</v>
      </c>
      <c r="Z106" s="2164">
        <f t="shared" si="172"/>
        <v>18.0474</v>
      </c>
      <c r="AA106" s="2080">
        <f t="shared" si="172"/>
        <v>42.091299999999912</v>
      </c>
      <c r="AB106" s="2080">
        <f t="shared" si="172"/>
        <v>29.492000000000004</v>
      </c>
      <c r="AC106" s="2080">
        <f t="shared" si="172"/>
        <v>30.83280000000007</v>
      </c>
      <c r="AD106" s="2164">
        <f t="shared" si="172"/>
        <v>-4.7971999999999539</v>
      </c>
      <c r="AE106" s="2080">
        <f t="shared" si="172"/>
        <v>9.5488999999999962</v>
      </c>
      <c r="AF106" s="2080">
        <f t="shared" si="172"/>
        <v>-34.719200000000001</v>
      </c>
      <c r="AG106" s="2080">
        <f t="shared" si="172"/>
        <v>14.912100000000017</v>
      </c>
      <c r="AH106" s="2164">
        <f t="shared" si="172"/>
        <v>40.753399999999999</v>
      </c>
      <c r="AI106" s="2080">
        <f t="shared" si="172"/>
        <v>23.08420000000001</v>
      </c>
      <c r="AJ106" s="2080">
        <f t="shared" si="172"/>
        <v>40.331800000000001</v>
      </c>
      <c r="AK106" s="2080">
        <f t="shared" si="172"/>
        <v>58.339500000000093</v>
      </c>
      <c r="AL106" s="2164">
        <f t="shared" si="172"/>
        <v>43.567999999999962</v>
      </c>
      <c r="AM106" s="2080">
        <f t="shared" si="172"/>
        <v>17.425800000000038</v>
      </c>
      <c r="AN106" s="2080">
        <f t="shared" si="172"/>
        <v>57.673999999999971</v>
      </c>
      <c r="AO106" s="2080">
        <f t="shared" si="172"/>
        <v>45.913612843286153</v>
      </c>
      <c r="AP106" s="2164">
        <f t="shared" si="172"/>
        <v>1.7625199999999515</v>
      </c>
      <c r="AQ106" s="2080">
        <f t="shared" si="172"/>
        <v>-12.243999999999989</v>
      </c>
      <c r="AR106" s="2080">
        <f t="shared" si="172"/>
        <v>-10.933400000000006</v>
      </c>
      <c r="AS106" s="2080">
        <f t="shared" si="172"/>
        <v>-1.9282837046775985</v>
      </c>
      <c r="AT106" s="2164">
        <f t="shared" ref="AT106" si="173">+AT105+AP105</f>
        <v>-21.132452150563417</v>
      </c>
      <c r="AU106" s="2080">
        <f t="shared" ref="AU106" si="174">+AU105+AQ105</f>
        <v>-15.375961048833705</v>
      </c>
      <c r="AV106" s="2080">
        <f t="shared" ref="AV106" si="175">+AV105+AR105</f>
        <v>-7.37079646655258</v>
      </c>
      <c r="AW106" s="2080">
        <f t="shared" ref="AW106" si="176">+AW105+AS105</f>
        <v>5.4391136708235504</v>
      </c>
      <c r="AX106" s="2063"/>
      <c r="AY106" s="2063"/>
      <c r="AZ106" s="2063"/>
      <c r="BA106" s="2063"/>
      <c r="BB106" s="2063"/>
      <c r="BC106" s="2063"/>
      <c r="BD106" s="2063"/>
      <c r="BE106" s="2063"/>
      <c r="BF106" s="2063"/>
      <c r="BG106" s="2063"/>
      <c r="BH106" s="2063"/>
      <c r="BI106" s="2063"/>
      <c r="BJ106" s="2063"/>
      <c r="BK106" s="2063"/>
      <c r="BL106" s="2063"/>
      <c r="BM106" s="2063"/>
      <c r="BN106" s="2063"/>
      <c r="BO106" s="2063"/>
      <c r="BP106" s="2063"/>
      <c r="BQ106" s="2063"/>
      <c r="BR106" s="2063"/>
      <c r="BS106" s="2063"/>
      <c r="BT106" s="2063"/>
      <c r="BU106" s="2063"/>
      <c r="BV106" s="2063"/>
      <c r="BW106" s="2063"/>
    </row>
    <row r="107" spans="1:75">
      <c r="A107" s="2081"/>
      <c r="B107" s="2081"/>
      <c r="C107" s="2081"/>
      <c r="D107" s="2081"/>
      <c r="E107" s="2081"/>
      <c r="F107" s="2081"/>
      <c r="G107" s="2081"/>
      <c r="H107" s="2081"/>
      <c r="I107" s="2081"/>
      <c r="J107" s="2081"/>
      <c r="K107" s="2081"/>
      <c r="L107" s="2081"/>
      <c r="M107" s="2081"/>
      <c r="N107" s="2081"/>
      <c r="O107" s="2081"/>
      <c r="P107" s="2081"/>
      <c r="Q107" s="2081"/>
      <c r="R107" s="2081"/>
      <c r="S107" s="2081"/>
      <c r="T107" s="2081"/>
      <c r="U107" s="2081"/>
      <c r="V107" s="2081"/>
      <c r="W107" s="2081"/>
      <c r="X107" s="2081"/>
      <c r="Y107" s="2081"/>
      <c r="Z107" s="2081"/>
      <c r="AA107" s="2081"/>
      <c r="AB107" s="2081"/>
      <c r="AC107" s="2081"/>
      <c r="AD107" s="2081"/>
      <c r="AE107" s="2081"/>
      <c r="AF107" s="2081"/>
      <c r="AG107" s="2081"/>
      <c r="AH107" s="2081"/>
      <c r="AI107" s="2081"/>
      <c r="AJ107" s="2081"/>
      <c r="AK107" s="2081"/>
      <c r="AL107" s="2081"/>
      <c r="AM107" s="2081"/>
      <c r="AN107" s="2081"/>
      <c r="AO107" s="2081"/>
      <c r="AP107" s="2081"/>
      <c r="AQ107" s="2081"/>
      <c r="AR107" s="2081"/>
      <c r="AS107" s="2081"/>
      <c r="AT107" s="2081"/>
      <c r="AU107" s="2081"/>
      <c r="AV107" s="2081"/>
      <c r="AW107" s="2081"/>
      <c r="AX107" s="2063"/>
      <c r="AY107" s="2063"/>
      <c r="AZ107" s="2063"/>
      <c r="BA107" s="2063"/>
      <c r="BB107" s="2063"/>
      <c r="BC107" s="2063"/>
      <c r="BD107" s="2063"/>
      <c r="BE107" s="2063"/>
      <c r="BF107" s="2063"/>
      <c r="BG107" s="2063"/>
      <c r="BH107" s="2063"/>
      <c r="BI107" s="2063"/>
      <c r="BJ107" s="2063"/>
      <c r="BK107" s="2063"/>
      <c r="BL107" s="2063"/>
      <c r="BM107" s="2063"/>
      <c r="BN107" s="2063"/>
      <c r="BO107" s="2063"/>
      <c r="BP107" s="2063"/>
      <c r="BQ107" s="2063"/>
      <c r="BR107" s="2063"/>
      <c r="BS107" s="2063"/>
      <c r="BT107" s="2063"/>
      <c r="BU107" s="2063"/>
      <c r="BV107" s="2063"/>
      <c r="BW107" s="2063"/>
    </row>
    <row r="108" spans="1:75">
      <c r="A108" s="2081"/>
      <c r="B108" s="2081"/>
      <c r="C108" s="2081"/>
      <c r="D108" s="2081"/>
      <c r="E108" s="2081"/>
      <c r="F108" s="2081"/>
      <c r="G108" s="2081"/>
      <c r="H108" s="2081"/>
      <c r="I108" s="2081"/>
      <c r="J108" s="2081"/>
      <c r="K108" s="2081"/>
      <c r="L108" s="2081"/>
      <c r="M108" s="2081"/>
      <c r="N108" s="2081"/>
      <c r="O108" s="2081"/>
      <c r="P108" s="2081"/>
      <c r="Q108" s="2081"/>
      <c r="R108" s="2081"/>
      <c r="S108" s="2081"/>
      <c r="T108" s="2081"/>
      <c r="U108" s="2081"/>
      <c r="V108" s="2081"/>
      <c r="W108" s="2081"/>
      <c r="X108" s="2081"/>
      <c r="Y108" s="2081"/>
      <c r="Z108" s="2081"/>
      <c r="AA108" s="2081"/>
      <c r="AB108" s="2081"/>
      <c r="AC108" s="2081"/>
      <c r="AD108" s="2081"/>
      <c r="AE108" s="2081"/>
      <c r="AF108" s="2081"/>
      <c r="AG108" s="2081"/>
      <c r="AH108" s="2081"/>
      <c r="AI108" s="2081"/>
      <c r="AJ108" s="2081"/>
      <c r="AK108" s="2081"/>
      <c r="AL108" s="2081"/>
      <c r="AM108" s="2081"/>
      <c r="AN108" s="2081"/>
      <c r="AO108" s="2081"/>
      <c r="AP108" s="2081"/>
      <c r="AQ108" s="2081"/>
      <c r="AR108" s="2081"/>
      <c r="AS108" s="2081"/>
      <c r="AT108" s="2081"/>
      <c r="AU108" s="2081"/>
      <c r="AV108" s="2081"/>
      <c r="AW108" s="2081"/>
      <c r="AX108" s="2063"/>
      <c r="AY108" s="2063"/>
      <c r="AZ108" s="2063"/>
      <c r="BA108" s="2063"/>
      <c r="BB108" s="2063"/>
      <c r="BC108" s="2063"/>
      <c r="BD108" s="2063"/>
      <c r="BE108" s="2063"/>
      <c r="BF108" s="2063"/>
      <c r="BG108" s="2063"/>
      <c r="BH108" s="2063"/>
      <c r="BI108" s="2063"/>
      <c r="BJ108" s="2063"/>
      <c r="BK108" s="2063"/>
      <c r="BL108" s="2063"/>
      <c r="BM108" s="2063"/>
      <c r="BN108" s="2063"/>
      <c r="BO108" s="2063"/>
      <c r="BP108" s="2063"/>
      <c r="BQ108" s="2063"/>
      <c r="BR108" s="2063"/>
      <c r="BS108" s="2063"/>
      <c r="BT108" s="2063"/>
      <c r="BU108" s="2063"/>
      <c r="BV108" s="2063"/>
      <c r="BW108" s="2063"/>
    </row>
    <row r="109" spans="1:75">
      <c r="A109" s="2081"/>
      <c r="B109" s="2081"/>
      <c r="C109" s="2081"/>
      <c r="D109" s="2081"/>
      <c r="E109" s="2081"/>
      <c r="F109" s="2081"/>
      <c r="G109" s="2081"/>
      <c r="H109" s="2081"/>
      <c r="I109" s="2081"/>
      <c r="J109" s="2081"/>
      <c r="K109" s="2081"/>
      <c r="L109" s="2081"/>
      <c r="M109" s="2081"/>
      <c r="N109" s="2081"/>
      <c r="O109" s="2081"/>
      <c r="P109" s="2081"/>
      <c r="Q109" s="2081"/>
      <c r="R109" s="2081"/>
      <c r="S109" s="2081"/>
      <c r="T109" s="2081"/>
      <c r="U109" s="2081"/>
      <c r="V109" s="2081"/>
      <c r="W109" s="2081"/>
      <c r="X109" s="2081"/>
      <c r="Y109" s="2081"/>
      <c r="Z109" s="2081"/>
      <c r="AA109" s="2081"/>
      <c r="AB109" s="2081"/>
      <c r="AC109" s="2081"/>
      <c r="AD109" s="2081"/>
      <c r="AE109" s="2081"/>
      <c r="AF109" s="2081"/>
      <c r="AG109" s="2081"/>
      <c r="AH109" s="2081"/>
      <c r="AI109" s="2081"/>
      <c r="AJ109" s="2081"/>
      <c r="AK109" s="2081"/>
      <c r="AL109" s="2081"/>
      <c r="AM109" s="2081"/>
      <c r="AN109" s="2081"/>
      <c r="AO109" s="2081"/>
      <c r="AP109" s="2081"/>
      <c r="AQ109" s="2081"/>
      <c r="AR109" s="2081"/>
      <c r="AS109" s="2081"/>
      <c r="AT109" s="2081"/>
      <c r="AU109" s="2081"/>
      <c r="AV109" s="2081"/>
      <c r="AW109" s="2081"/>
      <c r="AX109" s="2063"/>
      <c r="AY109" s="2063"/>
      <c r="AZ109" s="2072"/>
      <c r="BA109" s="2063"/>
      <c r="BB109" s="2063"/>
      <c r="BC109" s="2063"/>
      <c r="BD109" s="2063"/>
      <c r="BE109" s="2063"/>
      <c r="BF109" s="2063"/>
      <c r="BG109" s="2063"/>
      <c r="BH109" s="2063"/>
      <c r="BI109" s="2063"/>
      <c r="BJ109" s="2063"/>
      <c r="BK109" s="2063"/>
      <c r="BL109" s="2063"/>
      <c r="BM109" s="2063"/>
      <c r="BN109" s="2063"/>
      <c r="BO109" s="2063"/>
      <c r="BP109" s="2063"/>
      <c r="BQ109" s="2063"/>
      <c r="BR109" s="2063"/>
      <c r="BS109" s="2063"/>
      <c r="BT109" s="2063"/>
      <c r="BU109" s="2063"/>
      <c r="BV109" s="2063"/>
      <c r="BW109" s="2063"/>
    </row>
    <row r="110" spans="1:75">
      <c r="A110" s="2081"/>
      <c r="B110" s="2081"/>
      <c r="C110" s="2081"/>
      <c r="D110" s="2081"/>
      <c r="E110" s="2081"/>
      <c r="F110" s="2081"/>
      <c r="G110" s="2081"/>
      <c r="H110" s="2081"/>
      <c r="I110" s="2081"/>
      <c r="J110" s="2081"/>
      <c r="K110" s="2081"/>
      <c r="L110" s="2081"/>
      <c r="M110" s="2081"/>
      <c r="N110" s="2081"/>
      <c r="O110" s="2081"/>
      <c r="P110" s="2081"/>
      <c r="Q110" s="2081"/>
      <c r="R110" s="2081"/>
      <c r="S110" s="2081"/>
      <c r="T110" s="2081"/>
      <c r="U110" s="2081"/>
      <c r="V110" s="2081"/>
      <c r="W110" s="2081"/>
      <c r="X110" s="2081"/>
      <c r="Y110" s="2081"/>
      <c r="Z110" s="2081"/>
      <c r="AA110" s="2081"/>
      <c r="AB110" s="2081"/>
      <c r="AC110" s="2081"/>
      <c r="AD110" s="2081"/>
      <c r="AE110" s="2081"/>
      <c r="AF110" s="2081"/>
      <c r="AG110" s="2081"/>
      <c r="AH110" s="2081"/>
      <c r="AI110" s="2081"/>
      <c r="AJ110" s="2081"/>
      <c r="AK110" s="2081"/>
      <c r="AL110" s="2081"/>
      <c r="AM110" s="2081"/>
      <c r="AN110" s="2081"/>
      <c r="AO110" s="2081"/>
      <c r="AP110" s="2081"/>
      <c r="AQ110" s="2081"/>
      <c r="AR110" s="2081"/>
      <c r="AS110" s="2081"/>
      <c r="AT110" s="2081"/>
      <c r="AU110" s="2081"/>
      <c r="AV110" s="2081"/>
      <c r="AW110" s="2081"/>
      <c r="AX110" s="2063"/>
      <c r="AY110" s="2063"/>
      <c r="AZ110" s="2072"/>
      <c r="BA110" s="2063"/>
      <c r="BB110" s="2063"/>
      <c r="BC110" s="2063"/>
      <c r="BD110" s="2063"/>
      <c r="BE110" s="2063"/>
      <c r="BF110" s="2063"/>
      <c r="BG110" s="2063"/>
      <c r="BH110" s="2063"/>
      <c r="BI110" s="2063"/>
      <c r="BJ110" s="2063"/>
      <c r="BK110" s="2063"/>
      <c r="BL110" s="2063"/>
      <c r="BM110" s="2063"/>
      <c r="BN110" s="2063"/>
      <c r="BO110" s="2063"/>
      <c r="BP110" s="2063"/>
      <c r="BQ110" s="2063"/>
      <c r="BR110" s="2063"/>
      <c r="BS110" s="2063"/>
      <c r="BT110" s="2063"/>
      <c r="BU110" s="2063"/>
      <c r="BV110" s="2063"/>
      <c r="BW110" s="2063"/>
    </row>
    <row r="111" spans="1:75">
      <c r="A111" s="2081"/>
      <c r="B111" s="2081"/>
      <c r="C111" s="2081"/>
      <c r="D111" s="2081"/>
      <c r="E111" s="2081"/>
      <c r="F111" s="2081"/>
      <c r="G111" s="2081"/>
      <c r="H111" s="2081"/>
      <c r="I111" s="2081"/>
      <c r="J111" s="2081"/>
      <c r="K111" s="2081"/>
      <c r="L111" s="2081"/>
      <c r="M111" s="2081"/>
      <c r="N111" s="2081"/>
      <c r="O111" s="2081"/>
      <c r="P111" s="2081"/>
      <c r="Q111" s="2081"/>
      <c r="R111" s="2081"/>
      <c r="S111" s="2081"/>
      <c r="T111" s="2081"/>
      <c r="U111" s="2081"/>
      <c r="V111" s="2081"/>
      <c r="W111" s="2081"/>
      <c r="X111" s="2081"/>
      <c r="Y111" s="2081"/>
      <c r="Z111" s="2081"/>
      <c r="AA111" s="2081"/>
      <c r="AB111" s="2081"/>
      <c r="AC111" s="2081"/>
      <c r="AD111" s="2081"/>
      <c r="AE111" s="2081"/>
      <c r="AF111" s="2081"/>
      <c r="AG111" s="2081"/>
      <c r="AH111" s="2081"/>
      <c r="AI111" s="2081"/>
      <c r="AJ111" s="2081"/>
      <c r="AK111" s="2081"/>
      <c r="AL111" s="2081"/>
      <c r="AM111" s="2081"/>
      <c r="AN111" s="2081"/>
      <c r="AO111" s="2081"/>
      <c r="AP111" s="2081"/>
      <c r="AQ111" s="2081"/>
      <c r="AR111" s="2081"/>
      <c r="AS111" s="2081"/>
      <c r="AT111" s="2081"/>
      <c r="AU111" s="2081"/>
      <c r="AV111" s="2081"/>
      <c r="AW111" s="2081"/>
      <c r="AX111" s="2063"/>
      <c r="AY111" s="2063"/>
      <c r="AZ111" s="2063"/>
      <c r="BA111" s="2063"/>
      <c r="BB111" s="2063"/>
      <c r="BC111" s="2063"/>
      <c r="BD111" s="2063"/>
      <c r="BE111" s="2063"/>
      <c r="BF111" s="2063"/>
      <c r="BG111" s="2063"/>
      <c r="BH111" s="2063"/>
      <c r="BI111" s="2063"/>
      <c r="BJ111" s="2063"/>
      <c r="BK111" s="2063"/>
      <c r="BL111" s="2063"/>
      <c r="BM111" s="2063"/>
      <c r="BN111" s="2063"/>
      <c r="BO111" s="2063"/>
      <c r="BP111" s="2063"/>
      <c r="BQ111" s="2063"/>
      <c r="BR111" s="2063"/>
      <c r="BS111" s="2063"/>
      <c r="BT111" s="2063"/>
      <c r="BU111" s="2063"/>
      <c r="BV111" s="2063"/>
      <c r="BW111" s="2063"/>
    </row>
    <row r="112" spans="1:75">
      <c r="A112" s="2081"/>
      <c r="B112" s="2081"/>
      <c r="C112" s="2081"/>
      <c r="D112" s="2081"/>
      <c r="E112" s="2081"/>
      <c r="F112" s="2081"/>
      <c r="G112" s="2081"/>
      <c r="H112" s="2081"/>
      <c r="I112" s="2081"/>
      <c r="J112" s="2081"/>
      <c r="K112" s="2081"/>
      <c r="L112" s="2081"/>
      <c r="M112" s="2081"/>
      <c r="N112" s="2081"/>
      <c r="O112" s="2081"/>
      <c r="P112" s="2081"/>
      <c r="Q112" s="2081"/>
      <c r="R112" s="2081"/>
      <c r="S112" s="2081"/>
      <c r="T112" s="2081"/>
      <c r="U112" s="2081"/>
      <c r="V112" s="2081"/>
      <c r="W112" s="2081"/>
      <c r="X112" s="2081"/>
      <c r="Y112" s="2081"/>
      <c r="Z112" s="2081"/>
      <c r="AA112" s="2081"/>
      <c r="AB112" s="2081"/>
      <c r="AC112" s="2081"/>
      <c r="AD112" s="2081"/>
      <c r="AE112" s="2081"/>
      <c r="AF112" s="2081"/>
      <c r="AG112" s="2081"/>
      <c r="AH112" s="2081"/>
      <c r="AI112" s="2081"/>
      <c r="AJ112" s="2081"/>
      <c r="AK112" s="2081"/>
      <c r="AL112" s="2081"/>
      <c r="AM112" s="2081"/>
      <c r="AN112" s="2081"/>
      <c r="AO112" s="2081"/>
      <c r="AP112" s="2081"/>
      <c r="AQ112" s="2081"/>
      <c r="AR112" s="2081"/>
      <c r="AS112" s="2081"/>
      <c r="AT112" s="2081"/>
      <c r="AU112" s="2081"/>
      <c r="AV112" s="2081"/>
      <c r="AW112" s="2081"/>
      <c r="AX112" s="2063"/>
      <c r="AY112" s="2063"/>
      <c r="AZ112" s="2072"/>
      <c r="BA112" s="2063"/>
      <c r="BB112" s="2063"/>
      <c r="BC112" s="2063"/>
      <c r="BD112" s="2063"/>
      <c r="BE112" s="2063"/>
      <c r="BF112" s="2063"/>
      <c r="BG112" s="2063"/>
      <c r="BH112" s="2063"/>
      <c r="BI112" s="2063"/>
      <c r="BJ112" s="2063"/>
      <c r="BK112" s="2063"/>
      <c r="BL112" s="2063"/>
      <c r="BM112" s="2063"/>
      <c r="BN112" s="2063"/>
      <c r="BO112" s="2063"/>
      <c r="BP112" s="2063"/>
      <c r="BQ112" s="2063"/>
      <c r="BR112" s="2063"/>
      <c r="BS112" s="2063"/>
      <c r="BT112" s="2063"/>
      <c r="BU112" s="2063"/>
      <c r="BV112" s="2063"/>
      <c r="BW112" s="2063"/>
    </row>
    <row r="113" spans="1:49">
      <c r="A113" s="2065"/>
      <c r="B113" s="2065"/>
      <c r="C113" s="2065"/>
      <c r="D113" s="2065"/>
      <c r="E113" s="2065"/>
      <c r="F113" s="2065"/>
      <c r="G113" s="2065"/>
      <c r="H113" s="2065"/>
      <c r="I113" s="2065"/>
      <c r="J113" s="2065"/>
      <c r="K113" s="2065"/>
      <c r="L113" s="2065"/>
      <c r="M113" s="2065"/>
      <c r="N113" s="2065"/>
      <c r="O113" s="2065"/>
      <c r="P113" s="2065"/>
      <c r="Q113" s="2065"/>
      <c r="R113" s="2065"/>
      <c r="S113" s="2065"/>
      <c r="T113" s="2065"/>
      <c r="U113" s="2065"/>
      <c r="V113" s="2065"/>
      <c r="W113" s="2065"/>
      <c r="X113" s="2065"/>
      <c r="Y113" s="2065"/>
      <c r="Z113" s="2065"/>
      <c r="AA113" s="2065"/>
      <c r="AB113" s="2065"/>
      <c r="AC113" s="2065"/>
      <c r="AD113" s="2065"/>
      <c r="AE113" s="2065"/>
      <c r="AF113" s="2065"/>
      <c r="AG113" s="2065"/>
      <c r="AH113" s="2065"/>
      <c r="AI113" s="2065"/>
      <c r="AJ113" s="2065"/>
      <c r="AK113" s="2065"/>
      <c r="AL113" s="2065"/>
      <c r="AM113" s="2065"/>
      <c r="AN113" s="2065"/>
      <c r="AO113" s="2065"/>
      <c r="AP113" s="2065"/>
      <c r="AQ113" s="2065"/>
      <c r="AR113" s="2065"/>
      <c r="AS113" s="2065"/>
      <c r="AT113" s="2065"/>
      <c r="AU113" s="2065"/>
      <c r="AV113" s="2065"/>
      <c r="AW113" s="2065"/>
    </row>
    <row r="114" spans="1:49">
      <c r="A114" s="2065"/>
      <c r="B114" s="2065"/>
      <c r="C114" s="2065"/>
      <c r="D114" s="2065"/>
      <c r="E114" s="2065"/>
      <c r="F114" s="2065"/>
      <c r="G114" s="2065"/>
      <c r="H114" s="2065"/>
      <c r="I114" s="2065"/>
      <c r="J114" s="2065"/>
      <c r="K114" s="2065"/>
      <c r="L114" s="2065"/>
      <c r="M114" s="2065"/>
      <c r="N114" s="2065"/>
      <c r="O114" s="2065"/>
      <c r="P114" s="2065"/>
      <c r="Q114" s="2065"/>
      <c r="R114" s="2065"/>
      <c r="S114" s="2065"/>
      <c r="T114" s="2065"/>
      <c r="U114" s="2065"/>
      <c r="V114" s="2065"/>
      <c r="W114" s="2065"/>
      <c r="X114" s="2065"/>
      <c r="Y114" s="2065"/>
      <c r="Z114" s="2065"/>
      <c r="AA114" s="2065"/>
      <c r="AB114" s="2065"/>
      <c r="AC114" s="2065"/>
      <c r="AD114" s="2065"/>
      <c r="AE114" s="2065"/>
      <c r="AF114" s="2065"/>
      <c r="AG114" s="2065"/>
      <c r="AH114" s="2065"/>
      <c r="AI114" s="2065"/>
      <c r="AJ114" s="2065"/>
      <c r="AK114" s="2065"/>
      <c r="AL114" s="2065"/>
      <c r="AM114" s="2065"/>
      <c r="AN114" s="2065"/>
      <c r="AO114" s="2065"/>
      <c r="AP114" s="2065"/>
      <c r="AQ114" s="2065"/>
      <c r="AR114" s="2065"/>
      <c r="AS114" s="2065"/>
      <c r="AT114" s="2065"/>
      <c r="AU114" s="2065"/>
      <c r="AV114" s="2065"/>
      <c r="AW114" s="2065"/>
    </row>
    <row r="115" spans="1:49">
      <c r="A115" s="2065"/>
      <c r="B115" s="2065"/>
      <c r="C115" s="2065"/>
      <c r="D115" s="2065"/>
      <c r="E115" s="2065"/>
      <c r="F115" s="2065"/>
      <c r="G115" s="2065"/>
      <c r="H115" s="2065"/>
      <c r="I115" s="2065"/>
      <c r="J115" s="2065"/>
      <c r="K115" s="2065"/>
      <c r="L115" s="2065"/>
      <c r="M115" s="2065"/>
      <c r="N115" s="2065"/>
      <c r="O115" s="2065"/>
      <c r="P115" s="2065"/>
      <c r="Q115" s="2065"/>
      <c r="R115" s="2065"/>
      <c r="S115" s="2065"/>
      <c r="T115" s="2065"/>
      <c r="U115" s="2065"/>
      <c r="V115" s="2065"/>
      <c r="W115" s="2065"/>
      <c r="X115" s="2065"/>
      <c r="Y115" s="2065"/>
      <c r="Z115" s="2065"/>
      <c r="AA115" s="2065"/>
      <c r="AB115" s="2065"/>
      <c r="AC115" s="2065"/>
      <c r="AD115" s="2065"/>
      <c r="AE115" s="2065"/>
      <c r="AF115" s="2065"/>
      <c r="AG115" s="2065"/>
      <c r="AH115" s="2065"/>
      <c r="AI115" s="2065"/>
      <c r="AJ115" s="2065"/>
      <c r="AK115" s="2065"/>
      <c r="AL115" s="2065"/>
      <c r="AM115" s="2065"/>
      <c r="AN115" s="2065"/>
      <c r="AO115" s="2065"/>
      <c r="AP115" s="2065"/>
      <c r="AQ115" s="2065"/>
      <c r="AR115" s="2065"/>
      <c r="AS115" s="2065"/>
      <c r="AT115" s="2065"/>
      <c r="AU115" s="2065"/>
      <c r="AV115" s="2065"/>
      <c r="AW115" s="2065"/>
    </row>
    <row r="116" spans="1:49">
      <c r="A116" s="2065"/>
      <c r="B116" s="2065"/>
      <c r="C116" s="2065"/>
      <c r="D116" s="2065"/>
      <c r="E116" s="2065"/>
      <c r="F116" s="2065"/>
      <c r="G116" s="2065"/>
      <c r="H116" s="2065"/>
      <c r="I116" s="2065"/>
      <c r="J116" s="2065"/>
      <c r="K116" s="2065"/>
      <c r="L116" s="2065"/>
      <c r="M116" s="2065"/>
      <c r="N116" s="2065"/>
      <c r="O116" s="2065"/>
      <c r="P116" s="2065"/>
      <c r="Q116" s="2065"/>
      <c r="R116" s="2065"/>
      <c r="S116" s="2065"/>
      <c r="T116" s="2065"/>
      <c r="U116" s="2065"/>
      <c r="V116" s="2065"/>
      <c r="W116" s="2065"/>
      <c r="X116" s="2065"/>
      <c r="Y116" s="2065"/>
      <c r="Z116" s="2065"/>
      <c r="AA116" s="2065"/>
      <c r="AB116" s="2065"/>
      <c r="AC116" s="2065"/>
      <c r="AD116" s="2065"/>
      <c r="AE116" s="2065"/>
      <c r="AF116" s="2065"/>
      <c r="AG116" s="2065"/>
      <c r="AH116" s="2065"/>
      <c r="AI116" s="2065"/>
      <c r="AJ116" s="2065"/>
      <c r="AK116" s="2065"/>
      <c r="AL116" s="2065"/>
      <c r="AM116" s="2065"/>
      <c r="AN116" s="2065"/>
      <c r="AO116" s="2065"/>
      <c r="AP116" s="2065"/>
      <c r="AQ116" s="2065"/>
      <c r="AR116" s="2065"/>
      <c r="AS116" s="2065"/>
      <c r="AT116" s="2065"/>
      <c r="AU116" s="2065"/>
      <c r="AV116" s="2065"/>
      <c r="AW116" s="2065"/>
    </row>
    <row r="117" spans="1:49">
      <c r="A117" s="2065"/>
      <c r="B117" s="2065"/>
      <c r="C117" s="2065"/>
      <c r="D117" s="2065"/>
      <c r="E117" s="2065"/>
      <c r="F117" s="2065"/>
      <c r="G117" s="2065"/>
      <c r="H117" s="2065"/>
      <c r="I117" s="2065"/>
      <c r="J117" s="2065"/>
      <c r="K117" s="2065"/>
      <c r="L117" s="2065"/>
      <c r="M117" s="2065"/>
      <c r="N117" s="2065"/>
      <c r="O117" s="2065"/>
      <c r="P117" s="2065"/>
      <c r="Q117" s="2065"/>
      <c r="R117" s="2065"/>
      <c r="S117" s="2065"/>
      <c r="T117" s="2065"/>
      <c r="U117" s="2065"/>
      <c r="V117" s="2065"/>
      <c r="W117" s="2065"/>
      <c r="X117" s="2065"/>
      <c r="Y117" s="2065"/>
      <c r="Z117" s="2065"/>
      <c r="AA117" s="2065"/>
      <c r="AB117" s="2065"/>
      <c r="AC117" s="2065"/>
      <c r="AD117" s="2065"/>
      <c r="AE117" s="2065"/>
      <c r="AF117" s="2065"/>
      <c r="AG117" s="2065"/>
      <c r="AH117" s="2065"/>
      <c r="AI117" s="2065"/>
      <c r="AJ117" s="2065"/>
      <c r="AK117" s="2065"/>
      <c r="AL117" s="2065"/>
      <c r="AM117" s="2065"/>
      <c r="AN117" s="2065"/>
      <c r="AO117" s="2065"/>
      <c r="AP117" s="2065"/>
      <c r="AQ117" s="2065"/>
      <c r="AR117" s="2065"/>
      <c r="AS117" s="2065"/>
      <c r="AT117" s="2065"/>
      <c r="AU117" s="2065"/>
      <c r="AV117" s="2065"/>
      <c r="AW117" s="2065"/>
    </row>
    <row r="118" spans="1:49">
      <c r="A118" s="2065"/>
      <c r="B118" s="2065"/>
      <c r="C118" s="2065"/>
      <c r="D118" s="2065"/>
      <c r="E118" s="2065"/>
      <c r="F118" s="2065"/>
      <c r="G118" s="2065"/>
      <c r="H118" s="2065"/>
      <c r="I118" s="2065"/>
      <c r="J118" s="2065"/>
      <c r="K118" s="2065"/>
      <c r="L118" s="2065"/>
      <c r="M118" s="2065"/>
      <c r="N118" s="2065"/>
      <c r="O118" s="2065"/>
      <c r="P118" s="2065"/>
      <c r="Q118" s="2065"/>
      <c r="R118" s="2065"/>
      <c r="S118" s="2065"/>
      <c r="T118" s="2065"/>
      <c r="U118" s="2065"/>
      <c r="V118" s="2065"/>
      <c r="W118" s="2065"/>
      <c r="X118" s="2065"/>
      <c r="Y118" s="2065"/>
      <c r="Z118" s="2065"/>
      <c r="AA118" s="2065"/>
      <c r="AB118" s="2065"/>
      <c r="AC118" s="2065"/>
      <c r="AD118" s="2065"/>
      <c r="AE118" s="2065"/>
      <c r="AF118" s="2065"/>
      <c r="AG118" s="2065"/>
      <c r="AH118" s="2065"/>
      <c r="AI118" s="2065"/>
      <c r="AJ118" s="2065"/>
      <c r="AK118" s="2065"/>
      <c r="AL118" s="2065"/>
      <c r="AM118" s="2065"/>
      <c r="AN118" s="2065"/>
      <c r="AO118" s="2065"/>
      <c r="AP118" s="2065"/>
      <c r="AQ118" s="2065"/>
      <c r="AR118" s="2065"/>
      <c r="AS118" s="2065"/>
      <c r="AT118" s="2065"/>
      <c r="AU118" s="2065"/>
      <c r="AV118" s="2065"/>
      <c r="AW118" s="2065"/>
    </row>
    <row r="119" spans="1:49">
      <c r="A119" s="2065"/>
      <c r="B119" s="2065"/>
      <c r="C119" s="2065"/>
      <c r="D119" s="2065"/>
      <c r="E119" s="2065"/>
      <c r="F119" s="2065"/>
      <c r="G119" s="2065"/>
      <c r="H119" s="2065"/>
      <c r="I119" s="2065"/>
      <c r="J119" s="2065"/>
      <c r="K119" s="2065"/>
      <c r="L119" s="2065"/>
      <c r="M119" s="2065"/>
      <c r="N119" s="2065"/>
      <c r="O119" s="2065"/>
      <c r="P119" s="2065"/>
      <c r="Q119" s="2065"/>
      <c r="R119" s="2065"/>
      <c r="S119" s="2065"/>
      <c r="T119" s="2065"/>
      <c r="U119" s="2065"/>
      <c r="V119" s="2065"/>
      <c r="W119" s="2065"/>
      <c r="X119" s="2065"/>
      <c r="Y119" s="2065"/>
      <c r="Z119" s="2065"/>
      <c r="AA119" s="2065"/>
      <c r="AB119" s="2065"/>
      <c r="AC119" s="2065"/>
      <c r="AD119" s="2065"/>
      <c r="AE119" s="2065"/>
      <c r="AF119" s="2065"/>
      <c r="AG119" s="2065"/>
      <c r="AH119" s="2065"/>
      <c r="AI119" s="2065"/>
      <c r="AJ119" s="2065"/>
      <c r="AK119" s="2065"/>
      <c r="AL119" s="2065"/>
      <c r="AM119" s="2065"/>
      <c r="AN119" s="2065"/>
      <c r="AO119" s="2065"/>
      <c r="AP119" s="2065"/>
      <c r="AQ119" s="2065"/>
      <c r="AR119" s="2065"/>
      <c r="AS119" s="2065"/>
      <c r="AT119" s="2065"/>
      <c r="AU119" s="2065"/>
      <c r="AV119" s="2065"/>
      <c r="AW119" s="2065"/>
    </row>
    <row r="120" spans="1:49">
      <c r="A120" s="2065"/>
      <c r="B120" s="2065"/>
      <c r="C120" s="2065"/>
      <c r="D120" s="2065"/>
      <c r="E120" s="2065"/>
      <c r="F120" s="2065"/>
      <c r="G120" s="2065"/>
      <c r="H120" s="2065"/>
      <c r="I120" s="2065"/>
      <c r="J120" s="2065"/>
      <c r="K120" s="2065"/>
      <c r="L120" s="2065"/>
      <c r="M120" s="2065"/>
      <c r="N120" s="2065"/>
      <c r="O120" s="2065"/>
      <c r="P120" s="2065"/>
      <c r="Q120" s="2065"/>
      <c r="R120" s="2065"/>
      <c r="S120" s="2065"/>
      <c r="T120" s="2065"/>
      <c r="U120" s="2065"/>
      <c r="V120" s="2065"/>
      <c r="W120" s="2065"/>
      <c r="X120" s="2065"/>
      <c r="Y120" s="2065"/>
      <c r="Z120" s="2065"/>
      <c r="AA120" s="2065"/>
      <c r="AB120" s="2065"/>
      <c r="AC120" s="2065"/>
      <c r="AD120" s="2065"/>
      <c r="AE120" s="2065"/>
      <c r="AF120" s="2065"/>
      <c r="AG120" s="2065"/>
      <c r="AH120" s="2065"/>
      <c r="AI120" s="2065"/>
      <c r="AJ120" s="2065"/>
      <c r="AK120" s="2065"/>
      <c r="AL120" s="2065"/>
      <c r="AM120" s="2065"/>
      <c r="AN120" s="2065"/>
      <c r="AO120" s="2065"/>
      <c r="AP120" s="2065"/>
      <c r="AQ120" s="2065"/>
      <c r="AR120" s="2065"/>
      <c r="AS120" s="2065"/>
      <c r="AT120" s="2065"/>
      <c r="AU120" s="2065"/>
      <c r="AV120" s="2065"/>
      <c r="AW120" s="2065"/>
    </row>
    <row r="121" spans="1:49">
      <c r="A121" s="2065"/>
      <c r="B121" s="2065"/>
      <c r="C121" s="2065"/>
      <c r="D121" s="2065"/>
      <c r="E121" s="2065"/>
      <c r="F121" s="2065"/>
      <c r="G121" s="2065"/>
      <c r="H121" s="2065"/>
      <c r="I121" s="2065"/>
      <c r="J121" s="2065"/>
      <c r="K121" s="2065"/>
      <c r="L121" s="2065"/>
      <c r="M121" s="2065"/>
      <c r="N121" s="2065"/>
      <c r="O121" s="2065"/>
      <c r="P121" s="2065"/>
      <c r="Q121" s="2065"/>
      <c r="R121" s="2065"/>
      <c r="S121" s="2065"/>
      <c r="T121" s="2065"/>
      <c r="U121" s="2065"/>
      <c r="V121" s="2065"/>
      <c r="W121" s="2065"/>
      <c r="X121" s="2065"/>
      <c r="Y121" s="2065"/>
      <c r="Z121" s="2065"/>
      <c r="AA121" s="2065"/>
      <c r="AB121" s="2065"/>
      <c r="AC121" s="2065"/>
      <c r="AD121" s="2065"/>
      <c r="AE121" s="2065"/>
      <c r="AF121" s="2065"/>
      <c r="AG121" s="2065"/>
      <c r="AH121" s="2065"/>
      <c r="AI121" s="2065"/>
      <c r="AJ121" s="2065"/>
      <c r="AK121" s="2065"/>
      <c r="AL121" s="2065"/>
      <c r="AM121" s="2065"/>
      <c r="AN121" s="2065"/>
      <c r="AO121" s="2065"/>
      <c r="AP121" s="2065"/>
      <c r="AQ121" s="2065"/>
      <c r="AR121" s="2065"/>
      <c r="AS121" s="2065"/>
      <c r="AT121" s="2065"/>
      <c r="AU121" s="2065"/>
      <c r="AV121" s="2065"/>
      <c r="AW121" s="2065"/>
    </row>
    <row r="122" spans="1:49">
      <c r="A122" s="2065"/>
      <c r="B122" s="2065"/>
      <c r="C122" s="2065"/>
      <c r="D122" s="2065"/>
      <c r="E122" s="2065"/>
      <c r="F122" s="2065"/>
      <c r="G122" s="2065"/>
      <c r="H122" s="2065"/>
      <c r="I122" s="2065"/>
      <c r="J122" s="2065"/>
      <c r="K122" s="2065"/>
      <c r="L122" s="2065"/>
      <c r="M122" s="2065"/>
      <c r="N122" s="2065"/>
      <c r="O122" s="2065"/>
      <c r="P122" s="2065"/>
      <c r="Q122" s="2065"/>
      <c r="R122" s="2065"/>
      <c r="S122" s="2065"/>
      <c r="T122" s="2065"/>
      <c r="U122" s="2065"/>
      <c r="V122" s="2065"/>
      <c r="W122" s="2065"/>
      <c r="X122" s="2065"/>
      <c r="Y122" s="2065"/>
      <c r="Z122" s="2065"/>
      <c r="AA122" s="2065"/>
      <c r="AB122" s="2065"/>
      <c r="AC122" s="2065"/>
      <c r="AD122" s="2065"/>
      <c r="AE122" s="2065"/>
      <c r="AF122" s="2065"/>
      <c r="AG122" s="2065"/>
      <c r="AH122" s="2065"/>
      <c r="AI122" s="2065"/>
      <c r="AJ122" s="2065"/>
      <c r="AK122" s="2065"/>
      <c r="AL122" s="2065"/>
      <c r="AM122" s="2065"/>
      <c r="AN122" s="2065"/>
      <c r="AO122" s="2065"/>
      <c r="AP122" s="2065"/>
      <c r="AQ122" s="2065"/>
      <c r="AR122" s="2065"/>
      <c r="AS122" s="2065"/>
      <c r="AT122" s="2065"/>
      <c r="AU122" s="2065"/>
      <c r="AV122" s="2065"/>
      <c r="AW122" s="2065"/>
    </row>
    <row r="123" spans="1:49">
      <c r="A123" s="2065"/>
      <c r="B123" s="2065"/>
      <c r="C123" s="2065"/>
      <c r="D123" s="2065"/>
      <c r="E123" s="2065"/>
      <c r="F123" s="2065"/>
      <c r="G123" s="2065"/>
      <c r="H123" s="2065"/>
      <c r="I123" s="2065"/>
      <c r="J123" s="2065"/>
      <c r="K123" s="2065"/>
      <c r="L123" s="2065"/>
      <c r="M123" s="2065"/>
      <c r="N123" s="2065"/>
      <c r="O123" s="2065"/>
      <c r="P123" s="2065"/>
      <c r="Q123" s="2065"/>
      <c r="R123" s="2065"/>
      <c r="S123" s="2065"/>
      <c r="T123" s="2065"/>
      <c r="U123" s="2065"/>
      <c r="V123" s="2065"/>
      <c r="W123" s="2065"/>
      <c r="X123" s="2065"/>
      <c r="Y123" s="2065"/>
      <c r="Z123" s="2065"/>
      <c r="AA123" s="2065"/>
      <c r="AB123" s="2065"/>
      <c r="AC123" s="2065"/>
      <c r="AD123" s="2065"/>
      <c r="AE123" s="2065"/>
      <c r="AF123" s="2065"/>
      <c r="AG123" s="2065"/>
      <c r="AH123" s="2065"/>
      <c r="AI123" s="2065"/>
      <c r="AJ123" s="2065"/>
      <c r="AK123" s="2065"/>
      <c r="AL123" s="2065"/>
      <c r="AM123" s="2065"/>
      <c r="AN123" s="2065"/>
      <c r="AO123" s="2065"/>
      <c r="AP123" s="2065"/>
      <c r="AQ123" s="2065"/>
      <c r="AR123" s="2065"/>
      <c r="AS123" s="2065"/>
      <c r="AT123" s="2065"/>
      <c r="AU123" s="2065"/>
      <c r="AV123" s="2065"/>
      <c r="AW123" s="2065"/>
    </row>
    <row r="124" spans="1:49">
      <c r="A124" s="2065"/>
      <c r="B124" s="2065"/>
      <c r="C124" s="2065"/>
      <c r="D124" s="2065"/>
      <c r="E124" s="2065"/>
      <c r="F124" s="2065"/>
      <c r="G124" s="2065"/>
      <c r="H124" s="2065"/>
      <c r="I124" s="2065"/>
      <c r="J124" s="2065"/>
      <c r="K124" s="2065"/>
      <c r="L124" s="2065"/>
      <c r="M124" s="2065"/>
      <c r="N124" s="2065"/>
      <c r="O124" s="2065"/>
      <c r="P124" s="2065"/>
      <c r="Q124" s="2065"/>
      <c r="R124" s="2065"/>
      <c r="S124" s="2065"/>
      <c r="T124" s="2065"/>
      <c r="U124" s="2065"/>
      <c r="V124" s="2065"/>
      <c r="W124" s="2065"/>
      <c r="X124" s="2065"/>
      <c r="Y124" s="2065"/>
      <c r="Z124" s="2065"/>
      <c r="AA124" s="2065"/>
      <c r="AB124" s="2065"/>
      <c r="AC124" s="2065"/>
      <c r="AD124" s="2065"/>
      <c r="AE124" s="2065"/>
      <c r="AF124" s="2065"/>
      <c r="AG124" s="2065"/>
      <c r="AH124" s="2065"/>
      <c r="AI124" s="2065"/>
      <c r="AJ124" s="2065"/>
      <c r="AK124" s="2065"/>
      <c r="AL124" s="2065"/>
      <c r="AM124" s="2065"/>
      <c r="AN124" s="2065"/>
      <c r="AO124" s="2065"/>
      <c r="AP124" s="2065"/>
      <c r="AQ124" s="2065"/>
      <c r="AR124" s="2065"/>
      <c r="AS124" s="2065"/>
      <c r="AT124" s="2065"/>
      <c r="AU124" s="2065"/>
      <c r="AV124" s="2065"/>
      <c r="AW124" s="2065"/>
    </row>
    <row r="125" spans="1:49">
      <c r="A125" s="2065"/>
      <c r="B125" s="2065"/>
      <c r="C125" s="2065"/>
      <c r="D125" s="2065"/>
      <c r="E125" s="2065"/>
      <c r="F125" s="2065"/>
      <c r="G125" s="2065"/>
      <c r="H125" s="2065"/>
      <c r="I125" s="2065"/>
      <c r="J125" s="2065"/>
      <c r="K125" s="2065"/>
      <c r="L125" s="2065"/>
      <c r="M125" s="2065"/>
      <c r="N125" s="2065"/>
      <c r="O125" s="2065"/>
      <c r="P125" s="2065"/>
      <c r="Q125" s="2065"/>
      <c r="R125" s="2065"/>
      <c r="S125" s="2065"/>
      <c r="T125" s="2065"/>
      <c r="U125" s="2065"/>
      <c r="V125" s="2065"/>
      <c r="W125" s="2065"/>
      <c r="X125" s="2065"/>
      <c r="Y125" s="2065"/>
      <c r="Z125" s="2065"/>
      <c r="AA125" s="2065"/>
      <c r="AB125" s="2065"/>
      <c r="AC125" s="2065"/>
      <c r="AD125" s="2065"/>
      <c r="AE125" s="2065"/>
      <c r="AF125" s="2065"/>
      <c r="AG125" s="2065"/>
      <c r="AH125" s="2065"/>
      <c r="AI125" s="2065"/>
      <c r="AJ125" s="2065"/>
      <c r="AK125" s="2065"/>
      <c r="AL125" s="2065"/>
      <c r="AM125" s="2065"/>
      <c r="AN125" s="2065"/>
      <c r="AO125" s="2065"/>
      <c r="AP125" s="2065"/>
      <c r="AQ125" s="2065"/>
      <c r="AR125" s="2065"/>
      <c r="AS125" s="2065"/>
      <c r="AT125" s="2065"/>
      <c r="AU125" s="2065"/>
      <c r="AV125" s="2065"/>
      <c r="AW125" s="2065"/>
    </row>
    <row r="126" spans="1:49">
      <c r="A126" s="2065"/>
      <c r="B126" s="2065"/>
      <c r="C126" s="2065"/>
      <c r="D126" s="2065"/>
      <c r="E126" s="2065"/>
      <c r="F126" s="2065"/>
      <c r="G126" s="2065"/>
      <c r="H126" s="2065"/>
      <c r="I126" s="2065"/>
      <c r="J126" s="2065"/>
      <c r="K126" s="2065"/>
      <c r="L126" s="2065"/>
      <c r="M126" s="2065"/>
      <c r="N126" s="2065"/>
      <c r="O126" s="2065"/>
      <c r="P126" s="2065"/>
      <c r="Q126" s="2065"/>
      <c r="R126" s="2065"/>
      <c r="S126" s="2065"/>
      <c r="T126" s="2065"/>
      <c r="U126" s="2065"/>
      <c r="V126" s="2065"/>
      <c r="W126" s="2065"/>
      <c r="X126" s="2065"/>
      <c r="Y126" s="2065"/>
      <c r="Z126" s="2065"/>
      <c r="AA126" s="2065"/>
      <c r="AB126" s="2065"/>
      <c r="AC126" s="2065"/>
      <c r="AD126" s="2065"/>
      <c r="AE126" s="2065"/>
      <c r="AF126" s="2065"/>
      <c r="AG126" s="2065"/>
      <c r="AH126" s="2065"/>
      <c r="AI126" s="2065"/>
      <c r="AJ126" s="2065"/>
      <c r="AK126" s="2065"/>
      <c r="AL126" s="2065"/>
      <c r="AM126" s="2065"/>
      <c r="AN126" s="2065"/>
      <c r="AO126" s="2065"/>
      <c r="AP126" s="2065"/>
      <c r="AQ126" s="2065"/>
      <c r="AR126" s="2065"/>
      <c r="AS126" s="2065"/>
      <c r="AT126" s="2065"/>
      <c r="AU126" s="2065"/>
      <c r="AV126" s="2065"/>
      <c r="AW126" s="2065"/>
    </row>
  </sheetData>
  <printOptions horizontalCentered="1" verticalCentered="1"/>
  <pageMargins left="0" right="0" top="0" bottom="0" header="0" footer="0"/>
  <pageSetup paperSize="5" scale="39" orientation="landscape" r:id="rId1"/>
  <headerFooter alignWithMargins="0"/>
  <ignoredErrors>
    <ignoredError sqref="A66:E66 F66:I66 J66:M66 N66:Q66 R66:U66 V66:Y66 Z66:AC66 AL56:AO57 AH56:AK57 Z56:AC57 V56:Y57 R56:U57 N56:Q57 F56:I63 A56:E63 AP56:AR57 AP58:AR63 AH58:AK63 AL58:AO63 AL66:AO66 AH66:AK66 AP66:AR66 AD64:AG65 AD67:AG67 AD66:AG66 AD58:AG63 AH64:AK65 AH67:AK67 AL64:AO65 AL67:AO67 AP64:AR65 AP67:AR67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EN72"/>
  <sheetViews>
    <sheetView showGridLines="0" zoomScaleNormal="100" zoomScaleSheetLayoutView="85" workbookViewId="0">
      <pane xSplit="1" ySplit="6" topLeftCell="B7" activePane="bottomRight" state="frozen"/>
      <selection pane="topRight"/>
      <selection pane="bottomLeft"/>
      <selection pane="bottomRight"/>
    </sheetView>
  </sheetViews>
  <sheetFormatPr defaultRowHeight="12.75" outlineLevelCol="1"/>
  <cols>
    <col min="1" max="1" width="25.7109375" customWidth="1"/>
    <col min="2" max="2" width="0.85546875" customWidth="1"/>
    <col min="3" max="3" width="6.140625" hidden="1" customWidth="1" outlineLevel="1"/>
    <col min="4" max="4" width="0.85546875" hidden="1" customWidth="1" outlineLevel="1"/>
    <col min="5" max="5" width="6.140625" hidden="1" customWidth="1" outlineLevel="1"/>
    <col min="6" max="6" width="0.85546875" hidden="1" customWidth="1" outlineLevel="1"/>
    <col min="7" max="7" width="6.140625" hidden="1" customWidth="1" outlineLevel="1"/>
    <col min="8" max="8" width="0.85546875" hidden="1" customWidth="1" outlineLevel="1"/>
    <col min="9" max="9" width="6.140625" hidden="1" customWidth="1" outlineLevel="1"/>
    <col min="10" max="10" width="0.85546875" hidden="1" customWidth="1" outlineLevel="1"/>
    <col min="11" max="11" width="6.140625" hidden="1" customWidth="1" outlineLevel="1"/>
    <col min="12" max="12" width="0.85546875" hidden="1" customWidth="1" outlineLevel="1"/>
    <col min="13" max="13" width="6.140625" hidden="1" customWidth="1" outlineLevel="1"/>
    <col min="14" max="14" width="0.85546875" hidden="1" customWidth="1" outlineLevel="1"/>
    <col min="15" max="15" width="6.140625" hidden="1" customWidth="1" outlineLevel="1"/>
    <col min="16" max="16" width="0.85546875" hidden="1" customWidth="1" outlineLevel="1"/>
    <col min="17" max="17" width="6.140625" hidden="1" customWidth="1" outlineLevel="1"/>
    <col min="18" max="18" width="0.85546875" hidden="1" customWidth="1" outlineLevel="1"/>
    <col min="19" max="23" width="6.140625" hidden="1" customWidth="1" outlineLevel="1"/>
    <col min="24" max="24" width="0.85546875" hidden="1" customWidth="1" outlineLevel="1"/>
    <col min="25" max="29" width="6.140625" hidden="1" customWidth="1" outlineLevel="1"/>
    <col min="30" max="30" width="0.85546875" hidden="1" customWidth="1" outlineLevel="1"/>
    <col min="31" max="35" width="6.140625" hidden="1" customWidth="1" outlineLevel="1"/>
    <col min="36" max="36" width="0.85546875" hidden="1" customWidth="1" outlineLevel="1"/>
    <col min="37" max="41" width="6.140625" hidden="1" customWidth="1" outlineLevel="1"/>
    <col min="42" max="42" width="0.85546875" hidden="1" customWidth="1" outlineLevel="1"/>
    <col min="43" max="47" width="6.140625" hidden="1" customWidth="1" outlineLevel="1"/>
    <col min="48" max="48" width="0.85546875" hidden="1" customWidth="1" outlineLevel="1"/>
    <col min="49" max="53" width="6.140625" hidden="1" customWidth="1" outlineLevel="1"/>
    <col min="54" max="54" width="0.85546875" hidden="1" customWidth="1" outlineLevel="1"/>
    <col min="55" max="58" width="6.140625" hidden="1" customWidth="1" outlineLevel="1"/>
    <col min="59" max="59" width="6.140625" customWidth="1" collapsed="1"/>
    <col min="60" max="60" width="0.85546875" customWidth="1"/>
    <col min="61" max="64" width="6.140625" hidden="1" customWidth="1" outlineLevel="1"/>
    <col min="65" max="65" width="6.140625" customWidth="1" collapsed="1"/>
    <col min="66" max="66" width="0.85546875" customWidth="1"/>
    <col min="67" max="70" width="6.140625" hidden="1" customWidth="1" outlineLevel="1"/>
    <col min="71" max="71" width="6.140625" customWidth="1" collapsed="1"/>
    <col min="72" max="72" width="0.85546875" customWidth="1"/>
    <col min="73" max="76" width="6.140625" hidden="1" customWidth="1" outlineLevel="1"/>
    <col min="77" max="77" width="6.140625" customWidth="1" collapsed="1"/>
    <col min="78" max="78" width="0.85546875" customWidth="1"/>
    <col min="79" max="82" width="6.140625" hidden="1" customWidth="1" outlineLevel="1"/>
    <col min="83" max="83" width="6.140625" customWidth="1" collapsed="1"/>
    <col min="84" max="84" width="0.85546875" customWidth="1"/>
    <col min="85" max="88" width="6.140625" hidden="1" customWidth="1" outlineLevel="1"/>
    <col min="89" max="89" width="6.140625" customWidth="1" collapsed="1"/>
    <col min="90" max="90" width="0.85546875" customWidth="1"/>
    <col min="91" max="94" width="6.140625" customWidth="1" outlineLevel="1"/>
    <col min="95" max="95" width="6.140625" customWidth="1"/>
    <col min="96" max="96" width="0.85546875" customWidth="1"/>
    <col min="97" max="100" width="6.140625" customWidth="1" outlineLevel="1"/>
    <col min="101" max="101" width="6.140625" customWidth="1"/>
    <col min="102" max="102" width="0.85546875" style="278" customWidth="1"/>
    <col min="103" max="106" width="6.140625" hidden="1" customWidth="1" outlineLevel="1"/>
    <col min="107" max="107" width="6.140625" customWidth="1" collapsed="1"/>
    <col min="108" max="108" width="0.85546875" style="278" customWidth="1"/>
    <col min="109" max="112" width="6.140625" hidden="1" customWidth="1" outlineLevel="1"/>
    <col min="113" max="113" width="6.140625" customWidth="1" collapsed="1"/>
    <col min="114" max="115" width="6.140625" style="278" customWidth="1"/>
    <col min="116" max="116" width="10.5703125" customWidth="1"/>
    <col min="117" max="120" width="6.85546875" hidden="1" customWidth="1" outlineLevel="1"/>
    <col min="121" max="121" width="6.85546875" hidden="1" customWidth="1" outlineLevel="1" collapsed="1"/>
    <col min="122" max="127" width="6.85546875" hidden="1" customWidth="1" outlineLevel="1"/>
    <col min="128" max="128" width="5.28515625" hidden="1" customWidth="1" outlineLevel="1"/>
    <col min="129" max="129" width="6.85546875" customWidth="1" collapsed="1"/>
    <col min="130" max="144" width="6.85546875" customWidth="1"/>
  </cols>
  <sheetData>
    <row r="1" spans="1:144" ht="11.25" customHeight="1">
      <c r="X1" s="2"/>
    </row>
    <row r="2" spans="1:144" ht="11.25" customHeight="1">
      <c r="A2" s="823" t="s">
        <v>265</v>
      </c>
      <c r="B2" s="3"/>
      <c r="C2" s="3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</row>
    <row r="3" spans="1:144" ht="11.25" customHeight="1">
      <c r="A3" s="912" t="s">
        <v>257</v>
      </c>
      <c r="B3" s="913"/>
      <c r="C3" s="913"/>
      <c r="D3" s="914"/>
      <c r="E3" s="914"/>
      <c r="F3" s="914"/>
      <c r="G3" s="914"/>
      <c r="H3" s="914"/>
      <c r="I3" s="914"/>
      <c r="J3" s="914"/>
      <c r="K3" s="914"/>
      <c r="L3" s="914"/>
      <c r="M3" s="914"/>
      <c r="N3" s="914"/>
      <c r="O3" s="914"/>
      <c r="P3" s="914"/>
      <c r="Q3" s="914"/>
      <c r="R3" s="914"/>
      <c r="S3" s="914"/>
      <c r="T3" s="914"/>
      <c r="U3" s="914"/>
      <c r="V3" s="914"/>
      <c r="W3" s="914"/>
      <c r="X3" s="914"/>
      <c r="Y3" s="914"/>
      <c r="Z3" s="914"/>
      <c r="AA3" s="914"/>
      <c r="AB3" s="914"/>
      <c r="AC3" s="914"/>
      <c r="AD3" s="914"/>
      <c r="AE3" s="914"/>
      <c r="AF3" s="914"/>
      <c r="AG3" s="914"/>
      <c r="AH3" s="914"/>
      <c r="AI3" s="914"/>
      <c r="AJ3" s="914"/>
      <c r="AK3" s="914"/>
      <c r="AL3" s="914"/>
      <c r="AM3" s="914"/>
      <c r="AN3" s="914"/>
      <c r="AO3" s="914"/>
      <c r="AP3" s="914"/>
      <c r="AQ3" s="914"/>
      <c r="AR3" s="914"/>
      <c r="AS3" s="914"/>
      <c r="AT3" s="914"/>
      <c r="AU3" s="914"/>
      <c r="AV3" s="914"/>
      <c r="AW3" s="914"/>
      <c r="AX3" s="914"/>
      <c r="AY3" s="914"/>
      <c r="AZ3" s="914"/>
      <c r="BA3" s="914"/>
      <c r="BB3" s="914"/>
      <c r="BC3" s="914"/>
      <c r="BD3" s="914"/>
      <c r="BE3" s="914"/>
      <c r="BF3" s="914"/>
      <c r="BG3" s="914"/>
      <c r="BH3" s="914"/>
      <c r="BI3" s="914"/>
      <c r="BJ3" s="914"/>
      <c r="BK3" s="914"/>
      <c r="BL3" s="914"/>
      <c r="BM3" s="914"/>
      <c r="BN3" s="914"/>
      <c r="BO3" s="914"/>
      <c r="BP3" s="914"/>
      <c r="BQ3" s="914"/>
      <c r="BR3" s="914"/>
      <c r="BS3" s="914"/>
      <c r="BT3" s="914"/>
      <c r="BU3" s="914"/>
      <c r="BV3" s="914"/>
      <c r="BW3" s="914"/>
      <c r="BX3" s="914"/>
      <c r="BY3" s="914"/>
      <c r="BZ3" s="914"/>
      <c r="CA3" s="914"/>
      <c r="CB3" s="914"/>
      <c r="CC3" s="914"/>
      <c r="CD3" s="914"/>
      <c r="CE3" s="212"/>
      <c r="CF3" s="212"/>
      <c r="CG3" s="212"/>
      <c r="CH3" s="212"/>
      <c r="CI3" s="212"/>
      <c r="CJ3" s="212"/>
      <c r="CK3" s="212"/>
      <c r="CL3" s="212"/>
      <c r="CM3" s="212"/>
      <c r="CN3" s="212"/>
      <c r="CO3" s="212"/>
      <c r="CP3" s="212"/>
      <c r="CQ3" s="212"/>
      <c r="CR3" s="212"/>
      <c r="CS3" s="212"/>
      <c r="CT3" s="212"/>
      <c r="CU3" s="212"/>
      <c r="CV3" s="212"/>
      <c r="CW3" s="212"/>
      <c r="CX3" s="481"/>
      <c r="CY3" s="212"/>
      <c r="CZ3" s="212"/>
      <c r="DA3" s="212"/>
      <c r="DB3" s="212"/>
      <c r="DC3" s="212"/>
      <c r="DD3" s="481"/>
      <c r="DE3" s="212"/>
      <c r="DF3" s="212"/>
      <c r="DG3" s="212"/>
      <c r="DH3" s="212"/>
      <c r="DI3" s="212"/>
      <c r="DJ3" s="481"/>
      <c r="DK3" s="481"/>
    </row>
    <row r="4" spans="1:144" ht="11.25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DM4" s="1698"/>
      <c r="DN4" s="1698"/>
      <c r="DO4" s="1698"/>
      <c r="DP4" s="1698"/>
      <c r="DQ4" s="1698"/>
      <c r="DR4" s="1698"/>
      <c r="DS4" s="1698"/>
      <c r="DT4" s="1698"/>
      <c r="DU4" s="1698"/>
      <c r="DV4" s="1698"/>
      <c r="DW4" s="1698"/>
      <c r="DX4" s="1698"/>
      <c r="DY4" s="1698"/>
      <c r="DZ4" s="1698"/>
      <c r="EA4" s="1698"/>
      <c r="EB4" s="1698"/>
      <c r="EC4" s="1698"/>
      <c r="ED4" s="1698"/>
      <c r="EE4" s="1698"/>
      <c r="EF4" s="1698"/>
      <c r="EG4" s="1698"/>
      <c r="EH4" s="1698"/>
      <c r="EI4" s="1698"/>
      <c r="EJ4" s="1698"/>
    </row>
    <row r="5" spans="1:144" ht="11.25" customHeight="1">
      <c r="A5" s="793" t="s">
        <v>361</v>
      </c>
      <c r="B5" s="7"/>
      <c r="C5" s="789">
        <v>1998</v>
      </c>
      <c r="D5" s="794"/>
      <c r="E5" s="789">
        <f>C5+1</f>
        <v>1999</v>
      </c>
      <c r="F5" s="794"/>
      <c r="G5" s="789">
        <f>E5+1</f>
        <v>2000</v>
      </c>
      <c r="H5" s="794"/>
      <c r="I5" s="789">
        <f>G5+1</f>
        <v>2001</v>
      </c>
      <c r="J5" s="794"/>
      <c r="K5" s="789">
        <f>I5+1</f>
        <v>2002</v>
      </c>
      <c r="L5" s="794"/>
      <c r="M5" s="789">
        <f>K5+1</f>
        <v>2003</v>
      </c>
      <c r="N5" s="794"/>
      <c r="O5" s="789">
        <f>M5+1</f>
        <v>2004</v>
      </c>
      <c r="P5" s="794"/>
      <c r="Q5" s="789">
        <f>O5+1</f>
        <v>2005</v>
      </c>
      <c r="R5" s="795"/>
      <c r="S5" s="796" t="s">
        <v>21</v>
      </c>
      <c r="T5" s="797"/>
      <c r="U5" s="797"/>
      <c r="V5" s="797"/>
      <c r="W5" s="789">
        <f>Q5+1</f>
        <v>2006</v>
      </c>
      <c r="X5" s="798"/>
      <c r="Y5" s="796">
        <v>2007</v>
      </c>
      <c r="Z5" s="797"/>
      <c r="AA5" s="797"/>
      <c r="AB5" s="797"/>
      <c r="AC5" s="789">
        <f>W5+1</f>
        <v>2007</v>
      </c>
      <c r="AD5" s="790"/>
      <c r="AE5" s="796">
        <f>Y5+1</f>
        <v>2008</v>
      </c>
      <c r="AF5" s="797"/>
      <c r="AG5" s="797"/>
      <c r="AH5" s="797"/>
      <c r="AI5" s="789">
        <f>AC5+1</f>
        <v>2008</v>
      </c>
      <c r="AJ5" s="791"/>
      <c r="AK5" s="796">
        <f>AE5+1</f>
        <v>2009</v>
      </c>
      <c r="AL5" s="797"/>
      <c r="AM5" s="797"/>
      <c r="AN5" s="797"/>
      <c r="AO5" s="789">
        <f>AI5+1</f>
        <v>2009</v>
      </c>
      <c r="AP5" s="791"/>
      <c r="AQ5" s="796">
        <f>AK5+1</f>
        <v>2010</v>
      </c>
      <c r="AR5" s="797"/>
      <c r="AS5" s="797"/>
      <c r="AT5" s="797"/>
      <c r="AU5" s="789">
        <f>AO5+1</f>
        <v>2010</v>
      </c>
      <c r="AV5" s="791"/>
      <c r="AW5" s="796">
        <f>AQ5+1</f>
        <v>2011</v>
      </c>
      <c r="AX5" s="797"/>
      <c r="AY5" s="797"/>
      <c r="AZ5" s="797"/>
      <c r="BA5" s="789">
        <f>AU5+1</f>
        <v>2011</v>
      </c>
      <c r="BB5" s="791"/>
      <c r="BC5" s="796">
        <f>AW5+1</f>
        <v>2012</v>
      </c>
      <c r="BD5" s="797"/>
      <c r="BE5" s="797"/>
      <c r="BF5" s="797"/>
      <c r="BG5" s="789">
        <f>BA5+1</f>
        <v>2012</v>
      </c>
      <c r="BH5" s="791"/>
      <c r="BI5" s="796">
        <f>BC5+1</f>
        <v>2013</v>
      </c>
      <c r="BJ5" s="797"/>
      <c r="BK5" s="797"/>
      <c r="BL5" s="797"/>
      <c r="BM5" s="789">
        <f>BG5+1</f>
        <v>2013</v>
      </c>
      <c r="BN5" s="791"/>
      <c r="BO5" s="796">
        <f>BI5+1</f>
        <v>2014</v>
      </c>
      <c r="BP5" s="797"/>
      <c r="BQ5" s="797"/>
      <c r="BR5" s="797"/>
      <c r="BS5" s="789">
        <f>BM5+1</f>
        <v>2014</v>
      </c>
      <c r="BT5" s="791"/>
      <c r="BU5" s="796">
        <f>BO5+1</f>
        <v>2015</v>
      </c>
      <c r="BV5" s="797"/>
      <c r="BW5" s="797"/>
      <c r="BX5" s="797"/>
      <c r="BY5" s="789">
        <f>BS5+1</f>
        <v>2015</v>
      </c>
      <c r="BZ5" s="791"/>
      <c r="CA5" s="796">
        <f>BU5+1</f>
        <v>2016</v>
      </c>
      <c r="CB5" s="797"/>
      <c r="CC5" s="797"/>
      <c r="CD5" s="797"/>
      <c r="CE5" s="789">
        <f>BY5+1</f>
        <v>2016</v>
      </c>
      <c r="CF5" s="791"/>
      <c r="CG5" s="1130" t="s">
        <v>575</v>
      </c>
      <c r="CH5" s="797"/>
      <c r="CI5" s="797"/>
      <c r="CJ5" s="797"/>
      <c r="CK5" s="789">
        <f>CE5+1</f>
        <v>2017</v>
      </c>
      <c r="CL5" s="791"/>
      <c r="CM5" s="1133" t="s">
        <v>315</v>
      </c>
      <c r="CN5" s="797"/>
      <c r="CO5" s="797"/>
      <c r="CP5" s="799"/>
      <c r="CQ5" s="792">
        <f>CK5+1</f>
        <v>2018</v>
      </c>
      <c r="CR5" s="791"/>
      <c r="CS5" s="1133" t="s">
        <v>316</v>
      </c>
      <c r="CT5" s="797"/>
      <c r="CU5" s="797"/>
      <c r="CV5" s="799"/>
      <c r="CW5" s="792">
        <f>CQ5+1</f>
        <v>2019</v>
      </c>
      <c r="CX5" s="2258"/>
      <c r="CY5" s="1133" t="s">
        <v>317</v>
      </c>
      <c r="CZ5" s="797"/>
      <c r="DA5" s="797"/>
      <c r="DB5" s="799"/>
      <c r="DC5" s="792">
        <f>CW5+1</f>
        <v>2020</v>
      </c>
      <c r="DD5" s="2258"/>
      <c r="DE5" s="1133" t="s">
        <v>367</v>
      </c>
      <c r="DF5" s="797"/>
      <c r="DG5" s="797"/>
      <c r="DH5" s="799"/>
      <c r="DI5" s="792">
        <f>DC5+1</f>
        <v>2021</v>
      </c>
      <c r="DJ5" s="2258"/>
      <c r="DK5" s="2258"/>
    </row>
    <row r="6" spans="1:144" ht="11.25" customHeight="1">
      <c r="A6" s="612"/>
      <c r="B6" s="582"/>
      <c r="C6" s="581"/>
      <c r="D6" s="582"/>
      <c r="E6" s="581"/>
      <c r="F6" s="582"/>
      <c r="G6" s="581"/>
      <c r="H6" s="582"/>
      <c r="I6" s="581"/>
      <c r="J6" s="582"/>
      <c r="K6" s="581"/>
      <c r="L6" s="582"/>
      <c r="M6" s="581"/>
      <c r="N6" s="582"/>
      <c r="O6" s="581"/>
      <c r="P6" s="582"/>
      <c r="Q6" s="581"/>
      <c r="R6" s="800"/>
      <c r="S6" s="801">
        <v>38807</v>
      </c>
      <c r="T6" s="801">
        <v>38898</v>
      </c>
      <c r="U6" s="801">
        <v>38990</v>
      </c>
      <c r="V6" s="801">
        <v>39082</v>
      </c>
      <c r="W6" s="581"/>
      <c r="X6" s="800"/>
      <c r="Y6" s="801">
        <v>39172</v>
      </c>
      <c r="Z6" s="801">
        <v>39263</v>
      </c>
      <c r="AA6" s="801">
        <v>39355</v>
      </c>
      <c r="AB6" s="801">
        <v>39447</v>
      </c>
      <c r="AC6" s="581"/>
      <c r="AD6" s="800"/>
      <c r="AE6" s="801">
        <v>39538</v>
      </c>
      <c r="AF6" s="801">
        <v>39629</v>
      </c>
      <c r="AG6" s="801">
        <v>39721</v>
      </c>
      <c r="AH6" s="801">
        <v>39813</v>
      </c>
      <c r="AI6" s="581"/>
      <c r="AJ6" s="800"/>
      <c r="AK6" s="801">
        <v>39903</v>
      </c>
      <c r="AL6" s="801">
        <v>39994</v>
      </c>
      <c r="AM6" s="801">
        <v>40086</v>
      </c>
      <c r="AN6" s="801">
        <v>40178</v>
      </c>
      <c r="AO6" s="581"/>
      <c r="AP6" s="802"/>
      <c r="AQ6" s="801">
        <v>40268</v>
      </c>
      <c r="AR6" s="801">
        <v>40359</v>
      </c>
      <c r="AS6" s="801">
        <v>40451</v>
      </c>
      <c r="AT6" s="801">
        <v>40543</v>
      </c>
      <c r="AU6" s="581"/>
      <c r="AV6" s="802"/>
      <c r="AW6" s="801">
        <v>40633</v>
      </c>
      <c r="AX6" s="801">
        <v>40724</v>
      </c>
      <c r="AY6" s="801">
        <v>40816</v>
      </c>
      <c r="AZ6" s="801">
        <v>40908</v>
      </c>
      <c r="BA6" s="581"/>
      <c r="BB6" s="802"/>
      <c r="BC6" s="808">
        <v>40999</v>
      </c>
      <c r="BD6" s="808">
        <v>41090</v>
      </c>
      <c r="BE6" s="808">
        <f>AY6+365</f>
        <v>41181</v>
      </c>
      <c r="BF6" s="809">
        <f>AZ6+365</f>
        <v>41273</v>
      </c>
      <c r="BG6" s="581"/>
      <c r="BH6" s="802"/>
      <c r="BI6" s="808">
        <f>BC6+365</f>
        <v>41364</v>
      </c>
      <c r="BJ6" s="808">
        <f>BD6+365</f>
        <v>41455</v>
      </c>
      <c r="BK6" s="808">
        <f>BE6+365</f>
        <v>41546</v>
      </c>
      <c r="BL6" s="809">
        <f>BF6+365</f>
        <v>41638</v>
      </c>
      <c r="BM6" s="581"/>
      <c r="BN6" s="803"/>
      <c r="BO6" s="808">
        <f>BI6+365</f>
        <v>41729</v>
      </c>
      <c r="BP6" s="808">
        <f>BJ6+365</f>
        <v>41820</v>
      </c>
      <c r="BQ6" s="808">
        <f>BK6+365</f>
        <v>41911</v>
      </c>
      <c r="BR6" s="809">
        <f>BL6+365</f>
        <v>42003</v>
      </c>
      <c r="BS6" s="581"/>
      <c r="BT6" s="803"/>
      <c r="BU6" s="808">
        <f>BO6+365</f>
        <v>42094</v>
      </c>
      <c r="BV6" s="808">
        <f>BP6+365</f>
        <v>42185</v>
      </c>
      <c r="BW6" s="808">
        <f>BQ6+365</f>
        <v>42276</v>
      </c>
      <c r="BX6" s="809">
        <f>BR6+365</f>
        <v>42368</v>
      </c>
      <c r="BY6" s="581"/>
      <c r="BZ6" s="803"/>
      <c r="CA6" s="808">
        <f>BU6+365</f>
        <v>42459</v>
      </c>
      <c r="CB6" s="808">
        <f>BV6+365</f>
        <v>42550</v>
      </c>
      <c r="CC6" s="808">
        <f>BW6+365</f>
        <v>42641</v>
      </c>
      <c r="CD6" s="809">
        <f>BX6+365</f>
        <v>42733</v>
      </c>
      <c r="CE6" s="581"/>
      <c r="CF6" s="803"/>
      <c r="CG6" s="808">
        <f>CA6+365</f>
        <v>42824</v>
      </c>
      <c r="CH6" s="808">
        <f>CB6+365</f>
        <v>42915</v>
      </c>
      <c r="CI6" s="808">
        <f>CC6+365</f>
        <v>43006</v>
      </c>
      <c r="CJ6" s="809">
        <f>CD6+365</f>
        <v>43098</v>
      </c>
      <c r="CK6" s="581"/>
      <c r="CL6" s="803"/>
      <c r="CM6" s="805">
        <f>CG6+365</f>
        <v>43189</v>
      </c>
      <c r="CN6" s="806">
        <f>CH6+365</f>
        <v>43280</v>
      </c>
      <c r="CO6" s="806">
        <f>CI6+365</f>
        <v>43371</v>
      </c>
      <c r="CP6" s="807">
        <f>CJ6+365</f>
        <v>43463</v>
      </c>
      <c r="CQ6" s="581"/>
      <c r="CR6" s="803"/>
      <c r="CS6" s="805">
        <f>CM6+365</f>
        <v>43554</v>
      </c>
      <c r="CT6" s="806">
        <f>CN6+365</f>
        <v>43645</v>
      </c>
      <c r="CU6" s="806">
        <f>CO6+365</f>
        <v>43736</v>
      </c>
      <c r="CV6" s="807">
        <f>CP6+365</f>
        <v>43828</v>
      </c>
      <c r="CW6" s="581"/>
      <c r="CX6" s="516"/>
      <c r="CY6" s="805">
        <f>CS6+365</f>
        <v>43919</v>
      </c>
      <c r="CZ6" s="806">
        <f>CT6+365</f>
        <v>44010</v>
      </c>
      <c r="DA6" s="806">
        <f>CU6+365</f>
        <v>44101</v>
      </c>
      <c r="DB6" s="807">
        <f>CV6+365</f>
        <v>44193</v>
      </c>
      <c r="DC6" s="581"/>
      <c r="DD6" s="516"/>
      <c r="DE6" s="805">
        <f>CY6+365</f>
        <v>44284</v>
      </c>
      <c r="DF6" s="806">
        <f>CZ6+365</f>
        <v>44375</v>
      </c>
      <c r="DG6" s="806">
        <f>DA6+365</f>
        <v>44466</v>
      </c>
      <c r="DH6" s="807">
        <f>DB6+365</f>
        <v>44558</v>
      </c>
      <c r="DI6" s="581"/>
      <c r="DJ6" s="516"/>
      <c r="DK6" s="516"/>
      <c r="DL6" s="1697" t="s">
        <v>495</v>
      </c>
      <c r="DM6" s="1698"/>
      <c r="DN6" s="1698"/>
      <c r="DO6" s="1698"/>
      <c r="DP6" s="1698"/>
      <c r="DQ6" s="1698"/>
      <c r="DR6" s="1698"/>
      <c r="DS6" s="1698"/>
      <c r="DT6" s="1698"/>
      <c r="DU6" s="1698"/>
      <c r="DV6" s="1698"/>
      <c r="DW6" s="1698"/>
      <c r="DX6" s="1699"/>
      <c r="DY6" s="1699"/>
      <c r="DZ6" s="1703"/>
      <c r="EA6" s="1703"/>
      <c r="EB6" s="1703"/>
      <c r="EC6" s="1703"/>
      <c r="ED6" s="1703"/>
      <c r="EE6" s="1703"/>
      <c r="EF6" s="1703"/>
      <c r="EG6" s="1703"/>
      <c r="EH6" s="1703"/>
      <c r="EI6" s="1703"/>
      <c r="EJ6" s="1703"/>
    </row>
    <row r="7" spans="1:144" ht="11.25" customHeight="1">
      <c r="A7" s="476" t="s">
        <v>365</v>
      </c>
      <c r="B7" s="905"/>
      <c r="C7" s="906"/>
      <c r="D7" s="905"/>
      <c r="E7" s="906"/>
      <c r="F7" s="905"/>
      <c r="G7" s="906"/>
      <c r="H7" s="905"/>
      <c r="I7" s="906"/>
      <c r="J7" s="905"/>
      <c r="K7" s="906"/>
      <c r="L7" s="905"/>
      <c r="M7" s="906"/>
      <c r="N7" s="905"/>
      <c r="O7" s="906"/>
      <c r="P7" s="905"/>
      <c r="Q7" s="906"/>
      <c r="R7" s="905"/>
      <c r="S7" s="907"/>
      <c r="T7" s="905"/>
      <c r="U7" s="905"/>
      <c r="V7" s="905"/>
      <c r="W7" s="906"/>
      <c r="X7" s="905"/>
      <c r="Y7" s="907"/>
      <c r="Z7" s="905"/>
      <c r="AA7" s="905"/>
      <c r="AB7" s="905"/>
      <c r="AC7" s="906"/>
      <c r="AD7" s="905"/>
      <c r="AE7" s="907"/>
      <c r="AF7" s="905"/>
      <c r="AG7" s="905"/>
      <c r="AH7" s="905"/>
      <c r="AI7" s="906"/>
      <c r="AJ7" s="905"/>
      <c r="AK7" s="907"/>
      <c r="AL7" s="905"/>
      <c r="AM7" s="905"/>
      <c r="AN7" s="908"/>
      <c r="AO7" s="906"/>
      <c r="AP7" s="905"/>
      <c r="AQ7" s="907"/>
      <c r="AR7" s="905"/>
      <c r="AS7" s="905"/>
      <c r="AT7" s="908"/>
      <c r="AU7" s="906"/>
      <c r="AV7" s="905"/>
      <c r="AW7" s="907"/>
      <c r="AX7" s="905"/>
      <c r="AY7" s="905"/>
      <c r="AZ7" s="908"/>
      <c r="BA7" s="906"/>
      <c r="BB7" s="905"/>
      <c r="BC7" s="907"/>
      <c r="BD7" s="905"/>
      <c r="BE7" s="905"/>
      <c r="BF7" s="908"/>
      <c r="BG7" s="906"/>
      <c r="BH7" s="905"/>
      <c r="BI7" s="907"/>
      <c r="BJ7" s="905"/>
      <c r="BK7" s="905"/>
      <c r="BL7" s="908"/>
      <c r="BM7" s="906"/>
      <c r="BN7" s="905"/>
      <c r="BO7" s="907"/>
      <c r="BP7" s="905"/>
      <c r="BQ7" s="905"/>
      <c r="BR7" s="908"/>
      <c r="BS7" s="906"/>
      <c r="BT7" s="905"/>
      <c r="BU7" s="907"/>
      <c r="BV7" s="905"/>
      <c r="BW7" s="905"/>
      <c r="BX7" s="908"/>
      <c r="BY7" s="906"/>
      <c r="BZ7" s="905"/>
      <c r="CA7" s="907"/>
      <c r="CB7" s="905"/>
      <c r="CC7" s="905"/>
      <c r="CD7" s="908"/>
      <c r="CE7" s="906"/>
      <c r="CF7" s="905"/>
      <c r="CG7" s="907"/>
      <c r="CH7" s="905"/>
      <c r="CI7" s="905"/>
      <c r="CJ7" s="908"/>
      <c r="CK7" s="906"/>
      <c r="CL7" s="905"/>
      <c r="CM7" s="907"/>
      <c r="CN7" s="905"/>
      <c r="CO7" s="905"/>
      <c r="CP7" s="908"/>
      <c r="CQ7" s="906"/>
      <c r="CR7" s="905"/>
      <c r="CS7" s="907"/>
      <c r="CT7" s="905"/>
      <c r="CU7" s="905"/>
      <c r="CV7" s="908"/>
      <c r="CW7" s="906"/>
      <c r="CX7" s="2260"/>
      <c r="CY7" s="907"/>
      <c r="CZ7" s="905"/>
      <c r="DA7" s="905"/>
      <c r="DB7" s="908"/>
      <c r="DC7" s="906"/>
      <c r="DD7" s="2260"/>
      <c r="DE7" s="907"/>
      <c r="DF7" s="905"/>
      <c r="DG7" s="905"/>
      <c r="DH7" s="908"/>
      <c r="DI7" s="907"/>
      <c r="DJ7" s="2260"/>
      <c r="DK7" s="2260"/>
      <c r="DL7" s="1700"/>
      <c r="DM7" s="1950" t="s">
        <v>438</v>
      </c>
      <c r="DN7" s="1950" t="s">
        <v>439</v>
      </c>
      <c r="DO7" s="1950" t="s">
        <v>440</v>
      </c>
      <c r="DP7" s="1950" t="s">
        <v>441</v>
      </c>
      <c r="DQ7" s="1950" t="s">
        <v>442</v>
      </c>
      <c r="DR7" s="1950" t="s">
        <v>443</v>
      </c>
      <c r="DS7" s="1950" t="s">
        <v>444</v>
      </c>
      <c r="DT7" s="1950" t="s">
        <v>445</v>
      </c>
      <c r="DU7" s="1950" t="s">
        <v>446</v>
      </c>
      <c r="DV7" s="1950" t="s">
        <v>447</v>
      </c>
      <c r="DW7" s="1950" t="s">
        <v>448</v>
      </c>
      <c r="DX7" s="1950" t="s">
        <v>449</v>
      </c>
      <c r="DY7" s="1950" t="s">
        <v>407</v>
      </c>
      <c r="DZ7" s="1950" t="s">
        <v>408</v>
      </c>
      <c r="EA7" s="1950" t="s">
        <v>409</v>
      </c>
      <c r="EB7" s="1950" t="s">
        <v>410</v>
      </c>
      <c r="EC7" s="1950" t="s">
        <v>461</v>
      </c>
      <c r="ED7" s="1950" t="s">
        <v>462</v>
      </c>
      <c r="EE7" s="1950" t="s">
        <v>463</v>
      </c>
      <c r="EF7" s="1950" t="s">
        <v>464</v>
      </c>
      <c r="EG7" s="1950" t="s">
        <v>512</v>
      </c>
      <c r="EH7" s="1950" t="s">
        <v>513</v>
      </c>
      <c r="EI7" s="1950" t="s">
        <v>514</v>
      </c>
      <c r="EJ7" s="1950" t="s">
        <v>515</v>
      </c>
      <c r="EK7" s="1950" t="s">
        <v>546</v>
      </c>
      <c r="EL7" s="1950" t="s">
        <v>551</v>
      </c>
      <c r="EM7" s="1950" t="s">
        <v>497</v>
      </c>
      <c r="EN7" s="1950" t="s">
        <v>545</v>
      </c>
    </row>
    <row r="8" spans="1:144" s="583" customFormat="1" ht="11.25" customHeight="1">
      <c r="A8" s="943" t="s">
        <v>332</v>
      </c>
      <c r="B8" s="944"/>
      <c r="C8" s="1159"/>
      <c r="D8" s="933"/>
      <c r="E8" s="934"/>
      <c r="F8" s="934"/>
      <c r="G8" s="934"/>
      <c r="H8" s="934"/>
      <c r="I8" s="934"/>
      <c r="J8" s="934"/>
      <c r="K8" s="934"/>
      <c r="L8" s="934"/>
      <c r="M8" s="934"/>
      <c r="N8" s="934"/>
      <c r="O8" s="934"/>
      <c r="P8" s="934"/>
      <c r="Q8" s="934"/>
      <c r="R8" s="935"/>
      <c r="S8" s="1161" t="s">
        <v>26</v>
      </c>
      <c r="T8" s="945" t="s">
        <v>26</v>
      </c>
      <c r="U8" s="945" t="s">
        <v>26</v>
      </c>
      <c r="V8" s="945" t="s">
        <v>26</v>
      </c>
      <c r="W8" s="946" t="s">
        <v>26</v>
      </c>
      <c r="X8" s="947"/>
      <c r="Y8" s="950" t="s">
        <v>26</v>
      </c>
      <c r="Z8" s="938" t="s">
        <v>26</v>
      </c>
      <c r="AA8" s="938" t="s">
        <v>26</v>
      </c>
      <c r="AB8" s="941" t="s">
        <v>26</v>
      </c>
      <c r="AC8" s="937">
        <v>0.185</v>
      </c>
      <c r="AD8" s="947"/>
      <c r="AE8" s="950">
        <f>RevBuild!AE58</f>
        <v>0.17599999999999999</v>
      </c>
      <c r="AF8" s="938">
        <f>RevBuild!AF58</f>
        <v>0.2</v>
      </c>
      <c r="AG8" s="938">
        <f>RevBuild!AG58</f>
        <v>-1.6E-2</v>
      </c>
      <c r="AH8" s="941">
        <f>RevBuild!AH58</f>
        <v>-0.1880231421121252</v>
      </c>
      <c r="AI8" s="937">
        <f>RevBuild!AI58</f>
        <v>3.6999999999999998E-2</v>
      </c>
      <c r="AJ8" s="947"/>
      <c r="AK8" s="950">
        <f>RevBuild!AK58</f>
        <v>-2.4E-2</v>
      </c>
      <c r="AL8" s="938">
        <f>RevBuild!AL58</f>
        <v>-0.13</v>
      </c>
      <c r="AM8" s="938">
        <f>RevBuild!AM58</f>
        <v>9.2999999999999999E-2</v>
      </c>
      <c r="AN8" s="941">
        <f>RevBuild!AN58</f>
        <v>4.4662045060658601E-2</v>
      </c>
      <c r="AO8" s="937">
        <f>RevBuild!AO58</f>
        <v>2E-3</v>
      </c>
      <c r="AP8" s="947"/>
      <c r="AQ8" s="950">
        <f>RevBuild!AQ58</f>
        <v>8.5999999999999993E-2</v>
      </c>
      <c r="AR8" s="938">
        <f>RevBuild!AR58</f>
        <v>0.184</v>
      </c>
      <c r="AS8" s="938">
        <f>RevBuild!AS58</f>
        <v>0.14899999999999999</v>
      </c>
      <c r="AT8" s="941">
        <f>RevBuild!AT58</f>
        <v>0.15</v>
      </c>
      <c r="AU8" s="937">
        <f>RevBuild!AU58</f>
        <v>0.108</v>
      </c>
      <c r="AV8" s="947"/>
      <c r="AW8" s="950">
        <f>RevBuild!AW58</f>
        <v>3.3000000000000002E-2</v>
      </c>
      <c r="AX8" s="938">
        <f>RevBuild!AX58</f>
        <v>6.2E-2</v>
      </c>
      <c r="AY8" s="938">
        <f>RevBuild!AY58</f>
        <v>0.109</v>
      </c>
      <c r="AZ8" s="941">
        <f>RevBuild!AZ58</f>
        <v>0.123</v>
      </c>
      <c r="BA8" s="937">
        <f>RevBuild!BA58</f>
        <v>8.5999999999999993E-2</v>
      </c>
      <c r="BB8" s="947"/>
      <c r="BC8" s="950">
        <f>RevBuild!BC58</f>
        <v>0.124</v>
      </c>
      <c r="BD8" s="938">
        <f>RevBuild!BD58</f>
        <v>0.10199999999999999</v>
      </c>
      <c r="BE8" s="938">
        <f>RevBuild!BE58</f>
        <v>9.5000000000000001E-2</v>
      </c>
      <c r="BF8" s="941">
        <f>RevBuild!BF58</f>
        <v>9.0683053308441786E-2</v>
      </c>
      <c r="BG8" s="937">
        <f>RevBuild!BG58</f>
        <v>0.10199999999999999</v>
      </c>
      <c r="BH8" s="947"/>
      <c r="BI8" s="950">
        <f>RevBuild!BI58</f>
        <v>-0.01</v>
      </c>
      <c r="BJ8" s="938">
        <f>RevBuild!BJ58</f>
        <v>7.6999999999999999E-2</v>
      </c>
      <c r="BK8" s="938">
        <f>RevBuild!BK58</f>
        <v>3.0000000000000001E-3</v>
      </c>
      <c r="BL8" s="941">
        <f>RevBuild!BL58</f>
        <v>5.8999999999999997E-2</v>
      </c>
      <c r="BM8" s="937">
        <f>RevBuild!BM58</f>
        <v>3.4000000000000002E-2</v>
      </c>
      <c r="BN8" s="937"/>
      <c r="BO8" s="950">
        <f>RevBuild!BO58</f>
        <v>6.6000000000000003E-2</v>
      </c>
      <c r="BP8" s="938">
        <f>RevBuild!BP58</f>
        <v>-2.5000000000000001E-2</v>
      </c>
      <c r="BQ8" s="938">
        <f>RevBuild!BQ58</f>
        <v>-7.0999999999999994E-2</v>
      </c>
      <c r="BR8" s="941">
        <f>RevBuild!BR58</f>
        <v>6.0000000000000001E-3</v>
      </c>
      <c r="BS8" s="937">
        <f>RevBuild!BS58</f>
        <v>-7.0000000000000001E-3</v>
      </c>
      <c r="BT8" s="937"/>
      <c r="BU8" s="950">
        <f>RevBuild!BU58</f>
        <v>-3.5999999999999997E-2</v>
      </c>
      <c r="BV8" s="938">
        <f>RevBuild!BV58</f>
        <v>6.0000000000000001E-3</v>
      </c>
      <c r="BW8" s="938">
        <f>RevBuild!BW58</f>
        <v>9.2999999999999999E-2</v>
      </c>
      <c r="BX8" s="941">
        <f>RevBuild!BX58</f>
        <v>0</v>
      </c>
      <c r="BY8" s="937">
        <f>RevBuild!BY58</f>
        <v>-8.2604687192965875E-2</v>
      </c>
      <c r="BZ8" s="937"/>
      <c r="CA8" s="950">
        <f>RevBuild!CA58</f>
        <v>6.2E-2</v>
      </c>
      <c r="CB8" s="938">
        <f>RevBuild!CB58</f>
        <v>-8.6999999999999994E-2</v>
      </c>
      <c r="CC8" s="938">
        <f>RevBuild!CC58</f>
        <v>-3.5000000000000003E-2</v>
      </c>
      <c r="CD8" s="941">
        <f>RevBuild!CD58</f>
        <v>-3.0000000000000001E-3</v>
      </c>
      <c r="CE8" s="937">
        <f>RevBuild!CE58</f>
        <v>-1.8687468532418535E-2</v>
      </c>
      <c r="CF8" s="1300"/>
      <c r="CG8" s="950">
        <f>RevBuild!CG58</f>
        <v>-1.2E-2</v>
      </c>
      <c r="CH8" s="938">
        <f>RevBuild!CH58</f>
        <v>4.3999999999999997E-2</v>
      </c>
      <c r="CI8" s="938">
        <f>RevBuild!CI58</f>
        <v>4.2000000000000003E-2</v>
      </c>
      <c r="CJ8" s="941">
        <f>RevBuild!CJ58</f>
        <v>3.4000000000000002E-2</v>
      </c>
      <c r="CK8" s="937">
        <f>RevBuild!CK58</f>
        <v>2.7592173274565372E-2</v>
      </c>
      <c r="CL8" s="1300"/>
      <c r="CM8" s="950">
        <f>RevBuild!CM58</f>
        <v>3.9315349630505661E-2</v>
      </c>
      <c r="CN8" s="938">
        <f>RevBuild!CN58</f>
        <v>1.9071614105248387E-2</v>
      </c>
      <c r="CO8" s="938">
        <f>RevBuild!CO58</f>
        <v>8.592824407807946E-3</v>
      </c>
      <c r="CP8" s="941">
        <f>RevBuild!CP58</f>
        <v>1.1366178060758989E-2</v>
      </c>
      <c r="CQ8" s="937">
        <f>RevBuild!CQ58</f>
        <v>1.8599435126521218E-2</v>
      </c>
      <c r="CR8" s="1300"/>
      <c r="CS8" s="950">
        <f>RevBuild!CS58</f>
        <v>2.9710845987884094E-2</v>
      </c>
      <c r="CT8" s="938">
        <f>RevBuild!CT58</f>
        <v>3.0256037661325008E-2</v>
      </c>
      <c r="CU8" s="938">
        <f>RevBuild!CU58</f>
        <v>3.2095189588354778E-2</v>
      </c>
      <c r="CV8" s="941">
        <f>RevBuild!CV58</f>
        <v>2.8932612475609656E-2</v>
      </c>
      <c r="CW8" s="937">
        <f>RevBuild!CW58</f>
        <v>3.0099666185023126E-2</v>
      </c>
      <c r="CX8" s="1346"/>
      <c r="CY8" s="950">
        <f>RevBuild!CY58</f>
        <v>2.6653899987922225E-2</v>
      </c>
      <c r="CZ8" s="938">
        <f>RevBuild!CZ58</f>
        <v>2.7487798283500453E-2</v>
      </c>
      <c r="DA8" s="938">
        <f>RevBuild!DA58</f>
        <v>2.9831511130163912E-2</v>
      </c>
      <c r="DB8" s="941">
        <f>RevBuild!DB58</f>
        <v>2.5792058516775018E-2</v>
      </c>
      <c r="DC8" s="937">
        <f>RevBuild!DC58</f>
        <v>2.7337017059424401E-2</v>
      </c>
      <c r="DD8" s="1346"/>
      <c r="DE8" s="950">
        <f>RevBuild!DE58</f>
        <v>2.7061963359286345E-2</v>
      </c>
      <c r="DF8" s="938">
        <f>RevBuild!DF58</f>
        <v>2.7872424998291789E-2</v>
      </c>
      <c r="DG8" s="938">
        <f>RevBuild!DG58</f>
        <v>3.0192039489554734E-2</v>
      </c>
      <c r="DH8" s="941">
        <f>RevBuild!DH58</f>
        <v>2.6191245850907041E-2</v>
      </c>
      <c r="DI8" s="937">
        <f>RevBuild!DI58</f>
        <v>2.7727906640229675E-2</v>
      </c>
      <c r="DJ8" s="1346"/>
      <c r="DK8" s="1346"/>
      <c r="DL8" s="1704" t="str">
        <f>A8</f>
        <v>BSI</v>
      </c>
      <c r="DM8" s="1951">
        <f t="shared" ref="DM8:DP13" si="0">BC8</f>
        <v>0.124</v>
      </c>
      <c r="DN8" s="1951">
        <f t="shared" si="0"/>
        <v>0.10199999999999999</v>
      </c>
      <c r="DO8" s="1951">
        <f t="shared" si="0"/>
        <v>9.5000000000000001E-2</v>
      </c>
      <c r="DP8" s="1951">
        <f t="shared" si="0"/>
        <v>9.0683053308441786E-2</v>
      </c>
      <c r="DQ8" s="1951">
        <f t="shared" ref="DQ8:DT13" si="1">BI8</f>
        <v>-0.01</v>
      </c>
      <c r="DR8" s="1951">
        <f t="shared" si="1"/>
        <v>7.6999999999999999E-2</v>
      </c>
      <c r="DS8" s="1951">
        <f t="shared" si="1"/>
        <v>3.0000000000000001E-3</v>
      </c>
      <c r="DT8" s="1951">
        <f t="shared" si="1"/>
        <v>5.8999999999999997E-2</v>
      </c>
      <c r="DU8" s="1951">
        <f t="shared" ref="DU8:DX13" si="2">BO8</f>
        <v>6.6000000000000003E-2</v>
      </c>
      <c r="DV8" s="1951">
        <f t="shared" si="2"/>
        <v>-2.5000000000000001E-2</v>
      </c>
      <c r="DW8" s="1951">
        <f t="shared" si="2"/>
        <v>-7.0999999999999994E-2</v>
      </c>
      <c r="DX8" s="1951">
        <f t="shared" si="2"/>
        <v>6.0000000000000001E-3</v>
      </c>
      <c r="DY8" s="1951">
        <f t="shared" ref="DY8:EB13" si="3">BU8</f>
        <v>-3.5999999999999997E-2</v>
      </c>
      <c r="DZ8" s="1951">
        <f t="shared" si="3"/>
        <v>6.0000000000000001E-3</v>
      </c>
      <c r="EA8" s="1951">
        <f t="shared" si="3"/>
        <v>9.2999999999999999E-2</v>
      </c>
      <c r="EB8" s="1951">
        <f t="shared" si="3"/>
        <v>0</v>
      </c>
      <c r="EC8" s="1951">
        <f t="shared" ref="EC8:EF13" si="4">CA8</f>
        <v>6.2E-2</v>
      </c>
      <c r="ED8" s="1951">
        <f t="shared" si="4"/>
        <v>-8.6999999999999994E-2</v>
      </c>
      <c r="EE8" s="1951">
        <f t="shared" si="4"/>
        <v>-3.5000000000000003E-2</v>
      </c>
      <c r="EF8" s="1951">
        <f t="shared" si="4"/>
        <v>-3.0000000000000001E-3</v>
      </c>
      <c r="EG8" s="1951">
        <f t="shared" ref="EG8:EJ13" si="5">CG8</f>
        <v>-1.2E-2</v>
      </c>
      <c r="EH8" s="1951">
        <f t="shared" si="5"/>
        <v>4.3999999999999997E-2</v>
      </c>
      <c r="EI8" s="1951">
        <f t="shared" si="5"/>
        <v>4.2000000000000003E-2</v>
      </c>
      <c r="EJ8" s="1951">
        <f t="shared" si="5"/>
        <v>3.4000000000000002E-2</v>
      </c>
      <c r="EK8" s="1951">
        <f>CM8</f>
        <v>3.9315349630505661E-2</v>
      </c>
      <c r="EL8" s="1951">
        <f t="shared" ref="EL8:EN13" si="6">CN8</f>
        <v>1.9071614105248387E-2</v>
      </c>
      <c r="EM8" s="1951">
        <f t="shared" si="6"/>
        <v>8.592824407807946E-3</v>
      </c>
      <c r="EN8" s="1951">
        <f t="shared" si="6"/>
        <v>1.1366178060758989E-2</v>
      </c>
    </row>
    <row r="9" spans="1:144" s="583" customFormat="1" ht="11.25" customHeight="1">
      <c r="A9" s="1625" t="s">
        <v>450</v>
      </c>
      <c r="B9" s="944"/>
      <c r="C9" s="1159"/>
      <c r="D9" s="933"/>
      <c r="E9" s="934"/>
      <c r="F9" s="934"/>
      <c r="G9" s="934"/>
      <c r="H9" s="934"/>
      <c r="I9" s="934"/>
      <c r="J9" s="934"/>
      <c r="K9" s="934"/>
      <c r="L9" s="934"/>
      <c r="M9" s="934"/>
      <c r="N9" s="934"/>
      <c r="O9" s="934"/>
      <c r="P9" s="934"/>
      <c r="Q9" s="934"/>
      <c r="R9" s="935"/>
      <c r="S9" s="1631" t="s">
        <v>399</v>
      </c>
      <c r="T9" s="945" t="s">
        <v>399</v>
      </c>
      <c r="U9" s="945" t="s">
        <v>399</v>
      </c>
      <c r="V9" s="945" t="s">
        <v>399</v>
      </c>
      <c r="W9" s="946" t="s">
        <v>399</v>
      </c>
      <c r="X9" s="947"/>
      <c r="Y9" s="950" t="s">
        <v>399</v>
      </c>
      <c r="Z9" s="938" t="s">
        <v>399</v>
      </c>
      <c r="AA9" s="938" t="s">
        <v>399</v>
      </c>
      <c r="AB9" s="941" t="s">
        <v>399</v>
      </c>
      <c r="AC9" s="937" t="s">
        <v>399</v>
      </c>
      <c r="AD9" s="947"/>
      <c r="AE9" s="950" t="s">
        <v>399</v>
      </c>
      <c r="AF9" s="938" t="s">
        <v>399</v>
      </c>
      <c r="AG9" s="938" t="s">
        <v>399</v>
      </c>
      <c r="AH9" s="941" t="s">
        <v>399</v>
      </c>
      <c r="AI9" s="937" t="s">
        <v>399</v>
      </c>
      <c r="AJ9" s="947"/>
      <c r="AK9" s="950" t="s">
        <v>399</v>
      </c>
      <c r="AL9" s="938" t="s">
        <v>399</v>
      </c>
      <c r="AM9" s="938" t="s">
        <v>399</v>
      </c>
      <c r="AN9" s="941" t="s">
        <v>399</v>
      </c>
      <c r="AO9" s="937" t="s">
        <v>399</v>
      </c>
      <c r="AP9" s="947"/>
      <c r="AQ9" s="950" t="s">
        <v>399</v>
      </c>
      <c r="AR9" s="938" t="s">
        <v>399</v>
      </c>
      <c r="AS9" s="938" t="s">
        <v>399</v>
      </c>
      <c r="AT9" s="941" t="s">
        <v>399</v>
      </c>
      <c r="AU9" s="937" t="s">
        <v>399</v>
      </c>
      <c r="AV9" s="947"/>
      <c r="AW9" s="950" t="s">
        <v>399</v>
      </c>
      <c r="AX9" s="938" t="s">
        <v>399</v>
      </c>
      <c r="AY9" s="938" t="s">
        <v>399</v>
      </c>
      <c r="AZ9" s="941" t="s">
        <v>399</v>
      </c>
      <c r="BA9" s="937" t="s">
        <v>399</v>
      </c>
      <c r="BB9" s="947"/>
      <c r="BC9" s="950" t="s">
        <v>399</v>
      </c>
      <c r="BD9" s="938" t="s">
        <v>399</v>
      </c>
      <c r="BE9" s="938" t="s">
        <v>399</v>
      </c>
      <c r="BF9" s="941" t="s">
        <v>399</v>
      </c>
      <c r="BG9" s="937" t="s">
        <v>399</v>
      </c>
      <c r="BH9" s="947"/>
      <c r="BI9" s="950">
        <f>RevBuild!BI30</f>
        <v>5.7720179846601383E-2</v>
      </c>
      <c r="BJ9" s="938">
        <f>RevBuild!BJ30</f>
        <v>0.11263972386653209</v>
      </c>
      <c r="BK9" s="938">
        <f>RevBuild!BK30</f>
        <v>-5.1711910002445627E-2</v>
      </c>
      <c r="BL9" s="941">
        <f>RevBuild!BL30</f>
        <v>0.27896287077369841</v>
      </c>
      <c r="BM9" s="937">
        <f>RevBuild!BM30</f>
        <v>9.7935654741732811E-2</v>
      </c>
      <c r="BN9" s="937"/>
      <c r="BO9" s="950">
        <f>RevBuild!BO30</f>
        <v>5.8003003003002943E-2</v>
      </c>
      <c r="BP9" s="938">
        <f>RevBuild!BP30</f>
        <v>2.98387096774194E-2</v>
      </c>
      <c r="BQ9" s="938">
        <f>RevBuild!BQ30</f>
        <v>-3.6103263516804714E-2</v>
      </c>
      <c r="BR9" s="941">
        <f>RevBuild!BR30</f>
        <v>1.3249004646063989E-2</v>
      </c>
      <c r="BS9" s="937">
        <f>RevBuild!BS30</f>
        <v>1.4916642293068149E-2</v>
      </c>
      <c r="BT9" s="937"/>
      <c r="BU9" s="950">
        <f>RevBuild!BU30</f>
        <v>-0.11151821718143863</v>
      </c>
      <c r="BV9" s="938">
        <f>RevBuild!BV30</f>
        <v>-0.04</v>
      </c>
      <c r="BW9" s="938">
        <f>RevBuild!BW30</f>
        <v>0.08</v>
      </c>
      <c r="BX9" s="941">
        <f>RevBuild!BX30</f>
        <v>-8.0403409109834706E-2</v>
      </c>
      <c r="BY9" s="937">
        <f>RevBuild!BY30</f>
        <v>-3.3000000000000002E-2</v>
      </c>
      <c r="BZ9" s="937"/>
      <c r="CA9" s="950">
        <f>RevBuild!CA30</f>
        <v>0.12</v>
      </c>
      <c r="CB9" s="938">
        <f>RevBuild!CB30</f>
        <v>-0.01</v>
      </c>
      <c r="CC9" s="938">
        <f>RevBuild!CC30</f>
        <v>0.05</v>
      </c>
      <c r="CD9" s="941">
        <f>RevBuild!CD30</f>
        <v>0.03</v>
      </c>
      <c r="CE9" s="937">
        <f>RevBuild!CE30</f>
        <v>4.4215964622548218E-2</v>
      </c>
      <c r="CF9" s="1300"/>
      <c r="CG9" s="950">
        <f>RevBuild!CG30</f>
        <v>1.7000000000000001E-2</v>
      </c>
      <c r="CH9" s="938">
        <f>RevBuild!CH30</f>
        <v>4.4999999999999998E-2</v>
      </c>
      <c r="CI9" s="938">
        <f>RevBuild!CI30</f>
        <v>0</v>
      </c>
      <c r="CJ9" s="941">
        <f>RevBuild!CJ30</f>
        <v>-3.2000000000000001E-2</v>
      </c>
      <c r="CK9" s="937">
        <f>RevBuild!CK30</f>
        <v>5.3773199650319174E-3</v>
      </c>
      <c r="CL9" s="1300"/>
      <c r="CM9" s="950">
        <f>RevBuild!CM30</f>
        <v>0.03</v>
      </c>
      <c r="CN9" s="938">
        <f>RevBuild!CN30</f>
        <v>0.03</v>
      </c>
      <c r="CO9" s="938">
        <f>RevBuild!CO30</f>
        <v>0.03</v>
      </c>
      <c r="CP9" s="941">
        <f>RevBuild!CP30</f>
        <v>0.03</v>
      </c>
      <c r="CQ9" s="937">
        <f>RevBuild!CQ30</f>
        <v>2.9268588141894619E-2</v>
      </c>
      <c r="CR9" s="1300"/>
      <c r="CS9" s="950">
        <f>RevBuild!CS30</f>
        <v>0.03</v>
      </c>
      <c r="CT9" s="938">
        <f>RevBuild!CT30</f>
        <v>0.03</v>
      </c>
      <c r="CU9" s="938">
        <f>RevBuild!CU30</f>
        <v>0.03</v>
      </c>
      <c r="CV9" s="941">
        <f>RevBuild!CV30</f>
        <v>0.03</v>
      </c>
      <c r="CW9" s="937">
        <f>RevBuild!CW30</f>
        <v>2.9370299555026409E-2</v>
      </c>
      <c r="CX9" s="1346"/>
      <c r="CY9" s="950">
        <f>RevBuild!CY30</f>
        <v>0.03</v>
      </c>
      <c r="CZ9" s="938">
        <f>RevBuild!CZ30</f>
        <v>0.03</v>
      </c>
      <c r="DA9" s="938">
        <f>RevBuild!DA30</f>
        <v>0.03</v>
      </c>
      <c r="DB9" s="941">
        <f>RevBuild!DB30</f>
        <v>0.03</v>
      </c>
      <c r="DC9" s="937">
        <f>RevBuild!DC30</f>
        <v>3.0000000000000027E-2</v>
      </c>
      <c r="DD9" s="1346"/>
      <c r="DE9" s="950">
        <f>RevBuild!DE30</f>
        <v>0.03</v>
      </c>
      <c r="DF9" s="938">
        <f>RevBuild!DF30</f>
        <v>0.03</v>
      </c>
      <c r="DG9" s="938">
        <f>RevBuild!DG30</f>
        <v>0.03</v>
      </c>
      <c r="DH9" s="941">
        <f>RevBuild!DH30</f>
        <v>0.03</v>
      </c>
      <c r="DI9" s="937">
        <f>RevBuild!DI30</f>
        <v>3.0000000000000027E-2</v>
      </c>
      <c r="DJ9" s="1346"/>
      <c r="DK9" s="1346"/>
      <c r="DL9" s="1702" t="str">
        <f>A9</f>
        <v xml:space="preserve">    BIOSPIN</v>
      </c>
      <c r="DM9" s="1952" t="str">
        <f t="shared" si="0"/>
        <v>--</v>
      </c>
      <c r="DN9" s="1952" t="str">
        <f t="shared" si="0"/>
        <v>--</v>
      </c>
      <c r="DO9" s="1952" t="str">
        <f t="shared" si="0"/>
        <v>--</v>
      </c>
      <c r="DP9" s="1952" t="str">
        <f t="shared" si="0"/>
        <v>--</v>
      </c>
      <c r="DQ9" s="1952">
        <f t="shared" si="1"/>
        <v>5.7720179846601383E-2</v>
      </c>
      <c r="DR9" s="1952">
        <f t="shared" si="1"/>
        <v>0.11263972386653209</v>
      </c>
      <c r="DS9" s="1952">
        <f t="shared" si="1"/>
        <v>-5.1711910002445627E-2</v>
      </c>
      <c r="DT9" s="1952">
        <f t="shared" si="1"/>
        <v>0.27896287077369841</v>
      </c>
      <c r="DU9" s="1952">
        <f t="shared" si="2"/>
        <v>5.8003003003002943E-2</v>
      </c>
      <c r="DV9" s="1952">
        <f t="shared" si="2"/>
        <v>2.98387096774194E-2</v>
      </c>
      <c r="DW9" s="1952">
        <f t="shared" si="2"/>
        <v>-3.6103263516804714E-2</v>
      </c>
      <c r="DX9" s="1952">
        <f t="shared" si="2"/>
        <v>1.3249004646063989E-2</v>
      </c>
      <c r="DY9" s="1952">
        <f t="shared" si="3"/>
        <v>-0.11151821718143863</v>
      </c>
      <c r="DZ9" s="1952">
        <f t="shared" si="3"/>
        <v>-0.04</v>
      </c>
      <c r="EA9" s="1952">
        <f t="shared" si="3"/>
        <v>0.08</v>
      </c>
      <c r="EB9" s="1952">
        <f t="shared" si="3"/>
        <v>-8.0403409109834706E-2</v>
      </c>
      <c r="EC9" s="1952">
        <f t="shared" si="4"/>
        <v>0.12</v>
      </c>
      <c r="ED9" s="1952">
        <f t="shared" si="4"/>
        <v>-0.01</v>
      </c>
      <c r="EE9" s="1952">
        <f t="shared" si="4"/>
        <v>0.05</v>
      </c>
      <c r="EF9" s="1952">
        <f t="shared" si="4"/>
        <v>0.03</v>
      </c>
      <c r="EG9" s="1952">
        <f t="shared" si="5"/>
        <v>1.7000000000000001E-2</v>
      </c>
      <c r="EH9" s="1952">
        <f t="shared" si="5"/>
        <v>4.4999999999999998E-2</v>
      </c>
      <c r="EI9" s="1952">
        <f t="shared" si="5"/>
        <v>0</v>
      </c>
      <c r="EJ9" s="1952">
        <f t="shared" si="5"/>
        <v>-3.2000000000000001E-2</v>
      </c>
      <c r="EK9" s="1952">
        <f t="shared" ref="EK9:EK13" si="7">CM9</f>
        <v>0.03</v>
      </c>
      <c r="EL9" s="1952">
        <f t="shared" si="6"/>
        <v>0.03</v>
      </c>
      <c r="EM9" s="1952">
        <f t="shared" si="6"/>
        <v>0.03</v>
      </c>
      <c r="EN9" s="1952">
        <f t="shared" si="6"/>
        <v>0.03</v>
      </c>
    </row>
    <row r="10" spans="1:144" s="583" customFormat="1" ht="11.25" customHeight="1">
      <c r="A10" s="1625" t="s">
        <v>451</v>
      </c>
      <c r="B10" s="944"/>
      <c r="C10" s="1159"/>
      <c r="D10" s="933"/>
      <c r="E10" s="934"/>
      <c r="F10" s="934"/>
      <c r="G10" s="934"/>
      <c r="H10" s="934"/>
      <c r="I10" s="934"/>
      <c r="J10" s="934"/>
      <c r="K10" s="934"/>
      <c r="L10" s="934"/>
      <c r="M10" s="934"/>
      <c r="N10" s="934"/>
      <c r="O10" s="934"/>
      <c r="P10" s="934"/>
      <c r="Q10" s="934"/>
      <c r="R10" s="935"/>
      <c r="S10" s="1161" t="s">
        <v>399</v>
      </c>
      <c r="T10" s="945" t="s">
        <v>399</v>
      </c>
      <c r="U10" s="945" t="s">
        <v>399</v>
      </c>
      <c r="V10" s="945" t="s">
        <v>399</v>
      </c>
      <c r="W10" s="946" t="s">
        <v>399</v>
      </c>
      <c r="X10" s="947"/>
      <c r="Y10" s="950" t="s">
        <v>399</v>
      </c>
      <c r="Z10" s="938" t="s">
        <v>399</v>
      </c>
      <c r="AA10" s="938" t="s">
        <v>399</v>
      </c>
      <c r="AB10" s="941" t="s">
        <v>399</v>
      </c>
      <c r="AC10" s="937" t="s">
        <v>399</v>
      </c>
      <c r="AD10" s="947"/>
      <c r="AE10" s="950" t="s">
        <v>399</v>
      </c>
      <c r="AF10" s="938" t="s">
        <v>399</v>
      </c>
      <c r="AG10" s="938" t="s">
        <v>399</v>
      </c>
      <c r="AH10" s="941" t="s">
        <v>399</v>
      </c>
      <c r="AI10" s="937" t="s">
        <v>399</v>
      </c>
      <c r="AJ10" s="947"/>
      <c r="AK10" s="950" t="s">
        <v>399</v>
      </c>
      <c r="AL10" s="938" t="s">
        <v>399</v>
      </c>
      <c r="AM10" s="938" t="s">
        <v>399</v>
      </c>
      <c r="AN10" s="941" t="s">
        <v>399</v>
      </c>
      <c r="AO10" s="937" t="s">
        <v>399</v>
      </c>
      <c r="AP10" s="947"/>
      <c r="AQ10" s="950" t="s">
        <v>399</v>
      </c>
      <c r="AR10" s="938" t="s">
        <v>399</v>
      </c>
      <c r="AS10" s="938" t="s">
        <v>399</v>
      </c>
      <c r="AT10" s="941" t="s">
        <v>399</v>
      </c>
      <c r="AU10" s="937" t="s">
        <v>399</v>
      </c>
      <c r="AV10" s="947"/>
      <c r="AW10" s="950" t="s">
        <v>399</v>
      </c>
      <c r="AX10" s="938" t="s">
        <v>399</v>
      </c>
      <c r="AY10" s="938" t="s">
        <v>399</v>
      </c>
      <c r="AZ10" s="941" t="s">
        <v>399</v>
      </c>
      <c r="BA10" s="937" t="s">
        <v>399</v>
      </c>
      <c r="BB10" s="947"/>
      <c r="BC10" s="950" t="s">
        <v>399</v>
      </c>
      <c r="BD10" s="938" t="s">
        <v>399</v>
      </c>
      <c r="BE10" s="938" t="s">
        <v>399</v>
      </c>
      <c r="BF10" s="941" t="s">
        <v>399</v>
      </c>
      <c r="BG10" s="937" t="s">
        <v>399</v>
      </c>
      <c r="BH10" s="947"/>
      <c r="BI10" s="950">
        <f>RevBuild!BI38</f>
        <v>-0.11227982015339869</v>
      </c>
      <c r="BJ10" s="938">
        <f>RevBuild!BJ38</f>
        <v>0.20232681318995682</v>
      </c>
      <c r="BK10" s="938">
        <f>RevBuild!BK38</f>
        <v>0.1032880899975544</v>
      </c>
      <c r="BL10" s="941">
        <f>RevBuild!BL38</f>
        <v>6.3962870773698347E-2</v>
      </c>
      <c r="BM10" s="937">
        <f>RevBuild!BM38</f>
        <v>6.064191825220569E-2</v>
      </c>
      <c r="BN10" s="937"/>
      <c r="BO10" s="950">
        <f>RevBuild!BO38</f>
        <v>0.1130030030030031</v>
      </c>
      <c r="BP10" s="938">
        <f>RevBuild!BP38</f>
        <v>-3.6815998791408733E-2</v>
      </c>
      <c r="BQ10" s="938">
        <f>RevBuild!BQ38</f>
        <v>5.0307943158122426E-3</v>
      </c>
      <c r="BR10" s="941">
        <f>RevBuild!BR38</f>
        <v>-3.6102254062500776E-2</v>
      </c>
      <c r="BS10" s="937">
        <f>RevBuild!BS38</f>
        <v>2.6722764040746361E-3</v>
      </c>
      <c r="BT10" s="937"/>
      <c r="BU10" s="950">
        <f>RevBuild!BU38</f>
        <v>5.0000000000000001E-3</v>
      </c>
      <c r="BV10" s="938">
        <f>RevBuild!BV38</f>
        <v>6.0000000000000001E-3</v>
      </c>
      <c r="BW10" s="938">
        <f>RevBuild!BW38</f>
        <v>0.22652922257661515</v>
      </c>
      <c r="BX10" s="941">
        <f>RevBuild!BX38</f>
        <v>4.4910284823135492E-2</v>
      </c>
      <c r="BY10" s="937">
        <f>RevBuild!BY38</f>
        <v>7.3999999999999996E-2</v>
      </c>
      <c r="BZ10" s="937"/>
      <c r="CA10" s="950">
        <f>RevBuild!CA38</f>
        <v>7.0000000000000007E-2</v>
      </c>
      <c r="CB10" s="938">
        <f>RevBuild!CB38</f>
        <v>-0.1</v>
      </c>
      <c r="CC10" s="938">
        <f>RevBuild!CC38</f>
        <v>-7.6499999999999999E-2</v>
      </c>
      <c r="CD10" s="941">
        <f>RevBuild!CD38</f>
        <v>-8.0000000000000002E-3</v>
      </c>
      <c r="CE10" s="937">
        <f>RevBuild!CE38</f>
        <v>-3.0735780513485866E-2</v>
      </c>
      <c r="CF10" s="1300"/>
      <c r="CG10" s="950">
        <f>RevBuild!CG38</f>
        <v>-8.5000000000000006E-2</v>
      </c>
      <c r="CH10" s="938">
        <f>RevBuild!CH38</f>
        <v>0.13</v>
      </c>
      <c r="CI10" s="938">
        <f>RevBuild!CI38</f>
        <v>0.06</v>
      </c>
      <c r="CJ10" s="941">
        <f>RevBuild!CJ38</f>
        <v>1.1200000000000022E-2</v>
      </c>
      <c r="CK10" s="937">
        <f>RevBuild!CK38</f>
        <v>2.6605750121892927E-2</v>
      </c>
      <c r="CL10" s="1300"/>
      <c r="CM10" s="950">
        <f>RevBuild!CM38</f>
        <v>0.12</v>
      </c>
      <c r="CN10" s="938">
        <f>RevBuild!CN38</f>
        <v>0.01</v>
      </c>
      <c r="CO10" s="938">
        <f>RevBuild!CO38</f>
        <v>0.03</v>
      </c>
      <c r="CP10" s="941">
        <f>RevBuild!CP38</f>
        <v>0.06</v>
      </c>
      <c r="CQ10" s="937">
        <f>RevBuild!CQ38</f>
        <v>5.2119426710698566E-2</v>
      </c>
      <c r="CR10" s="1300"/>
      <c r="CS10" s="950">
        <f>RevBuild!CS38</f>
        <v>0.05</v>
      </c>
      <c r="CT10" s="938">
        <f>RevBuild!CT38</f>
        <v>0.05</v>
      </c>
      <c r="CU10" s="938">
        <f>RevBuild!CU38</f>
        <v>0.05</v>
      </c>
      <c r="CV10" s="941">
        <f>RevBuild!CV38</f>
        <v>0.05</v>
      </c>
      <c r="CW10" s="937">
        <f>RevBuild!CW38</f>
        <v>5.0000000000000044E-2</v>
      </c>
      <c r="CX10" s="1346"/>
      <c r="CY10" s="950">
        <f>RevBuild!CY38</f>
        <v>0.05</v>
      </c>
      <c r="CZ10" s="938">
        <f>RevBuild!CZ38</f>
        <v>0.05</v>
      </c>
      <c r="DA10" s="938">
        <f>RevBuild!DA38</f>
        <v>0.05</v>
      </c>
      <c r="DB10" s="941">
        <f>RevBuild!DB38</f>
        <v>0.05</v>
      </c>
      <c r="DC10" s="937">
        <f>RevBuild!DC38</f>
        <v>5.0000000000000044E-2</v>
      </c>
      <c r="DD10" s="1346"/>
      <c r="DE10" s="950">
        <f>RevBuild!DE38</f>
        <v>0.05</v>
      </c>
      <c r="DF10" s="938">
        <f>RevBuild!DF38</f>
        <v>0.05</v>
      </c>
      <c r="DG10" s="938">
        <f>RevBuild!DG38</f>
        <v>0.05</v>
      </c>
      <c r="DH10" s="941">
        <f>RevBuild!DH38</f>
        <v>0.05</v>
      </c>
      <c r="DI10" s="937">
        <f>RevBuild!DI38</f>
        <v>5.0000000000000044E-2</v>
      </c>
      <c r="DJ10" s="1346"/>
      <c r="DK10" s="1346"/>
      <c r="DL10" s="1701" t="str">
        <f>A10</f>
        <v xml:space="preserve">    CALID</v>
      </c>
      <c r="DM10" s="1953" t="str">
        <f t="shared" si="0"/>
        <v>--</v>
      </c>
      <c r="DN10" s="1953" t="str">
        <f t="shared" si="0"/>
        <v>--</v>
      </c>
      <c r="DO10" s="1953" t="str">
        <f t="shared" si="0"/>
        <v>--</v>
      </c>
      <c r="DP10" s="1953" t="str">
        <f t="shared" si="0"/>
        <v>--</v>
      </c>
      <c r="DQ10" s="1953">
        <f t="shared" si="1"/>
        <v>-0.11227982015339869</v>
      </c>
      <c r="DR10" s="1953">
        <f t="shared" si="1"/>
        <v>0.20232681318995682</v>
      </c>
      <c r="DS10" s="1953">
        <f t="shared" si="1"/>
        <v>0.1032880899975544</v>
      </c>
      <c r="DT10" s="1953">
        <f t="shared" si="1"/>
        <v>6.3962870773698347E-2</v>
      </c>
      <c r="DU10" s="1953">
        <f t="shared" si="2"/>
        <v>0.1130030030030031</v>
      </c>
      <c r="DV10" s="1953">
        <f t="shared" si="2"/>
        <v>-3.6815998791408733E-2</v>
      </c>
      <c r="DW10" s="1953">
        <f t="shared" si="2"/>
        <v>5.0307943158122426E-3</v>
      </c>
      <c r="DX10" s="1953">
        <f t="shared" si="2"/>
        <v>-3.6102254062500776E-2</v>
      </c>
      <c r="DY10" s="1953">
        <f t="shared" si="3"/>
        <v>5.0000000000000001E-3</v>
      </c>
      <c r="DZ10" s="1953">
        <f t="shared" si="3"/>
        <v>6.0000000000000001E-3</v>
      </c>
      <c r="EA10" s="1953">
        <f t="shared" si="3"/>
        <v>0.22652922257661515</v>
      </c>
      <c r="EB10" s="1953">
        <f t="shared" si="3"/>
        <v>4.4910284823135492E-2</v>
      </c>
      <c r="EC10" s="1953">
        <f t="shared" si="4"/>
        <v>7.0000000000000007E-2</v>
      </c>
      <c r="ED10" s="1953">
        <f t="shared" si="4"/>
        <v>-0.1</v>
      </c>
      <c r="EE10" s="1953">
        <f t="shared" si="4"/>
        <v>-7.6499999999999999E-2</v>
      </c>
      <c r="EF10" s="1953">
        <f t="shared" si="4"/>
        <v>-8.0000000000000002E-3</v>
      </c>
      <c r="EG10" s="1953">
        <f t="shared" si="5"/>
        <v>-8.5000000000000006E-2</v>
      </c>
      <c r="EH10" s="1953">
        <f t="shared" si="5"/>
        <v>0.13</v>
      </c>
      <c r="EI10" s="1953">
        <f t="shared" si="5"/>
        <v>0.06</v>
      </c>
      <c r="EJ10" s="1953">
        <f t="shared" si="5"/>
        <v>1.1200000000000022E-2</v>
      </c>
      <c r="EK10" s="1953">
        <f t="shared" si="7"/>
        <v>0.12</v>
      </c>
      <c r="EL10" s="1953">
        <f t="shared" si="6"/>
        <v>0.01</v>
      </c>
      <c r="EM10" s="1953">
        <f t="shared" si="6"/>
        <v>0.03</v>
      </c>
      <c r="EN10" s="1953">
        <f t="shared" si="6"/>
        <v>0.06</v>
      </c>
    </row>
    <row r="11" spans="1:144" s="932" customFormat="1" ht="11.25" customHeight="1">
      <c r="A11" s="1625" t="s">
        <v>452</v>
      </c>
      <c r="B11" s="944"/>
      <c r="C11" s="1159"/>
      <c r="D11" s="933"/>
      <c r="E11" s="934"/>
      <c r="F11" s="934"/>
      <c r="G11" s="934"/>
      <c r="H11" s="934"/>
      <c r="I11" s="934"/>
      <c r="J11" s="934"/>
      <c r="K11" s="934"/>
      <c r="L11" s="934"/>
      <c r="M11" s="934"/>
      <c r="N11" s="934"/>
      <c r="O11" s="934"/>
      <c r="P11" s="934"/>
      <c r="Q11" s="934"/>
      <c r="R11" s="935"/>
      <c r="S11" s="1161" t="s">
        <v>399</v>
      </c>
      <c r="T11" s="945" t="s">
        <v>399</v>
      </c>
      <c r="U11" s="945" t="s">
        <v>399</v>
      </c>
      <c r="V11" s="945" t="s">
        <v>399</v>
      </c>
      <c r="W11" s="946" t="s">
        <v>399</v>
      </c>
      <c r="X11" s="947"/>
      <c r="Y11" s="950" t="s">
        <v>399</v>
      </c>
      <c r="Z11" s="938" t="s">
        <v>399</v>
      </c>
      <c r="AA11" s="938" t="s">
        <v>399</v>
      </c>
      <c r="AB11" s="941" t="s">
        <v>399</v>
      </c>
      <c r="AC11" s="937" t="s">
        <v>399</v>
      </c>
      <c r="AD11" s="947"/>
      <c r="AE11" s="950" t="s">
        <v>399</v>
      </c>
      <c r="AF11" s="938" t="s">
        <v>399</v>
      </c>
      <c r="AG11" s="938" t="s">
        <v>399</v>
      </c>
      <c r="AH11" s="941" t="s">
        <v>399</v>
      </c>
      <c r="AI11" s="937" t="s">
        <v>399</v>
      </c>
      <c r="AJ11" s="947"/>
      <c r="AK11" s="950" t="s">
        <v>399</v>
      </c>
      <c r="AL11" s="938" t="s">
        <v>399</v>
      </c>
      <c r="AM11" s="938" t="s">
        <v>399</v>
      </c>
      <c r="AN11" s="941" t="s">
        <v>399</v>
      </c>
      <c r="AO11" s="937" t="s">
        <v>399</v>
      </c>
      <c r="AP11" s="947"/>
      <c r="AQ11" s="950" t="s">
        <v>399</v>
      </c>
      <c r="AR11" s="938" t="s">
        <v>399</v>
      </c>
      <c r="AS11" s="938" t="s">
        <v>399</v>
      </c>
      <c r="AT11" s="941" t="s">
        <v>399</v>
      </c>
      <c r="AU11" s="937" t="s">
        <v>399</v>
      </c>
      <c r="AV11" s="947"/>
      <c r="AW11" s="950" t="s">
        <v>399</v>
      </c>
      <c r="AX11" s="938" t="s">
        <v>399</v>
      </c>
      <c r="AY11" s="938" t="s">
        <v>399</v>
      </c>
      <c r="AZ11" s="941" t="s">
        <v>399</v>
      </c>
      <c r="BA11" s="937" t="s">
        <v>399</v>
      </c>
      <c r="BB11" s="947"/>
      <c r="BC11" s="950" t="s">
        <v>399</v>
      </c>
      <c r="BD11" s="938" t="s">
        <v>399</v>
      </c>
      <c r="BE11" s="938" t="s">
        <v>399</v>
      </c>
      <c r="BF11" s="941" t="s">
        <v>399</v>
      </c>
      <c r="BG11" s="937" t="s">
        <v>399</v>
      </c>
      <c r="BH11" s="947"/>
      <c r="BI11" s="950">
        <f>RevBuild!BI46</f>
        <v>-1.3914843519082263E-2</v>
      </c>
      <c r="BJ11" s="938">
        <f>RevBuild!BJ46</f>
        <v>-8.894920308982357E-2</v>
      </c>
      <c r="BK11" s="938">
        <f>RevBuild!BK46</f>
        <v>-3.2231094637665769E-2</v>
      </c>
      <c r="BL11" s="941">
        <f>RevBuild!BL46</f>
        <v>-0.13255326832447897</v>
      </c>
      <c r="BM11" s="937">
        <f>RevBuild!BM46</f>
        <v>-7.3974948867232188E-2</v>
      </c>
      <c r="BN11" s="937"/>
      <c r="BO11" s="950">
        <f>RevBuild!BO46</f>
        <v>6.6300794721248349E-2</v>
      </c>
      <c r="BP11" s="938">
        <f>RevBuild!BP46</f>
        <v>-2.0481269406550501E-2</v>
      </c>
      <c r="BQ11" s="938">
        <f>RevBuild!BQ46</f>
        <v>-9.0433984921983179E-2</v>
      </c>
      <c r="BR11" s="941">
        <f>RevBuild!BR46</f>
        <v>5.2469603800038456E-2</v>
      </c>
      <c r="BS11" s="937">
        <f>RevBuild!BS46</f>
        <v>3.6269205394589433E-3</v>
      </c>
      <c r="BT11" s="937"/>
      <c r="BU11" s="950">
        <f>RevBuild!BU46</f>
        <v>0.01</v>
      </c>
      <c r="BV11" s="938">
        <f>RevBuild!BV46</f>
        <v>2.5000000000000001E-2</v>
      </c>
      <c r="BW11" s="938">
        <f>RevBuild!BW46</f>
        <v>-0.06</v>
      </c>
      <c r="BX11" s="941">
        <f>RevBuild!BX46</f>
        <v>5.2803796192288498E-2</v>
      </c>
      <c r="BY11" s="937">
        <f>RevBuild!BY46</f>
        <v>1.0999999999999999E-2</v>
      </c>
      <c r="BZ11" s="937"/>
      <c r="CA11" s="950">
        <f>RevBuild!CA46</f>
        <v>-8.0684797230032024E-3</v>
      </c>
      <c r="CB11" s="938">
        <f>RevBuild!CB46</f>
        <v>-0.17499999999999999</v>
      </c>
      <c r="CC11" s="938">
        <f>RevBuild!CC46</f>
        <v>-9.6000000000000002E-2</v>
      </c>
      <c r="CD11" s="941">
        <f>RevBuild!CD46</f>
        <v>-5.3499999999999999E-2</v>
      </c>
      <c r="CE11" s="937">
        <f>RevBuild!CE46</f>
        <v>-8.0838494060738564E-2</v>
      </c>
      <c r="CF11" s="1300"/>
      <c r="CG11" s="950">
        <f>RevBuild!CG46</f>
        <v>3.0838500000000008E-2</v>
      </c>
      <c r="CH11" s="938">
        <f>RevBuild!CH46</f>
        <v>-2.8000000000000001E-2</v>
      </c>
      <c r="CI11" s="938">
        <f>RevBuild!CI46</f>
        <v>0.10679999999999999</v>
      </c>
      <c r="CJ11" s="941">
        <f>RevBuild!CJ46</f>
        <v>0.13</v>
      </c>
      <c r="CK11" s="937">
        <f>RevBuild!CK46</f>
        <v>6.4201844840558561E-2</v>
      </c>
      <c r="CL11" s="1300"/>
      <c r="CM11" s="950">
        <f>RevBuild!CM46</f>
        <v>0.05</v>
      </c>
      <c r="CN11" s="938">
        <f>RevBuild!CN46</f>
        <v>0.08</v>
      </c>
      <c r="CO11" s="938">
        <f>RevBuild!CO46</f>
        <v>-0.05</v>
      </c>
      <c r="CP11" s="941">
        <f>RevBuild!CP46</f>
        <v>-0.02</v>
      </c>
      <c r="CQ11" s="937">
        <f>RevBuild!CQ46</f>
        <v>1.0351092743781973E-2</v>
      </c>
      <c r="CR11" s="1300"/>
      <c r="CS11" s="950">
        <f>RevBuild!CS46</f>
        <v>0.01</v>
      </c>
      <c r="CT11" s="938">
        <f>RevBuild!CT46</f>
        <v>0.01</v>
      </c>
      <c r="CU11" s="938">
        <f>RevBuild!CU46</f>
        <v>0.01</v>
      </c>
      <c r="CV11" s="941">
        <f>RevBuild!CV46</f>
        <v>0.01</v>
      </c>
      <c r="CW11" s="937">
        <f>RevBuild!CW46</f>
        <v>9.9999999999997868E-3</v>
      </c>
      <c r="CX11" s="1346"/>
      <c r="CY11" s="950">
        <f>RevBuild!CY46</f>
        <v>0</v>
      </c>
      <c r="CZ11" s="938">
        <f>RevBuild!CZ46</f>
        <v>0</v>
      </c>
      <c r="DA11" s="938">
        <f>RevBuild!DA46</f>
        <v>0</v>
      </c>
      <c r="DB11" s="941">
        <f>RevBuild!DB46</f>
        <v>0</v>
      </c>
      <c r="DC11" s="937">
        <f>RevBuild!DC46</f>
        <v>0</v>
      </c>
      <c r="DD11" s="1346"/>
      <c r="DE11" s="950">
        <f>RevBuild!DE46</f>
        <v>0</v>
      </c>
      <c r="DF11" s="938">
        <f>RevBuild!DF46</f>
        <v>0</v>
      </c>
      <c r="DG11" s="938">
        <f>RevBuild!DG46</f>
        <v>0</v>
      </c>
      <c r="DH11" s="941">
        <f>RevBuild!DH46</f>
        <v>0</v>
      </c>
      <c r="DI11" s="937">
        <f>RevBuild!DI46</f>
        <v>0</v>
      </c>
      <c r="DJ11" s="1346"/>
      <c r="DK11" s="1346"/>
      <c r="DL11" s="1702" t="str">
        <f>A11</f>
        <v xml:space="preserve">    NANO</v>
      </c>
      <c r="DM11" s="1952" t="str">
        <f t="shared" si="0"/>
        <v>--</v>
      </c>
      <c r="DN11" s="1952" t="str">
        <f t="shared" si="0"/>
        <v>--</v>
      </c>
      <c r="DO11" s="1952" t="str">
        <f t="shared" si="0"/>
        <v>--</v>
      </c>
      <c r="DP11" s="1952" t="str">
        <f t="shared" si="0"/>
        <v>--</v>
      </c>
      <c r="DQ11" s="1952">
        <f t="shared" si="1"/>
        <v>-1.3914843519082263E-2</v>
      </c>
      <c r="DR11" s="1952">
        <f t="shared" si="1"/>
        <v>-8.894920308982357E-2</v>
      </c>
      <c r="DS11" s="1952">
        <f t="shared" si="1"/>
        <v>-3.2231094637665769E-2</v>
      </c>
      <c r="DT11" s="1952">
        <f t="shared" si="1"/>
        <v>-0.13255326832447897</v>
      </c>
      <c r="DU11" s="1952">
        <f t="shared" si="2"/>
        <v>6.6300794721248349E-2</v>
      </c>
      <c r="DV11" s="1952">
        <f t="shared" si="2"/>
        <v>-2.0481269406550501E-2</v>
      </c>
      <c r="DW11" s="1952">
        <f t="shared" si="2"/>
        <v>-9.0433984921983179E-2</v>
      </c>
      <c r="DX11" s="1952">
        <f t="shared" si="2"/>
        <v>5.2469603800038456E-2</v>
      </c>
      <c r="DY11" s="1952">
        <f t="shared" si="3"/>
        <v>0.01</v>
      </c>
      <c r="DZ11" s="1952">
        <f t="shared" si="3"/>
        <v>2.5000000000000001E-2</v>
      </c>
      <c r="EA11" s="1952">
        <f t="shared" si="3"/>
        <v>-0.06</v>
      </c>
      <c r="EB11" s="1952">
        <f t="shared" si="3"/>
        <v>5.2803796192288498E-2</v>
      </c>
      <c r="EC11" s="1952">
        <f t="shared" si="4"/>
        <v>-8.0684797230032024E-3</v>
      </c>
      <c r="ED11" s="1952">
        <f t="shared" si="4"/>
        <v>-0.17499999999999999</v>
      </c>
      <c r="EE11" s="1952">
        <f t="shared" si="4"/>
        <v>-9.6000000000000002E-2</v>
      </c>
      <c r="EF11" s="1952">
        <f t="shared" si="4"/>
        <v>-5.3499999999999999E-2</v>
      </c>
      <c r="EG11" s="1952">
        <f t="shared" si="5"/>
        <v>3.0838500000000008E-2</v>
      </c>
      <c r="EH11" s="1952">
        <f t="shared" si="5"/>
        <v>-2.8000000000000001E-2</v>
      </c>
      <c r="EI11" s="1952">
        <f t="shared" si="5"/>
        <v>0.10679999999999999</v>
      </c>
      <c r="EJ11" s="1952">
        <f t="shared" si="5"/>
        <v>0.13</v>
      </c>
      <c r="EK11" s="1952">
        <f t="shared" si="7"/>
        <v>0.05</v>
      </c>
      <c r="EL11" s="1952">
        <f t="shared" si="6"/>
        <v>0.08</v>
      </c>
      <c r="EM11" s="1952">
        <f t="shared" si="6"/>
        <v>-0.05</v>
      </c>
      <c r="EN11" s="1952">
        <f t="shared" si="6"/>
        <v>-0.02</v>
      </c>
    </row>
    <row r="12" spans="1:144" s="583" customFormat="1" ht="11.25" customHeight="1">
      <c r="A12" s="943" t="s">
        <v>333</v>
      </c>
      <c r="B12" s="944"/>
      <c r="C12" s="1159"/>
      <c r="D12" s="933"/>
      <c r="E12" s="934"/>
      <c r="F12" s="934"/>
      <c r="G12" s="934"/>
      <c r="H12" s="934"/>
      <c r="I12" s="934"/>
      <c r="J12" s="934"/>
      <c r="K12" s="934"/>
      <c r="L12" s="934"/>
      <c r="M12" s="934"/>
      <c r="N12" s="934"/>
      <c r="O12" s="934"/>
      <c r="P12" s="934"/>
      <c r="Q12" s="934"/>
      <c r="R12" s="935"/>
      <c r="S12" s="1161" t="s">
        <v>26</v>
      </c>
      <c r="T12" s="945" t="s">
        <v>26</v>
      </c>
      <c r="U12" s="945" t="s">
        <v>26</v>
      </c>
      <c r="V12" s="945" t="s">
        <v>26</v>
      </c>
      <c r="W12" s="946" t="s">
        <v>26</v>
      </c>
      <c r="X12" s="947"/>
      <c r="Y12" s="950" t="s">
        <v>26</v>
      </c>
      <c r="Z12" s="938" t="s">
        <v>26</v>
      </c>
      <c r="AA12" s="938" t="s">
        <v>26</v>
      </c>
      <c r="AB12" s="941" t="s">
        <v>26</v>
      </c>
      <c r="AC12" s="937">
        <v>0.125</v>
      </c>
      <c r="AD12" s="947"/>
      <c r="AE12" s="950">
        <f>RevBuild!AE70</f>
        <v>-5.7000000000000002E-2</v>
      </c>
      <c r="AF12" s="938">
        <f>RevBuild!AF70</f>
        <v>0.18</v>
      </c>
      <c r="AG12" s="938">
        <f>RevBuild!AG70</f>
        <v>-9.5000000000000001E-2</v>
      </c>
      <c r="AH12" s="941">
        <f>RevBuild!AH70</f>
        <v>0.22158715596330267</v>
      </c>
      <c r="AI12" s="937">
        <f>RevBuild!AI70</f>
        <v>7.1999999999999995E-2</v>
      </c>
      <c r="AJ12" s="947"/>
      <c r="AK12" s="950">
        <f>RevBuild!AK70</f>
        <v>7.5999999999999998E-2</v>
      </c>
      <c r="AL12" s="938">
        <f>RevBuild!AL70</f>
        <v>0.25600000000000001</v>
      </c>
      <c r="AM12" s="938">
        <f>RevBuild!AM70</f>
        <v>0.46100000000000002</v>
      </c>
      <c r="AN12" s="941">
        <f>RevBuild!AN70</f>
        <v>0.58440336134453785</v>
      </c>
      <c r="AO12" s="937">
        <f>RevBuild!AO70</f>
        <v>0.41099999999999998</v>
      </c>
      <c r="AP12" s="947"/>
      <c r="AQ12" s="950">
        <f>RevBuild!AQ70</f>
        <v>1.407</v>
      </c>
      <c r="AR12" s="938">
        <f>RevBuild!AR70</f>
        <v>0.40899999999999997</v>
      </c>
      <c r="AS12" s="938">
        <f>RevBuild!AS70</f>
        <v>0.73899999999999999</v>
      </c>
      <c r="AT12" s="941">
        <f>RevBuild!AT70</f>
        <v>0.33</v>
      </c>
      <c r="AU12" s="937">
        <f>RevBuild!AU70</f>
        <v>0.48199999999999998</v>
      </c>
      <c r="AV12" s="947"/>
      <c r="AW12" s="950">
        <f>RevBuild!AW70</f>
        <v>0.16900000000000001</v>
      </c>
      <c r="AX12" s="938">
        <f>RevBuild!AX70</f>
        <v>0.38100000000000001</v>
      </c>
      <c r="AY12" s="938">
        <f>RevBuild!AY70</f>
        <v>0.129</v>
      </c>
      <c r="AZ12" s="941">
        <f>RevBuild!AZ70</f>
        <v>0.156</v>
      </c>
      <c r="BA12" s="937">
        <f>RevBuild!BA70</f>
        <v>0.19800000000000001</v>
      </c>
      <c r="BB12" s="947"/>
      <c r="BC12" s="950">
        <f>RevBuild!BC70</f>
        <v>0.30399999999999999</v>
      </c>
      <c r="BD12" s="938">
        <f>RevBuild!BD70</f>
        <v>3.2000000000000001E-2</v>
      </c>
      <c r="BE12" s="938">
        <f>RevBuild!BE70</f>
        <v>0.72599999999999998</v>
      </c>
      <c r="BF12" s="941">
        <f>RevBuild!BF70</f>
        <v>0.16666666666666688</v>
      </c>
      <c r="BG12" s="937">
        <f>RevBuild!BG70</f>
        <v>0.29899999999999999</v>
      </c>
      <c r="BH12" s="947"/>
      <c r="BI12" s="1345">
        <f>RevBuild!BI70</f>
        <v>3.3000000000000002E-2</v>
      </c>
      <c r="BJ12" s="1346">
        <f>RevBuild!BJ70</f>
        <v>0.4</v>
      </c>
      <c r="BK12" s="1346">
        <f>RevBuild!BK70</f>
        <v>-0.27100000000000002</v>
      </c>
      <c r="BL12" s="941">
        <f>RevBuild!BL70</f>
        <v>0.17399999999999999</v>
      </c>
      <c r="BM12" s="937">
        <f>RevBuild!BM70</f>
        <v>4.8000000000000001E-2</v>
      </c>
      <c r="BN12" s="937"/>
      <c r="BO12" s="1345">
        <f>RevBuild!BO70</f>
        <v>7.3999999999999996E-2</v>
      </c>
      <c r="BP12" s="938">
        <f>RevBuild!BP70</f>
        <v>6.3E-2</v>
      </c>
      <c r="BQ12" s="938">
        <f>RevBuild!BQ70</f>
        <v>0.22600000000000001</v>
      </c>
      <c r="BR12" s="941">
        <f>RevBuild!BR70</f>
        <v>-0.14099999999999999</v>
      </c>
      <c r="BS12" s="937">
        <f>RevBuild!BS70</f>
        <v>5.9180510137344683E-2</v>
      </c>
      <c r="BT12" s="937"/>
      <c r="BU12" s="950">
        <f>RevBuild!BU70</f>
        <v>-4.1000000000000002E-2</v>
      </c>
      <c r="BV12" s="938">
        <f>RevBuild!BV70</f>
        <v>-8.1000000000000003E-2</v>
      </c>
      <c r="BW12" s="938">
        <f>RevBuild!BW70</f>
        <v>-2.5999999999999999E-2</v>
      </c>
      <c r="BX12" s="941">
        <f>RevBuild!BX70</f>
        <v>0.317</v>
      </c>
      <c r="BY12" s="937">
        <f>RevBuild!BY70</f>
        <v>0.04</v>
      </c>
      <c r="BZ12" s="937"/>
      <c r="CA12" s="950">
        <f>RevBuild!CA70</f>
        <v>2E-3</v>
      </c>
      <c r="CB12" s="938">
        <f>RevBuild!CB70</f>
        <v>-8.8675324675324671E-2</v>
      </c>
      <c r="CC12" s="938">
        <f>RevBuild!CC70</f>
        <v>8.1000000000000003E-2</v>
      </c>
      <c r="CD12" s="941">
        <f>RevBuild!CD70</f>
        <v>-0.2016</v>
      </c>
      <c r="CE12" s="937">
        <f>RevBuild!CE70</f>
        <v>-6.2328113002429103E-2</v>
      </c>
      <c r="CF12" s="461"/>
      <c r="CG12" s="950">
        <f>RevBuild!CG70</f>
        <v>2.9000000000000001E-2</v>
      </c>
      <c r="CH12" s="938">
        <f>RevBuild!CH70</f>
        <v>0.432</v>
      </c>
      <c r="CI12" s="938">
        <f>RevBuild!CI70</f>
        <v>-9.7000000000000003E-2</v>
      </c>
      <c r="CJ12" s="941">
        <f>RevBuild!CJ70</f>
        <v>0.11600000000000001</v>
      </c>
      <c r="CK12" s="937">
        <f>RevBuild!CK70</f>
        <v>0.10468186434113114</v>
      </c>
      <c r="CL12" s="461"/>
      <c r="CM12" s="950">
        <f>RevBuild!CM70</f>
        <v>0.03</v>
      </c>
      <c r="CN12" s="938">
        <f>RevBuild!CN70</f>
        <v>-0.12</v>
      </c>
      <c r="CO12" s="938">
        <f>RevBuild!CO70</f>
        <v>0.08</v>
      </c>
      <c r="CP12" s="941">
        <f>RevBuild!CP70</f>
        <v>-0.05</v>
      </c>
      <c r="CQ12" s="937">
        <f>RevBuild!CQ70</f>
        <v>-2.0855718366484158E-2</v>
      </c>
      <c r="CR12" s="461"/>
      <c r="CS12" s="950">
        <f>RevBuild!CS70</f>
        <v>-0.09</v>
      </c>
      <c r="CT12" s="938">
        <f>RevBuild!CT70</f>
        <v>7.0000000000000007E-2</v>
      </c>
      <c r="CU12" s="938">
        <f>RevBuild!CU70</f>
        <v>-0.12</v>
      </c>
      <c r="CV12" s="941">
        <f>RevBuild!CV70</f>
        <v>0.05</v>
      </c>
      <c r="CW12" s="937">
        <f>RevBuild!CW70</f>
        <v>-2.0836687772400886E-2</v>
      </c>
      <c r="CX12" s="1346"/>
      <c r="CY12" s="950">
        <f>RevBuild!CY70</f>
        <v>0.03</v>
      </c>
      <c r="CZ12" s="938">
        <f>RevBuild!CZ70</f>
        <v>-0.12</v>
      </c>
      <c r="DA12" s="938">
        <f>RevBuild!DA70</f>
        <v>0.08</v>
      </c>
      <c r="DB12" s="941">
        <f>RevBuild!DB70</f>
        <v>-0.05</v>
      </c>
      <c r="DC12" s="937">
        <f>RevBuild!DC70</f>
        <v>-2.2411811498183609E-2</v>
      </c>
      <c r="DD12" s="1346"/>
      <c r="DE12" s="950">
        <f>RevBuild!DE70</f>
        <v>-0.09</v>
      </c>
      <c r="DF12" s="938">
        <f>RevBuild!DF70</f>
        <v>7.0000000000000007E-2</v>
      </c>
      <c r="DG12" s="938">
        <f>RevBuild!DG70</f>
        <v>-0.12</v>
      </c>
      <c r="DH12" s="941">
        <f>RevBuild!DH70</f>
        <v>0.05</v>
      </c>
      <c r="DI12" s="937">
        <f>RevBuild!DI70</f>
        <v>-1.9947324013146694E-2</v>
      </c>
      <c r="DJ12" s="1346"/>
      <c r="DK12" s="1346"/>
      <c r="DL12" s="1705" t="str">
        <f>A12</f>
        <v>BEST</v>
      </c>
      <c r="DM12" s="1951">
        <f t="shared" si="0"/>
        <v>0.30399999999999999</v>
      </c>
      <c r="DN12" s="1951">
        <f t="shared" si="0"/>
        <v>3.2000000000000001E-2</v>
      </c>
      <c r="DO12" s="1951">
        <f t="shared" si="0"/>
        <v>0.72599999999999998</v>
      </c>
      <c r="DP12" s="1951">
        <f t="shared" si="0"/>
        <v>0.16666666666666688</v>
      </c>
      <c r="DQ12" s="1951">
        <f t="shared" si="1"/>
        <v>3.3000000000000002E-2</v>
      </c>
      <c r="DR12" s="1951">
        <f t="shared" si="1"/>
        <v>0.4</v>
      </c>
      <c r="DS12" s="1951">
        <f t="shared" si="1"/>
        <v>-0.27100000000000002</v>
      </c>
      <c r="DT12" s="1951">
        <f t="shared" si="1"/>
        <v>0.17399999999999999</v>
      </c>
      <c r="DU12" s="1951">
        <f t="shared" si="2"/>
        <v>7.3999999999999996E-2</v>
      </c>
      <c r="DV12" s="1951">
        <f t="shared" si="2"/>
        <v>6.3E-2</v>
      </c>
      <c r="DW12" s="1951">
        <f t="shared" si="2"/>
        <v>0.22600000000000001</v>
      </c>
      <c r="DX12" s="1951">
        <f t="shared" si="2"/>
        <v>-0.14099999999999999</v>
      </c>
      <c r="DY12" s="1951">
        <f t="shared" si="3"/>
        <v>-4.1000000000000002E-2</v>
      </c>
      <c r="DZ12" s="1951">
        <f t="shared" si="3"/>
        <v>-8.1000000000000003E-2</v>
      </c>
      <c r="EA12" s="1951">
        <f t="shared" si="3"/>
        <v>-2.5999999999999999E-2</v>
      </c>
      <c r="EB12" s="1951">
        <f t="shared" si="3"/>
        <v>0.317</v>
      </c>
      <c r="EC12" s="1951">
        <f t="shared" si="4"/>
        <v>2E-3</v>
      </c>
      <c r="ED12" s="1951">
        <f t="shared" si="4"/>
        <v>-8.8675324675324671E-2</v>
      </c>
      <c r="EE12" s="1951">
        <f t="shared" si="4"/>
        <v>8.1000000000000003E-2</v>
      </c>
      <c r="EF12" s="1951">
        <f t="shared" si="4"/>
        <v>-0.2016</v>
      </c>
      <c r="EG12" s="1951">
        <f t="shared" si="5"/>
        <v>2.9000000000000001E-2</v>
      </c>
      <c r="EH12" s="1951">
        <f t="shared" si="5"/>
        <v>0.432</v>
      </c>
      <c r="EI12" s="1951">
        <f t="shared" si="5"/>
        <v>-9.7000000000000003E-2</v>
      </c>
      <c r="EJ12" s="1951">
        <f t="shared" si="5"/>
        <v>0.11600000000000001</v>
      </c>
      <c r="EK12" s="1951">
        <f t="shared" si="7"/>
        <v>0.03</v>
      </c>
      <c r="EL12" s="1951">
        <f t="shared" si="6"/>
        <v>-0.12</v>
      </c>
      <c r="EM12" s="1951">
        <f t="shared" si="6"/>
        <v>0.08</v>
      </c>
      <c r="EN12" s="1951">
        <f t="shared" si="6"/>
        <v>-0.05</v>
      </c>
    </row>
    <row r="13" spans="1:144" ht="11.25" customHeight="1">
      <c r="A13" s="958" t="s">
        <v>238</v>
      </c>
      <c r="B13" s="959"/>
      <c r="C13" s="1160"/>
      <c r="D13" s="959"/>
      <c r="E13" s="960"/>
      <c r="F13" s="960"/>
      <c r="G13" s="960"/>
      <c r="H13" s="960"/>
      <c r="I13" s="960"/>
      <c r="J13" s="960"/>
      <c r="K13" s="960"/>
      <c r="L13" s="960"/>
      <c r="M13" s="960"/>
      <c r="N13" s="960"/>
      <c r="O13" s="960"/>
      <c r="P13" s="960"/>
      <c r="Q13" s="960"/>
      <c r="R13" s="961"/>
      <c r="S13" s="1162">
        <v>0.04</v>
      </c>
      <c r="T13" s="970">
        <v>9.6000000000000002E-2</v>
      </c>
      <c r="U13" s="970">
        <v>0.19800000000000001</v>
      </c>
      <c r="V13" s="970">
        <v>0.22</v>
      </c>
      <c r="W13" s="971">
        <v>0.13</v>
      </c>
      <c r="X13" s="972"/>
      <c r="Y13" s="968">
        <v>0.106</v>
      </c>
      <c r="Z13" s="964">
        <v>0.17</v>
      </c>
      <c r="AA13" s="964">
        <v>0.2</v>
      </c>
      <c r="AB13" s="966">
        <v>0.26</v>
      </c>
      <c r="AC13" s="963">
        <v>0.155</v>
      </c>
      <c r="AD13" s="972"/>
      <c r="AE13" s="968">
        <f>RevBuild!AE80</f>
        <v>0.05</v>
      </c>
      <c r="AF13" s="964">
        <f>RevBuild!AF80</f>
        <v>0.19400000000000001</v>
      </c>
      <c r="AG13" s="964">
        <f>RevBuild!AG80</f>
        <v>-5.5E-2</v>
      </c>
      <c r="AH13" s="966">
        <f>RevBuild!AH80</f>
        <v>-0.03</v>
      </c>
      <c r="AI13" s="963">
        <f>RevBuild!AI80</f>
        <v>3.3927710843373503E-2</v>
      </c>
      <c r="AJ13" s="972"/>
      <c r="AK13" s="968">
        <f>RevBuild!AK80</f>
        <v>4.4999999999999998E-2</v>
      </c>
      <c r="AL13" s="964">
        <f>RevBuild!AL80</f>
        <v>-0.111</v>
      </c>
      <c r="AM13" s="964">
        <f>RevBuild!AM80</f>
        <v>0.114</v>
      </c>
      <c r="AN13" s="966">
        <f>RevBuild!AN80</f>
        <v>0.06</v>
      </c>
      <c r="AO13" s="963">
        <f>RevBuild!AO80</f>
        <v>0.02</v>
      </c>
      <c r="AP13" s="972"/>
      <c r="AQ13" s="968">
        <f>RevBuild!AQ80</f>
        <v>0.124</v>
      </c>
      <c r="AR13" s="964">
        <f>RevBuild!AR80</f>
        <v>0.2</v>
      </c>
      <c r="AS13" s="964">
        <f>RevBuild!AS80</f>
        <v>0.17399999999999999</v>
      </c>
      <c r="AT13" s="966">
        <f>RevBuild!AT80</f>
        <v>0.17</v>
      </c>
      <c r="AU13" s="963">
        <f>RevBuild!AU80</f>
        <v>0.127</v>
      </c>
      <c r="AV13" s="972"/>
      <c r="AW13" s="968">
        <f>RevBuild!AW80</f>
        <v>4.4999999999999998E-2</v>
      </c>
      <c r="AX13" s="964">
        <f>RevBuild!AX80</f>
        <v>7.4999999999999997E-2</v>
      </c>
      <c r="AY13" s="964">
        <f>RevBuild!AY80</f>
        <v>0.109</v>
      </c>
      <c r="AZ13" s="966">
        <f>RevBuild!AZ80</f>
        <v>0.122</v>
      </c>
      <c r="BA13" s="963">
        <f>RevBuild!BA80</f>
        <v>9.1999999999999998E-2</v>
      </c>
      <c r="BB13" s="972"/>
      <c r="BC13" s="968">
        <f>RevBuild!BC80</f>
        <v>0.13700000000000001</v>
      </c>
      <c r="BD13" s="964">
        <f>RevBuild!BD80</f>
        <v>0.104</v>
      </c>
      <c r="BE13" s="964">
        <f>RevBuild!BE80</f>
        <v>0.13800000000000001</v>
      </c>
      <c r="BF13" s="966">
        <f>RevBuild!BF80</f>
        <v>0.10199999999999999</v>
      </c>
      <c r="BG13" s="963">
        <f>RevBuild!BG80</f>
        <v>0.11899999999999999</v>
      </c>
      <c r="BH13" s="972"/>
      <c r="BI13" s="968">
        <f>RevBuild!BI80</f>
        <v>-1.0999999999999999E-2</v>
      </c>
      <c r="BJ13" s="964">
        <f>RevBuild!BJ80</f>
        <v>9.5000000000000001E-2</v>
      </c>
      <c r="BK13" s="964">
        <f>RevBuild!BK80</f>
        <v>-2.4E-2</v>
      </c>
      <c r="BL13" s="966">
        <f>RevBuild!BL80</f>
        <v>6.2E-2</v>
      </c>
      <c r="BM13" s="963">
        <f>RevBuild!BM80</f>
        <v>3.2000000000000001E-2</v>
      </c>
      <c r="BN13" s="963"/>
      <c r="BO13" s="968">
        <f>RevBuild!BO80</f>
        <v>6.6000000000000003E-2</v>
      </c>
      <c r="BP13" s="964">
        <f>RevBuild!BP80</f>
        <v>-2.4E-2</v>
      </c>
      <c r="BQ13" s="964">
        <f>RevBuild!BQ80</f>
        <v>-4.8000000000000001E-2</v>
      </c>
      <c r="BR13" s="966">
        <f>RevBuild!BR80</f>
        <v>-5.0000000000000001E-3</v>
      </c>
      <c r="BS13" s="963">
        <f>RevBuild!BS80</f>
        <v>-4.0000000000000001E-3</v>
      </c>
      <c r="BT13" s="963"/>
      <c r="BU13" s="968">
        <f>RevBuild!BU80</f>
        <v>-0.03</v>
      </c>
      <c r="BV13" s="964">
        <f>RevBuild!BV80</f>
        <v>7.0000000000000001E-3</v>
      </c>
      <c r="BW13" s="964">
        <f>RevBuild!BW80</f>
        <v>8.1000000000000003E-2</v>
      </c>
      <c r="BX13" s="966">
        <f>RevBuild!BX80</f>
        <v>2.5000000000000001E-2</v>
      </c>
      <c r="BY13" s="963">
        <f>RevBuild!BY80</f>
        <v>2.1000000000000001E-2</v>
      </c>
      <c r="BZ13" s="963"/>
      <c r="CA13" s="968">
        <f>RevBuild!CA80</f>
        <v>5.5951909476661843E-2</v>
      </c>
      <c r="CB13" s="964">
        <f>RevBuild!CB80</f>
        <v>-9.2363636363636287E-2</v>
      </c>
      <c r="CC13" s="964">
        <f>RevBuild!CC80</f>
        <v>-2.3554152991668839E-2</v>
      </c>
      <c r="CD13" s="966">
        <f>RevBuild!CD80</f>
        <v>-2.255541991904108E-2</v>
      </c>
      <c r="CE13" s="963">
        <f>RevBuild!CE80</f>
        <v>-2.2511397726647769E-2</v>
      </c>
      <c r="CF13" s="969"/>
      <c r="CG13" s="968">
        <f>RevBuild!CG80</f>
        <v>-7.7689930740543825E-3</v>
      </c>
      <c r="CH13" s="964">
        <f>RevBuild!CH80</f>
        <v>7.6222760290556774E-2</v>
      </c>
      <c r="CI13" s="964">
        <f>RevBuild!CI80</f>
        <v>3.3501904036557513E-2</v>
      </c>
      <c r="CJ13" s="966">
        <f>RevBuild!CJ80</f>
        <v>4.0310660114897409E-2</v>
      </c>
      <c r="CK13" s="963">
        <f>RevBuild!CK80</f>
        <v>3.58671448234558E-2</v>
      </c>
      <c r="CL13" s="969"/>
      <c r="CM13" s="968">
        <f>RevBuild!CM80</f>
        <v>3.4065405946750463E-2</v>
      </c>
      <c r="CN13" s="964">
        <f>RevBuild!CN80</f>
        <v>-3.34713092911431E-3</v>
      </c>
      <c r="CO13" s="964">
        <f>RevBuild!CO80</f>
        <v>1.041023695771414E-2</v>
      </c>
      <c r="CP13" s="966">
        <f>RevBuild!CP80</f>
        <v>6.3697724106939746E-3</v>
      </c>
      <c r="CQ13" s="963">
        <f>RevBuild!CQ80</f>
        <v>1.115026964340937E-2</v>
      </c>
      <c r="CR13" s="969"/>
      <c r="CS13" s="968">
        <f>RevBuild!CS80</f>
        <v>1.7384490839773559E-2</v>
      </c>
      <c r="CT13" s="964">
        <f>RevBuild!CT80</f>
        <v>3.4815534903165579E-2</v>
      </c>
      <c r="CU13" s="964">
        <f>RevBuild!CU80</f>
        <v>1.5054328390025518E-2</v>
      </c>
      <c r="CV13" s="966">
        <f>RevBuild!CV80</f>
        <v>3.0656618734819698E-2</v>
      </c>
      <c r="CW13" s="963">
        <f>RevBuild!CW80</f>
        <v>2.4746858939213395E-2</v>
      </c>
      <c r="CX13" s="2261"/>
      <c r="CY13" s="968">
        <f>RevBuild!CY80</f>
        <v>2.696207425622088E-2</v>
      </c>
      <c r="CZ13" s="964">
        <f>RevBuild!CZ80</f>
        <v>9.992444660892108E-3</v>
      </c>
      <c r="DA13" s="964">
        <f>RevBuild!DA80</f>
        <v>3.4704556613559534E-2</v>
      </c>
      <c r="DB13" s="966">
        <f>RevBuild!DB80</f>
        <v>1.9064721581865562E-2</v>
      </c>
      <c r="DC13" s="963">
        <f>RevBuild!DC80</f>
        <v>2.2437736885952964E-2</v>
      </c>
      <c r="DD13" s="2261"/>
      <c r="DE13" s="968">
        <f>RevBuild!DE80</f>
        <v>1.6248717461933238E-2</v>
      </c>
      <c r="DF13" s="964">
        <f>RevBuild!DF80</f>
        <v>3.2226517388399989E-2</v>
      </c>
      <c r="DG13" s="964">
        <f>RevBuild!DG80</f>
        <v>1.496470969801833E-2</v>
      </c>
      <c r="DH13" s="966">
        <f>RevBuild!DH80</f>
        <v>2.8161299192853262E-2</v>
      </c>
      <c r="DI13" s="963">
        <f>RevBuild!DI80</f>
        <v>2.3238785807826456E-2</v>
      </c>
      <c r="DJ13" s="2261"/>
      <c r="DK13" s="2261"/>
      <c r="DL13" s="1706" t="s">
        <v>479</v>
      </c>
      <c r="DM13" s="1954">
        <f t="shared" si="0"/>
        <v>0.13700000000000001</v>
      </c>
      <c r="DN13" s="1954">
        <f t="shared" si="0"/>
        <v>0.104</v>
      </c>
      <c r="DO13" s="1954">
        <f t="shared" si="0"/>
        <v>0.13800000000000001</v>
      </c>
      <c r="DP13" s="1954">
        <f t="shared" si="0"/>
        <v>0.10199999999999999</v>
      </c>
      <c r="DQ13" s="1954">
        <f t="shared" si="1"/>
        <v>-1.0999999999999999E-2</v>
      </c>
      <c r="DR13" s="1954">
        <f t="shared" si="1"/>
        <v>9.5000000000000001E-2</v>
      </c>
      <c r="DS13" s="1954">
        <f t="shared" si="1"/>
        <v>-2.4E-2</v>
      </c>
      <c r="DT13" s="1954">
        <f t="shared" si="1"/>
        <v>6.2E-2</v>
      </c>
      <c r="DU13" s="1954">
        <f t="shared" si="2"/>
        <v>6.6000000000000003E-2</v>
      </c>
      <c r="DV13" s="1954">
        <f t="shared" si="2"/>
        <v>-2.4E-2</v>
      </c>
      <c r="DW13" s="1954">
        <f t="shared" si="2"/>
        <v>-4.8000000000000001E-2</v>
      </c>
      <c r="DX13" s="1954">
        <f t="shared" si="2"/>
        <v>-5.0000000000000001E-3</v>
      </c>
      <c r="DY13" s="1954">
        <f t="shared" si="3"/>
        <v>-0.03</v>
      </c>
      <c r="DZ13" s="1954">
        <f t="shared" si="3"/>
        <v>7.0000000000000001E-3</v>
      </c>
      <c r="EA13" s="1954">
        <f t="shared" si="3"/>
        <v>8.1000000000000003E-2</v>
      </c>
      <c r="EB13" s="1954">
        <f t="shared" si="3"/>
        <v>2.5000000000000001E-2</v>
      </c>
      <c r="EC13" s="1954">
        <f t="shared" si="4"/>
        <v>5.5951909476661843E-2</v>
      </c>
      <c r="ED13" s="1954">
        <f t="shared" si="4"/>
        <v>-9.2363636363636287E-2</v>
      </c>
      <c r="EE13" s="1954">
        <f t="shared" si="4"/>
        <v>-2.3554152991668839E-2</v>
      </c>
      <c r="EF13" s="1954">
        <f t="shared" si="4"/>
        <v>-2.255541991904108E-2</v>
      </c>
      <c r="EG13" s="1954">
        <f t="shared" si="5"/>
        <v>-7.7689930740543825E-3</v>
      </c>
      <c r="EH13" s="1954">
        <f t="shared" si="5"/>
        <v>7.6222760290556774E-2</v>
      </c>
      <c r="EI13" s="1954">
        <f t="shared" si="5"/>
        <v>3.3501904036557513E-2</v>
      </c>
      <c r="EJ13" s="1954">
        <f t="shared" si="5"/>
        <v>4.0310660114897409E-2</v>
      </c>
      <c r="EK13" s="1954">
        <f t="shared" si="7"/>
        <v>3.4065405946750463E-2</v>
      </c>
      <c r="EL13" s="1954">
        <f t="shared" si="6"/>
        <v>-3.34713092911431E-3</v>
      </c>
      <c r="EM13" s="1954">
        <f t="shared" si="6"/>
        <v>1.041023695771414E-2</v>
      </c>
      <c r="EN13" s="1954">
        <f t="shared" si="6"/>
        <v>6.3697724106939746E-3</v>
      </c>
    </row>
    <row r="14" spans="1:144" ht="11.25" customHeight="1">
      <c r="A14" s="958" t="s">
        <v>580</v>
      </c>
      <c r="B14" s="959"/>
      <c r="C14" s="1160"/>
      <c r="D14" s="959"/>
      <c r="E14" s="960"/>
      <c r="F14" s="960"/>
      <c r="G14" s="960"/>
      <c r="H14" s="960"/>
      <c r="I14" s="960"/>
      <c r="J14" s="960"/>
      <c r="K14" s="960"/>
      <c r="L14" s="960"/>
      <c r="M14" s="960"/>
      <c r="N14" s="960"/>
      <c r="O14" s="960"/>
      <c r="P14" s="960"/>
      <c r="Q14" s="960"/>
      <c r="R14" s="961"/>
      <c r="S14" s="1162"/>
      <c r="T14" s="970"/>
      <c r="U14" s="970"/>
      <c r="V14" s="970"/>
      <c r="W14" s="971"/>
      <c r="X14" s="972"/>
      <c r="Y14" s="968"/>
      <c r="Z14" s="964"/>
      <c r="AA14" s="964"/>
      <c r="AB14" s="966"/>
      <c r="AC14" s="963"/>
      <c r="AD14" s="972"/>
      <c r="AE14" s="968"/>
      <c r="AF14" s="964"/>
      <c r="AG14" s="964"/>
      <c r="AH14" s="966"/>
      <c r="AI14" s="963"/>
      <c r="AJ14" s="972"/>
      <c r="AK14" s="968"/>
      <c r="AL14" s="964"/>
      <c r="AM14" s="964"/>
      <c r="AN14" s="966"/>
      <c r="AO14" s="963"/>
      <c r="AP14" s="972"/>
      <c r="AQ14" s="968"/>
      <c r="AR14" s="964"/>
      <c r="AS14" s="964"/>
      <c r="AT14" s="966"/>
      <c r="AU14" s="963"/>
      <c r="AV14" s="972"/>
      <c r="AW14" s="968"/>
      <c r="AX14" s="964"/>
      <c r="AY14" s="964"/>
      <c r="AZ14" s="966"/>
      <c r="BA14" s="963"/>
      <c r="BB14" s="972"/>
      <c r="BC14" s="968"/>
      <c r="BD14" s="964"/>
      <c r="BE14" s="964"/>
      <c r="BF14" s="966"/>
      <c r="BG14" s="963"/>
      <c r="BH14" s="972"/>
      <c r="BI14" s="968">
        <f>BI13</f>
        <v>-1.0999999999999999E-2</v>
      </c>
      <c r="BJ14" s="964">
        <f t="shared" ref="BJ14:BM14" si="8">BJ13</f>
        <v>9.5000000000000001E-2</v>
      </c>
      <c r="BK14" s="964">
        <f t="shared" si="8"/>
        <v>-2.4E-2</v>
      </c>
      <c r="BL14" s="966">
        <f t="shared" si="8"/>
        <v>6.2E-2</v>
      </c>
      <c r="BM14" s="963">
        <f t="shared" si="8"/>
        <v>3.2000000000000001E-2</v>
      </c>
      <c r="BN14" s="963"/>
      <c r="BO14" s="968">
        <f>BO13</f>
        <v>6.6000000000000003E-2</v>
      </c>
      <c r="BP14" s="964">
        <f t="shared" ref="BP14:BS14" si="9">BP13</f>
        <v>-2.4E-2</v>
      </c>
      <c r="BQ14" s="964">
        <f t="shared" si="9"/>
        <v>-4.8000000000000001E-2</v>
      </c>
      <c r="BR14" s="966">
        <f t="shared" si="9"/>
        <v>-5.0000000000000001E-3</v>
      </c>
      <c r="BS14" s="963">
        <f t="shared" si="9"/>
        <v>-4.0000000000000001E-3</v>
      </c>
      <c r="BT14" s="963"/>
      <c r="BU14" s="968">
        <f>BU13</f>
        <v>-0.03</v>
      </c>
      <c r="BV14" s="964">
        <f t="shared" ref="BV14:BY14" si="10">BV13</f>
        <v>7.0000000000000001E-3</v>
      </c>
      <c r="BW14" s="964">
        <f t="shared" si="10"/>
        <v>8.1000000000000003E-2</v>
      </c>
      <c r="BX14" s="966">
        <f t="shared" si="10"/>
        <v>2.5000000000000001E-2</v>
      </c>
      <c r="BY14" s="963">
        <f t="shared" si="10"/>
        <v>2.1000000000000001E-2</v>
      </c>
      <c r="BZ14" s="963"/>
      <c r="CA14" s="968">
        <f>CA13</f>
        <v>5.5951909476661843E-2</v>
      </c>
      <c r="CB14" s="964">
        <f t="shared" ref="CB14:CE14" si="11">CB13</f>
        <v>-9.2363636363636287E-2</v>
      </c>
      <c r="CC14" s="964">
        <f t="shared" si="11"/>
        <v>-2.3554152991668839E-2</v>
      </c>
      <c r="CD14" s="966">
        <f t="shared" si="11"/>
        <v>-2.255541991904108E-2</v>
      </c>
      <c r="CE14" s="963">
        <f t="shared" si="11"/>
        <v>-2.2511397726647769E-2</v>
      </c>
      <c r="CF14" s="969"/>
      <c r="CG14" s="968">
        <f>CG13</f>
        <v>-7.7689930740543825E-3</v>
      </c>
      <c r="CH14" s="964">
        <f t="shared" ref="CH14:CK14" si="12">CH13</f>
        <v>7.6222760290556774E-2</v>
      </c>
      <c r="CI14" s="964">
        <f t="shared" si="12"/>
        <v>3.3501904036557513E-2</v>
      </c>
      <c r="CJ14" s="966">
        <f t="shared" si="12"/>
        <v>4.0310660114897409E-2</v>
      </c>
      <c r="CK14" s="963">
        <f t="shared" si="12"/>
        <v>3.58671448234558E-2</v>
      </c>
      <c r="CL14" s="969"/>
      <c r="CM14" s="968">
        <f>CM13</f>
        <v>3.4065405946750463E-2</v>
      </c>
      <c r="CN14" s="964">
        <f t="shared" ref="CN14:CO14" si="13">CN13</f>
        <v>-3.34713092911431E-3</v>
      </c>
      <c r="CO14" s="964">
        <f t="shared" si="13"/>
        <v>1.041023695771414E-2</v>
      </c>
      <c r="CP14" s="966">
        <f>CP13+(10/RevBuild!CJ75)</f>
        <v>2.5221203592364239E-2</v>
      </c>
      <c r="CQ14" s="963">
        <f>AVERAGE(CM14:CP14)</f>
        <v>1.6587428891928633E-2</v>
      </c>
      <c r="CR14" s="969"/>
      <c r="CS14" s="968">
        <f>CS13</f>
        <v>1.7384490839773559E-2</v>
      </c>
      <c r="CT14" s="964">
        <f t="shared" ref="CT14" si="14">CT13</f>
        <v>3.4815534903165579E-2</v>
      </c>
      <c r="CU14" s="964">
        <f t="shared" ref="CU14" si="15">CU13</f>
        <v>1.5054328390025518E-2</v>
      </c>
      <c r="CV14" s="966">
        <f>CV13+(10/RevBuild!CP75)</f>
        <v>4.8584586290812526E-2</v>
      </c>
      <c r="CW14" s="963">
        <f>AVERAGE(CS14:CV14)</f>
        <v>2.8959735105944295E-2</v>
      </c>
      <c r="CX14" s="2261"/>
      <c r="CY14" s="968">
        <f>CY13</f>
        <v>2.696207425622088E-2</v>
      </c>
      <c r="CZ14" s="964">
        <f t="shared" ref="CZ14" si="16">CZ13</f>
        <v>9.992444660892108E-3</v>
      </c>
      <c r="DA14" s="964">
        <f t="shared" ref="DA14:DB14" si="17">DA13</f>
        <v>3.4704556613559534E-2</v>
      </c>
      <c r="DB14" s="966">
        <f t="shared" si="17"/>
        <v>1.9064721581865562E-2</v>
      </c>
      <c r="DC14" s="963">
        <f>AVERAGE(CY14:DB14)</f>
        <v>2.2680949278134521E-2</v>
      </c>
      <c r="DD14" s="2261"/>
      <c r="DE14" s="968">
        <f>DE13</f>
        <v>1.6248717461933238E-2</v>
      </c>
      <c r="DF14" s="964">
        <f t="shared" ref="DF14" si="18">DF13</f>
        <v>3.2226517388399989E-2</v>
      </c>
      <c r="DG14" s="964">
        <f t="shared" ref="DG14" si="19">DG13</f>
        <v>1.496470969801833E-2</v>
      </c>
      <c r="DH14" s="966">
        <f t="shared" ref="DH14" si="20">DH13</f>
        <v>2.8161299192853262E-2</v>
      </c>
      <c r="DI14" s="963">
        <f>AVERAGE(DE14:DH14)</f>
        <v>2.2900310935301205E-2</v>
      </c>
      <c r="DJ14" s="2261"/>
      <c r="DK14" s="2261"/>
      <c r="DL14" s="2362"/>
      <c r="DM14" s="2363"/>
      <c r="DN14" s="2363"/>
      <c r="DO14" s="1954"/>
      <c r="DP14" s="1954"/>
      <c r="DQ14" s="1954"/>
      <c r="DR14" s="1954"/>
      <c r="DS14" s="1954"/>
      <c r="DT14" s="1954"/>
      <c r="DU14" s="1954"/>
      <c r="DV14" s="1954"/>
      <c r="DW14" s="1954"/>
      <c r="DX14" s="1954"/>
      <c r="DY14" s="1954"/>
      <c r="DZ14" s="1954"/>
      <c r="EA14" s="1954"/>
      <c r="EB14" s="1954"/>
      <c r="EC14" s="1954"/>
      <c r="ED14" s="1954"/>
      <c r="EE14" s="1954"/>
      <c r="EF14" s="1954"/>
      <c r="EG14" s="1954"/>
      <c r="EH14" s="1954"/>
      <c r="EI14" s="1954"/>
      <c r="EJ14" s="1954"/>
      <c r="EK14" s="1954"/>
      <c r="EL14" s="1954"/>
      <c r="EM14" s="1954"/>
      <c r="EN14" s="1954"/>
    </row>
    <row r="15" spans="1:144" ht="11.25" customHeight="1">
      <c r="A15" s="958" t="s">
        <v>579</v>
      </c>
      <c r="B15" s="959"/>
      <c r="C15" s="1160"/>
      <c r="D15" s="959"/>
      <c r="E15" s="960"/>
      <c r="F15" s="960"/>
      <c r="G15" s="960"/>
      <c r="H15" s="960"/>
      <c r="I15" s="960"/>
      <c r="J15" s="960"/>
      <c r="K15" s="960"/>
      <c r="L15" s="960"/>
      <c r="M15" s="960"/>
      <c r="N15" s="960"/>
      <c r="O15" s="960"/>
      <c r="P15" s="960"/>
      <c r="Q15" s="960"/>
      <c r="R15" s="961"/>
      <c r="S15" s="1162"/>
      <c r="T15" s="970"/>
      <c r="U15" s="970"/>
      <c r="V15" s="970"/>
      <c r="W15" s="971"/>
      <c r="X15" s="972"/>
      <c r="Y15" s="968"/>
      <c r="Z15" s="964"/>
      <c r="AA15" s="964"/>
      <c r="AB15" s="966"/>
      <c r="AC15" s="963"/>
      <c r="AD15" s="972"/>
      <c r="AE15" s="968"/>
      <c r="AF15" s="964"/>
      <c r="AG15" s="964"/>
      <c r="AH15" s="966"/>
      <c r="AI15" s="963"/>
      <c r="AJ15" s="972"/>
      <c r="AK15" s="968"/>
      <c r="AL15" s="964"/>
      <c r="AM15" s="964"/>
      <c r="AN15" s="966"/>
      <c r="AO15" s="963"/>
      <c r="AP15" s="972"/>
      <c r="AQ15" s="968"/>
      <c r="AR15" s="964"/>
      <c r="AS15" s="964"/>
      <c r="AT15" s="966"/>
      <c r="AU15" s="963"/>
      <c r="AV15" s="972"/>
      <c r="AW15" s="968"/>
      <c r="AX15" s="964"/>
      <c r="AY15" s="964"/>
      <c r="AZ15" s="966"/>
      <c r="BA15" s="963"/>
      <c r="BB15" s="972"/>
      <c r="BC15" s="968"/>
      <c r="BD15" s="964"/>
      <c r="BE15" s="964"/>
      <c r="BF15" s="966"/>
      <c r="BG15" s="963"/>
      <c r="BH15" s="972"/>
      <c r="BI15" s="968">
        <f>BI9+RevBuild!BI29</f>
        <v>5.7720179846601383E-2</v>
      </c>
      <c r="BJ15" s="964">
        <f>BJ9+RevBuild!BJ29</f>
        <v>0.11263972386653209</v>
      </c>
      <c r="BK15" s="964">
        <f>BK9+RevBuild!BK29</f>
        <v>-5.1711910002445627E-2</v>
      </c>
      <c r="BL15" s="966">
        <f>BL9+RevBuild!BL29</f>
        <v>0.27896287077369841</v>
      </c>
      <c r="BM15" s="963">
        <f>BM9+RevBuild!BM29</f>
        <v>9.7935654741732811E-2</v>
      </c>
      <c r="BN15" s="963"/>
      <c r="BO15" s="968">
        <f>BO9+RevBuild!BO29</f>
        <v>5.8003003003002943E-2</v>
      </c>
      <c r="BP15" s="964">
        <f>BP9+RevBuild!BP29</f>
        <v>2.98387096774194E-2</v>
      </c>
      <c r="BQ15" s="964">
        <f>BQ9+RevBuild!BQ29</f>
        <v>-3.6103263516804714E-2</v>
      </c>
      <c r="BR15" s="966">
        <f>BR9+RevBuild!BR29</f>
        <v>1.3249004646063989E-2</v>
      </c>
      <c r="BS15" s="963">
        <f>BS9+RevBuild!BS29</f>
        <v>1.4916642293068149E-2</v>
      </c>
      <c r="BT15" s="963"/>
      <c r="BU15" s="968">
        <f>BU9+RevBuild!BU29</f>
        <v>-0.11151821718143863</v>
      </c>
      <c r="BV15" s="964">
        <f>BV9+RevBuild!BV29</f>
        <v>-0.04</v>
      </c>
      <c r="BW15" s="964">
        <f>BW9+RevBuild!BW29</f>
        <v>0.08</v>
      </c>
      <c r="BX15" s="966">
        <f>BX9+RevBuild!BX29</f>
        <v>-8.0403409109834706E-2</v>
      </c>
      <c r="BY15" s="963">
        <f>BY9+RevBuild!BY29</f>
        <v>-3.3000000000000002E-2</v>
      </c>
      <c r="BZ15" s="963"/>
      <c r="CA15" s="968">
        <f>CA9+RevBuild!CA29</f>
        <v>0.12</v>
      </c>
      <c r="CB15" s="964">
        <f>CB9+RevBuild!CB29</f>
        <v>-0.01</v>
      </c>
      <c r="CC15" s="964">
        <f>CC9+RevBuild!CC29</f>
        <v>0.05</v>
      </c>
      <c r="CD15" s="966">
        <f>CD9+RevBuild!CD29</f>
        <v>0.03</v>
      </c>
      <c r="CE15" s="963">
        <f>CE9+RevBuild!CE29</f>
        <v>4.4215964622548218E-2</v>
      </c>
      <c r="CF15" s="969"/>
      <c r="CG15" s="968">
        <f>CG9+RevBuild!CG29</f>
        <v>1.7000000000000001E-2</v>
      </c>
      <c r="CH15" s="964">
        <f>CH9+RevBuild!CH29</f>
        <v>4.4999999999999998E-2</v>
      </c>
      <c r="CI15" s="964">
        <f>CI9+RevBuild!CI29</f>
        <v>0</v>
      </c>
      <c r="CJ15" s="966">
        <f>CJ9+RevBuild!CJ29</f>
        <v>-3.2000000000000001E-2</v>
      </c>
      <c r="CK15" s="963">
        <f>CK9+RevBuild!CK29</f>
        <v>5.3773199650319174E-3</v>
      </c>
      <c r="CL15" s="969"/>
      <c r="CM15" s="968">
        <f>CM9+RevBuild!CM29</f>
        <v>0.03</v>
      </c>
      <c r="CN15" s="964">
        <f>CN9+RevBuild!CN29</f>
        <v>0.03</v>
      </c>
      <c r="CO15" s="964">
        <f>CO9+RevBuild!CO29</f>
        <v>0.03</v>
      </c>
      <c r="CP15" s="966">
        <f>CP9+RevBuild!CP29</f>
        <v>9.1636130598339027E-2</v>
      </c>
      <c r="CQ15" s="963">
        <f>CQ9+RevBuild!CQ29</f>
        <v>4.7261757512802482E-2</v>
      </c>
      <c r="CR15" s="969"/>
      <c r="CS15" s="968">
        <f>CS9+RevBuild!CS29</f>
        <v>0.03</v>
      </c>
      <c r="CT15" s="964">
        <f>CT9+RevBuild!CT29</f>
        <v>0.03</v>
      </c>
      <c r="CU15" s="964">
        <f>CU9+RevBuild!CU29</f>
        <v>0.03</v>
      </c>
      <c r="CV15" s="966">
        <f>CV9+RevBuild!CV29</f>
        <v>8.6462157005151086E-2</v>
      </c>
      <c r="CW15" s="963">
        <f>CW9+RevBuild!CW29</f>
        <v>4.6482753608608984E-2</v>
      </c>
      <c r="CX15" s="2364"/>
      <c r="CY15" s="968">
        <f>CY9+RevBuild!CY29</f>
        <v>0.03</v>
      </c>
      <c r="CZ15" s="964">
        <f>CZ9+RevBuild!CZ29</f>
        <v>0.03</v>
      </c>
      <c r="DA15" s="964">
        <f>DA9+RevBuild!DA29</f>
        <v>0.03</v>
      </c>
      <c r="DB15" s="966">
        <f>DB9+RevBuild!DB29</f>
        <v>0.03</v>
      </c>
      <c r="DC15" s="963">
        <f>DC9+RevBuild!DC29</f>
        <v>3.0000000000000027E-2</v>
      </c>
      <c r="DD15" s="2364"/>
      <c r="DE15" s="968">
        <f>DE9+RevBuild!DE29</f>
        <v>0.03</v>
      </c>
      <c r="DF15" s="964">
        <f>DF9+RevBuild!DF29</f>
        <v>0.03</v>
      </c>
      <c r="DG15" s="964">
        <f>DG9+RevBuild!DG29</f>
        <v>0.03</v>
      </c>
      <c r="DH15" s="966">
        <f>DH9+RevBuild!DH29</f>
        <v>0.03</v>
      </c>
      <c r="DI15" s="963">
        <f>DI9+RevBuild!DI29</f>
        <v>3.0000000000000027E-2</v>
      </c>
      <c r="DJ15" s="2261"/>
      <c r="DK15" s="2261"/>
      <c r="DL15" s="1706"/>
      <c r="DM15" s="1954"/>
      <c r="DN15" s="1954"/>
      <c r="DO15" s="1954"/>
      <c r="DP15" s="1954"/>
      <c r="DQ15" s="1954"/>
      <c r="DR15" s="1954"/>
      <c r="DS15" s="1954"/>
      <c r="DT15" s="1954"/>
      <c r="DU15" s="1954"/>
      <c r="DV15" s="1954"/>
      <c r="DW15" s="1954"/>
      <c r="DX15" s="1954"/>
      <c r="DY15" s="1954"/>
      <c r="DZ15" s="1954"/>
      <c r="EA15" s="1954"/>
      <c r="EB15" s="1954"/>
      <c r="EC15" s="1954"/>
      <c r="ED15" s="1954"/>
      <c r="EE15" s="1954"/>
      <c r="EF15" s="1954"/>
      <c r="EG15" s="1954"/>
      <c r="EH15" s="1954"/>
      <c r="EI15" s="1954"/>
      <c r="EJ15" s="1954"/>
      <c r="EK15" s="1954"/>
      <c r="EL15" s="1954"/>
      <c r="EM15" s="1954"/>
      <c r="EN15" s="1954"/>
    </row>
    <row r="16" spans="1:144" s="583" customFormat="1" ht="11.25" customHeight="1">
      <c r="A16" s="1295"/>
      <c r="B16" s="1295"/>
      <c r="C16" s="1295"/>
      <c r="D16" s="1295"/>
      <c r="E16" s="1296"/>
      <c r="F16" s="1296"/>
      <c r="G16" s="1296"/>
      <c r="H16" s="1296"/>
      <c r="I16" s="1296"/>
      <c r="J16" s="1296"/>
      <c r="K16" s="1296"/>
      <c r="L16" s="1296"/>
      <c r="M16" s="1296"/>
      <c r="N16" s="1296"/>
      <c r="O16" s="1296"/>
      <c r="P16" s="1296"/>
      <c r="Q16" s="1296"/>
      <c r="R16" s="1296"/>
      <c r="S16" s="1297"/>
      <c r="T16" s="1297"/>
      <c r="U16" s="1297"/>
      <c r="V16" s="1297"/>
      <c r="W16" s="1296"/>
      <c r="X16" s="1296"/>
      <c r="Y16" s="1297"/>
      <c r="Z16" s="1297"/>
      <c r="AA16" s="1297"/>
      <c r="AB16" s="1297"/>
      <c r="AC16" s="1296"/>
      <c r="AD16" s="1296"/>
      <c r="AE16" s="1297"/>
      <c r="AF16" s="1297"/>
      <c r="AG16" s="1297"/>
      <c r="AH16" s="1297"/>
      <c r="AI16" s="1296"/>
      <c r="AJ16" s="1296"/>
      <c r="AK16" s="1297"/>
      <c r="AL16" s="1297"/>
      <c r="AM16" s="1297"/>
      <c r="AN16" s="1297"/>
      <c r="AO16" s="1296"/>
      <c r="AP16" s="1296"/>
      <c r="AQ16" s="1298"/>
      <c r="AR16" s="1298"/>
      <c r="AS16" s="1298"/>
      <c r="AT16" s="1298"/>
      <c r="AU16" s="1296"/>
      <c r="AV16" s="1296"/>
      <c r="AW16" s="1298"/>
      <c r="AX16" s="1298"/>
      <c r="AY16" s="1298"/>
      <c r="AZ16" s="1298"/>
      <c r="BA16" s="1296"/>
      <c r="BB16" s="1296"/>
      <c r="BC16" s="1297"/>
      <c r="BD16" s="1297"/>
      <c r="BE16" s="1299"/>
      <c r="BF16" s="1299"/>
      <c r="BG16" s="1296"/>
      <c r="BH16" s="1296"/>
      <c r="BI16" s="1297"/>
      <c r="BJ16" s="1297"/>
      <c r="BK16" s="1299"/>
      <c r="BL16" s="1299"/>
      <c r="BM16" s="1296"/>
      <c r="BN16" s="1296"/>
      <c r="BO16" s="1296"/>
      <c r="BP16" s="1296"/>
      <c r="BQ16" s="1296"/>
      <c r="BR16" s="1296"/>
      <c r="BS16" s="1296"/>
      <c r="BT16" s="1296"/>
      <c r="BU16" s="1296"/>
      <c r="BV16" s="1296"/>
      <c r="BW16" s="1296"/>
      <c r="BX16" s="1296"/>
      <c r="BY16" s="1296"/>
      <c r="BZ16" s="1296"/>
      <c r="CA16" s="1296"/>
      <c r="CB16" s="1296"/>
      <c r="CC16" s="1296"/>
      <c r="CD16" s="1296"/>
      <c r="CE16" s="1296"/>
      <c r="CF16" s="1300"/>
      <c r="CG16" s="2229"/>
      <c r="CH16" s="2229"/>
      <c r="CI16" s="2230"/>
      <c r="CJ16" s="2230"/>
      <c r="CK16" s="2229"/>
      <c r="CL16" s="1300"/>
      <c r="CM16" s="1296"/>
      <c r="CN16" s="1296"/>
      <c r="CO16" s="1296"/>
      <c r="CP16" s="1296"/>
      <c r="CQ16" s="1296"/>
      <c r="CR16" s="1300"/>
      <c r="CS16" s="1296"/>
      <c r="CT16" s="1296"/>
      <c r="CU16" s="1296"/>
      <c r="CV16" s="1296"/>
      <c r="CW16" s="1296"/>
      <c r="CX16" s="2262"/>
      <c r="CY16" s="1296"/>
      <c r="CZ16" s="1296"/>
      <c r="DA16" s="1296"/>
      <c r="DB16" s="1296"/>
      <c r="DC16" s="1296"/>
      <c r="DD16" s="2262"/>
      <c r="DE16" s="1296"/>
      <c r="DF16" s="1296"/>
      <c r="DG16" s="1296"/>
      <c r="DH16" s="1296"/>
      <c r="DI16" s="1296"/>
      <c r="DJ16" s="2262"/>
      <c r="DK16" s="2262"/>
      <c r="DL16" s="1703"/>
      <c r="DM16" s="1955"/>
      <c r="DN16" s="1955"/>
      <c r="DO16" s="1955"/>
      <c r="DP16" s="1955"/>
      <c r="DQ16" s="1955"/>
      <c r="DR16" s="1955"/>
      <c r="DS16" s="1955"/>
      <c r="DT16" s="1955"/>
      <c r="DU16" s="1955"/>
      <c r="DV16" s="1955"/>
      <c r="DW16" s="1955"/>
      <c r="DX16" s="1955"/>
      <c r="DY16" s="1955"/>
      <c r="DZ16" s="1955"/>
      <c r="EA16" s="1955"/>
      <c r="EB16" s="1955"/>
      <c r="EC16" s="1955"/>
      <c r="ED16" s="1955"/>
      <c r="EE16" s="1955"/>
      <c r="EF16" s="1955"/>
      <c r="EG16" s="1955"/>
      <c r="EH16" s="1955"/>
      <c r="EI16" s="1955"/>
      <c r="EJ16" s="1955"/>
      <c r="EK16" s="1955"/>
      <c r="EL16" s="1955"/>
      <c r="EM16" s="1955"/>
      <c r="EN16" s="1955"/>
    </row>
    <row r="17" spans="1:144" ht="11.25" customHeight="1">
      <c r="A17" s="951" t="s">
        <v>258</v>
      </c>
      <c r="B17" s="952"/>
      <c r="C17" s="952"/>
      <c r="D17" s="952"/>
      <c r="E17" s="953"/>
      <c r="F17" s="953"/>
      <c r="G17" s="953"/>
      <c r="H17" s="953"/>
      <c r="I17" s="953"/>
      <c r="J17" s="953"/>
      <c r="K17" s="953"/>
      <c r="L17" s="953"/>
      <c r="M17" s="953"/>
      <c r="N17" s="953"/>
      <c r="O17" s="953"/>
      <c r="P17" s="953"/>
      <c r="Q17" s="953"/>
      <c r="R17" s="954"/>
      <c r="S17" s="954"/>
      <c r="T17" s="954"/>
      <c r="U17" s="954"/>
      <c r="V17" s="954"/>
      <c r="W17" s="953"/>
      <c r="X17" s="954"/>
      <c r="Y17" s="956"/>
      <c r="Z17" s="954"/>
      <c r="AA17" s="954"/>
      <c r="AB17" s="954"/>
      <c r="AC17" s="953"/>
      <c r="AD17" s="954"/>
      <c r="AE17" s="956"/>
      <c r="AF17" s="954"/>
      <c r="AG17" s="954"/>
      <c r="AH17" s="954"/>
      <c r="AI17" s="953"/>
      <c r="AJ17" s="954"/>
      <c r="AK17" s="956"/>
      <c r="AL17" s="954"/>
      <c r="AM17" s="954"/>
      <c r="AN17" s="954"/>
      <c r="AO17" s="953"/>
      <c r="AP17" s="954"/>
      <c r="AQ17" s="956"/>
      <c r="AR17" s="954"/>
      <c r="AS17" s="954"/>
      <c r="AT17" s="954"/>
      <c r="AU17" s="953"/>
      <c r="AV17" s="954"/>
      <c r="AW17" s="956"/>
      <c r="AX17" s="954"/>
      <c r="AY17" s="954"/>
      <c r="AZ17" s="955"/>
      <c r="BA17" s="953"/>
      <c r="BB17" s="954"/>
      <c r="BC17" s="956"/>
      <c r="BD17" s="954"/>
      <c r="BE17" s="954"/>
      <c r="BF17" s="955"/>
      <c r="BG17" s="953"/>
      <c r="BH17" s="954"/>
      <c r="BI17" s="956"/>
      <c r="BJ17" s="954"/>
      <c r="BK17" s="954"/>
      <c r="BL17" s="955"/>
      <c r="BM17" s="953"/>
      <c r="BN17" s="953"/>
      <c r="BO17" s="956"/>
      <c r="BP17" s="954"/>
      <c r="BQ17" s="954"/>
      <c r="BR17" s="955"/>
      <c r="BS17" s="953"/>
      <c r="BT17" s="953"/>
      <c r="BU17" s="956"/>
      <c r="BV17" s="954"/>
      <c r="BW17" s="954"/>
      <c r="BX17" s="955"/>
      <c r="BY17" s="953"/>
      <c r="BZ17" s="953"/>
      <c r="CA17" s="956"/>
      <c r="CB17" s="954"/>
      <c r="CC17" s="954"/>
      <c r="CD17" s="955"/>
      <c r="CE17" s="953"/>
      <c r="CF17" s="948"/>
      <c r="CG17" s="956"/>
      <c r="CH17" s="954"/>
      <c r="CI17" s="954"/>
      <c r="CJ17" s="955"/>
      <c r="CK17" s="953"/>
      <c r="CL17" s="948"/>
      <c r="CM17" s="956"/>
      <c r="CN17" s="954"/>
      <c r="CO17" s="954"/>
      <c r="CP17" s="955"/>
      <c r="CQ17" s="953"/>
      <c r="CR17" s="948"/>
      <c r="CS17" s="956"/>
      <c r="CT17" s="954"/>
      <c r="CU17" s="954"/>
      <c r="CV17" s="955"/>
      <c r="CW17" s="953"/>
      <c r="CX17" s="1384"/>
      <c r="CY17" s="956"/>
      <c r="CZ17" s="954"/>
      <c r="DA17" s="954"/>
      <c r="DB17" s="955"/>
      <c r="DC17" s="953"/>
      <c r="DD17" s="1384"/>
      <c r="DE17" s="956"/>
      <c r="DF17" s="954"/>
      <c r="DG17" s="954"/>
      <c r="DH17" s="955"/>
      <c r="DI17" s="953"/>
      <c r="DJ17" s="1384"/>
      <c r="DK17" s="1384"/>
      <c r="DL17" s="1697" t="s">
        <v>496</v>
      </c>
      <c r="DM17" s="1956"/>
      <c r="DN17" s="1956"/>
      <c r="DO17" s="1956"/>
      <c r="DP17" s="1956"/>
      <c r="DQ17" s="1956"/>
      <c r="DR17" s="1956"/>
      <c r="DS17" s="1956"/>
      <c r="DT17" s="1956"/>
      <c r="DU17" s="1956"/>
      <c r="DV17" s="1956"/>
      <c r="DW17" s="1956"/>
      <c r="DX17" s="1956"/>
      <c r="DY17" s="1956"/>
      <c r="DZ17" s="1956"/>
      <c r="EA17" s="1956"/>
      <c r="EB17" s="1956"/>
      <c r="EC17" s="1956"/>
      <c r="ED17" s="1956"/>
      <c r="EE17" s="1956"/>
      <c r="EF17" s="1956"/>
      <c r="EG17" s="1956"/>
      <c r="EH17" s="1956"/>
      <c r="EI17" s="1956"/>
      <c r="EJ17" s="1956"/>
      <c r="EK17" s="1956"/>
      <c r="EL17" s="1956"/>
      <c r="EM17" s="1956"/>
      <c r="EN17" s="1956"/>
    </row>
    <row r="18" spans="1:144" s="583" customFormat="1" ht="11.25" customHeight="1">
      <c r="A18" s="924" t="str">
        <f>A8</f>
        <v>BSI</v>
      </c>
      <c r="B18" s="925"/>
      <c r="C18" s="934"/>
      <c r="D18" s="933"/>
      <c r="E18" s="934"/>
      <c r="F18" s="934"/>
      <c r="G18" s="934"/>
      <c r="H18" s="934"/>
      <c r="I18" s="934"/>
      <c r="J18" s="934"/>
      <c r="K18" s="934"/>
      <c r="L18" s="934"/>
      <c r="M18" s="934"/>
      <c r="N18" s="934"/>
      <c r="O18" s="934"/>
      <c r="P18" s="934"/>
      <c r="Q18" s="934"/>
      <c r="R18" s="935"/>
      <c r="S18" s="1163"/>
      <c r="T18" s="927"/>
      <c r="U18" s="927"/>
      <c r="V18" s="936"/>
      <c r="W18" s="934"/>
      <c r="X18" s="935"/>
      <c r="Y18" s="1164"/>
      <c r="Z18" s="927"/>
      <c r="AA18" s="927"/>
      <c r="AB18" s="936"/>
      <c r="AC18" s="934"/>
      <c r="AD18" s="935"/>
      <c r="AE18" s="1164"/>
      <c r="AF18" s="927"/>
      <c r="AG18" s="927"/>
      <c r="AH18" s="936"/>
      <c r="AI18" s="934"/>
      <c r="AJ18" s="935"/>
      <c r="AK18" s="1164"/>
      <c r="AL18" s="927"/>
      <c r="AM18" s="927"/>
      <c r="AN18" s="936"/>
      <c r="AO18" s="934">
        <f>AI8+AO8</f>
        <v>3.9E-2</v>
      </c>
      <c r="AP18" s="935"/>
      <c r="AQ18" s="1164"/>
      <c r="AR18" s="927">
        <f>AL8+AR8</f>
        <v>5.3999999999999992E-2</v>
      </c>
      <c r="AS18" s="927">
        <f>AM8+AS8</f>
        <v>0.24199999999999999</v>
      </c>
      <c r="AT18" s="936"/>
      <c r="AU18" s="934">
        <f>AO8+AU8</f>
        <v>0.11</v>
      </c>
      <c r="AV18" s="935"/>
      <c r="AW18" s="1164">
        <f>AQ8+AW8</f>
        <v>0.11899999999999999</v>
      </c>
      <c r="AX18" s="927">
        <f>AR8+AX8</f>
        <v>0.246</v>
      </c>
      <c r="AY18" s="927">
        <f>AS8+AY8</f>
        <v>0.25800000000000001</v>
      </c>
      <c r="AZ18" s="936">
        <f>AT8+AZ8</f>
        <v>0.27300000000000002</v>
      </c>
      <c r="BA18" s="934">
        <f>AU8+BA8</f>
        <v>0.19400000000000001</v>
      </c>
      <c r="BB18" s="935"/>
      <c r="BC18" s="1164">
        <f>AW8+BC8</f>
        <v>0.157</v>
      </c>
      <c r="BD18" s="927">
        <f>AX8+BD8</f>
        <v>0.16399999999999998</v>
      </c>
      <c r="BE18" s="927">
        <f>AY8+BE8</f>
        <v>0.20400000000000001</v>
      </c>
      <c r="BF18" s="936">
        <f>AZ8+BF8</f>
        <v>0.21368305330844178</v>
      </c>
      <c r="BG18" s="934">
        <f>BA8+BG8</f>
        <v>0.188</v>
      </c>
      <c r="BH18" s="935"/>
      <c r="BI18" s="1164">
        <f>BC8+BI8</f>
        <v>0.114</v>
      </c>
      <c r="BJ18" s="927">
        <f>BD8+BJ8</f>
        <v>0.17899999999999999</v>
      </c>
      <c r="BK18" s="927">
        <f>BE8+BK8</f>
        <v>9.8000000000000004E-2</v>
      </c>
      <c r="BL18" s="936">
        <f>BF8+BL8</f>
        <v>0.14968305330844178</v>
      </c>
      <c r="BM18" s="942">
        <f>BG8+BM8</f>
        <v>0.13600000000000001</v>
      </c>
      <c r="BN18" s="934"/>
      <c r="BO18" s="1164">
        <f t="shared" ref="BO18:BS23" si="21">BI8+BO8</f>
        <v>5.6000000000000001E-2</v>
      </c>
      <c r="BP18" s="927">
        <f t="shared" si="21"/>
        <v>5.1999999999999998E-2</v>
      </c>
      <c r="BQ18" s="927">
        <f t="shared" si="21"/>
        <v>-6.7999999999999991E-2</v>
      </c>
      <c r="BR18" s="936">
        <f t="shared" si="21"/>
        <v>6.5000000000000002E-2</v>
      </c>
      <c r="BS18" s="942">
        <f t="shared" si="21"/>
        <v>2.7000000000000003E-2</v>
      </c>
      <c r="BT18" s="934"/>
      <c r="BU18" s="927">
        <f t="shared" ref="BU18:BY23" si="22">BO8+BU8</f>
        <v>3.0000000000000006E-2</v>
      </c>
      <c r="BV18" s="927">
        <f t="shared" si="22"/>
        <v>-1.9000000000000003E-2</v>
      </c>
      <c r="BW18" s="927">
        <f t="shared" si="22"/>
        <v>2.2000000000000006E-2</v>
      </c>
      <c r="BX18" s="936">
        <f t="shared" si="22"/>
        <v>6.0000000000000001E-3</v>
      </c>
      <c r="BY18" s="942">
        <f t="shared" si="22"/>
        <v>-8.9604687192965882E-2</v>
      </c>
      <c r="BZ18" s="934"/>
      <c r="CA18" s="927">
        <f t="shared" ref="CA18:CE23" si="23">BU8+CA8</f>
        <v>2.6000000000000002E-2</v>
      </c>
      <c r="CB18" s="927">
        <f t="shared" si="23"/>
        <v>-8.0999999999999989E-2</v>
      </c>
      <c r="CC18" s="927">
        <f t="shared" si="23"/>
        <v>5.7999999999999996E-2</v>
      </c>
      <c r="CD18" s="936">
        <f t="shared" si="23"/>
        <v>-3.0000000000000001E-3</v>
      </c>
      <c r="CE18" s="942">
        <f t="shared" si="23"/>
        <v>-0.10129215572538441</v>
      </c>
      <c r="CF18" s="461"/>
      <c r="CG18" s="1164">
        <f t="shared" ref="CG18:CK23" si="24">CA8+CG8</f>
        <v>0.05</v>
      </c>
      <c r="CH18" s="927">
        <f t="shared" si="24"/>
        <v>-4.2999999999999997E-2</v>
      </c>
      <c r="CI18" s="927">
        <f t="shared" si="24"/>
        <v>6.9999999999999993E-3</v>
      </c>
      <c r="CJ18" s="936">
        <f t="shared" si="24"/>
        <v>3.1000000000000003E-2</v>
      </c>
      <c r="CK18" s="942">
        <f t="shared" si="24"/>
        <v>8.9047047421468364E-3</v>
      </c>
      <c r="CL18" s="461"/>
      <c r="CM18" s="1164">
        <f t="shared" ref="CM18:CQ23" si="25">CG8+CM8</f>
        <v>2.7315349630505661E-2</v>
      </c>
      <c r="CN18" s="927">
        <f t="shared" si="25"/>
        <v>6.3071614105248391E-2</v>
      </c>
      <c r="CO18" s="927">
        <f t="shared" si="25"/>
        <v>5.0592824407807949E-2</v>
      </c>
      <c r="CP18" s="936">
        <f t="shared" si="25"/>
        <v>4.5366178060758988E-2</v>
      </c>
      <c r="CQ18" s="942">
        <f t="shared" si="25"/>
        <v>4.619160840108659E-2</v>
      </c>
      <c r="CR18" s="461"/>
      <c r="CS18" s="1164">
        <f t="shared" ref="CS18:CW23" si="26">CM8+CS8</f>
        <v>6.9026195618389755E-2</v>
      </c>
      <c r="CT18" s="927">
        <f t="shared" si="26"/>
        <v>4.9327651766573395E-2</v>
      </c>
      <c r="CU18" s="927">
        <f t="shared" si="26"/>
        <v>4.0688013996162724E-2</v>
      </c>
      <c r="CV18" s="936">
        <f t="shared" si="26"/>
        <v>4.0298790536368645E-2</v>
      </c>
      <c r="CW18" s="942">
        <f t="shared" si="26"/>
        <v>4.8699101311544341E-2</v>
      </c>
      <c r="CX18" s="2259"/>
      <c r="CY18" s="1164">
        <f t="shared" ref="CY18:DC23" si="27">CS8+CY8</f>
        <v>5.6364745975806319E-2</v>
      </c>
      <c r="CZ18" s="927">
        <f t="shared" si="27"/>
        <v>5.7743835944825461E-2</v>
      </c>
      <c r="DA18" s="927">
        <f t="shared" si="27"/>
        <v>6.192670071851869E-2</v>
      </c>
      <c r="DB18" s="936">
        <f t="shared" si="27"/>
        <v>5.4724670992384677E-2</v>
      </c>
      <c r="DC18" s="942">
        <f t="shared" si="27"/>
        <v>5.7436683244447527E-2</v>
      </c>
      <c r="DD18" s="2259"/>
      <c r="DE18" s="1164">
        <f t="shared" ref="DE18:DI23" si="28">CY8+DE8</f>
        <v>5.371586334720857E-2</v>
      </c>
      <c r="DF18" s="927">
        <f t="shared" si="28"/>
        <v>5.5360223281792242E-2</v>
      </c>
      <c r="DG18" s="927">
        <f t="shared" si="28"/>
        <v>6.0023550619718646E-2</v>
      </c>
      <c r="DH18" s="936">
        <f t="shared" si="28"/>
        <v>5.1983304367682059E-2</v>
      </c>
      <c r="DI18" s="942">
        <f t="shared" si="28"/>
        <v>5.5064923699654073E-2</v>
      </c>
      <c r="DJ18" s="2259"/>
      <c r="DK18" s="2259"/>
      <c r="DL18" s="1700"/>
      <c r="DM18" s="1950" t="str">
        <f t="shared" ref="DM18:EN18" si="29">DM7</f>
        <v>1Q12</v>
      </c>
      <c r="DN18" s="1950" t="str">
        <f t="shared" si="29"/>
        <v>2Q12</v>
      </c>
      <c r="DO18" s="1950" t="str">
        <f t="shared" si="29"/>
        <v>3Q12</v>
      </c>
      <c r="DP18" s="1950" t="str">
        <f t="shared" si="29"/>
        <v>4Q12</v>
      </c>
      <c r="DQ18" s="1950" t="str">
        <f t="shared" si="29"/>
        <v>1Q13</v>
      </c>
      <c r="DR18" s="1950" t="str">
        <f t="shared" si="29"/>
        <v>2Q13</v>
      </c>
      <c r="DS18" s="1950" t="str">
        <f t="shared" si="29"/>
        <v>3Q13</v>
      </c>
      <c r="DT18" s="1950" t="str">
        <f t="shared" si="29"/>
        <v>4Q13</v>
      </c>
      <c r="DU18" s="1950" t="str">
        <f t="shared" si="29"/>
        <v>1Q14</v>
      </c>
      <c r="DV18" s="1950" t="str">
        <f t="shared" si="29"/>
        <v>2Q14</v>
      </c>
      <c r="DW18" s="1950" t="str">
        <f t="shared" si="29"/>
        <v>3Q14</v>
      </c>
      <c r="DX18" s="1950" t="str">
        <f t="shared" si="29"/>
        <v>4Q14</v>
      </c>
      <c r="DY18" s="1950" t="str">
        <f t="shared" si="29"/>
        <v>1Q15</v>
      </c>
      <c r="DZ18" s="1950" t="str">
        <f t="shared" si="29"/>
        <v>2Q15</v>
      </c>
      <c r="EA18" s="1950" t="str">
        <f t="shared" si="29"/>
        <v>3Q15</v>
      </c>
      <c r="EB18" s="1950" t="str">
        <f t="shared" si="29"/>
        <v>4Q15</v>
      </c>
      <c r="EC18" s="1950" t="str">
        <f t="shared" si="29"/>
        <v>1Q16</v>
      </c>
      <c r="ED18" s="1950" t="str">
        <f t="shared" si="29"/>
        <v>2Q16</v>
      </c>
      <c r="EE18" s="1950" t="str">
        <f t="shared" si="29"/>
        <v>3Q16</v>
      </c>
      <c r="EF18" s="1950" t="str">
        <f t="shared" si="29"/>
        <v>4Q16</v>
      </c>
      <c r="EG18" s="1950" t="str">
        <f t="shared" si="29"/>
        <v>1Q17</v>
      </c>
      <c r="EH18" s="1950" t="str">
        <f t="shared" si="29"/>
        <v>2Q17</v>
      </c>
      <c r="EI18" s="1950" t="str">
        <f t="shared" si="29"/>
        <v>3Q17</v>
      </c>
      <c r="EJ18" s="1950" t="str">
        <f t="shared" si="29"/>
        <v>4Q17</v>
      </c>
      <c r="EK18" s="1950" t="str">
        <f t="shared" si="29"/>
        <v>1Q18E</v>
      </c>
      <c r="EL18" s="1950" t="str">
        <f t="shared" si="29"/>
        <v>2Q17E</v>
      </c>
      <c r="EM18" s="1950" t="str">
        <f t="shared" si="29"/>
        <v>3Q17E</v>
      </c>
      <c r="EN18" s="1950" t="str">
        <f t="shared" si="29"/>
        <v>4Q18E</v>
      </c>
    </row>
    <row r="19" spans="1:144" s="583" customFormat="1" ht="11.25" customHeight="1">
      <c r="A19" s="1625" t="s">
        <v>450</v>
      </c>
      <c r="B19" s="925"/>
      <c r="C19" s="934"/>
      <c r="D19" s="933"/>
      <c r="E19" s="934"/>
      <c r="F19" s="934"/>
      <c r="G19" s="934"/>
      <c r="H19" s="934"/>
      <c r="I19" s="934"/>
      <c r="J19" s="934"/>
      <c r="K19" s="934"/>
      <c r="L19" s="934"/>
      <c r="M19" s="934"/>
      <c r="N19" s="934"/>
      <c r="O19" s="934"/>
      <c r="P19" s="934"/>
      <c r="Q19" s="934"/>
      <c r="R19" s="935"/>
      <c r="S19" s="1164"/>
      <c r="T19" s="927"/>
      <c r="U19" s="927"/>
      <c r="V19" s="936"/>
      <c r="W19" s="934"/>
      <c r="X19" s="935"/>
      <c r="Y19" s="1164"/>
      <c r="Z19" s="927"/>
      <c r="AA19" s="927"/>
      <c r="AB19" s="936"/>
      <c r="AC19" s="934"/>
      <c r="AD19" s="935"/>
      <c r="AE19" s="1164"/>
      <c r="AF19" s="927"/>
      <c r="AG19" s="927"/>
      <c r="AH19" s="936"/>
      <c r="AI19" s="934"/>
      <c r="AJ19" s="935"/>
      <c r="AK19" s="1164"/>
      <c r="AL19" s="927"/>
      <c r="AM19" s="927"/>
      <c r="AN19" s="936"/>
      <c r="AO19" s="934"/>
      <c r="AP19" s="935"/>
      <c r="AQ19" s="1164"/>
      <c r="AR19" s="927"/>
      <c r="AS19" s="927"/>
      <c r="AT19" s="936"/>
      <c r="AU19" s="934"/>
      <c r="AV19" s="935"/>
      <c r="AW19" s="1164"/>
      <c r="AX19" s="927"/>
      <c r="AY19" s="927"/>
      <c r="AZ19" s="936"/>
      <c r="BA19" s="934"/>
      <c r="BB19" s="935"/>
      <c r="BC19" s="1164"/>
      <c r="BD19" s="927"/>
      <c r="BE19" s="927"/>
      <c r="BF19" s="936"/>
      <c r="BG19" s="934"/>
      <c r="BH19" s="935"/>
      <c r="BI19" s="1164"/>
      <c r="BJ19" s="927"/>
      <c r="BK19" s="927"/>
      <c r="BL19" s="936"/>
      <c r="BM19" s="942"/>
      <c r="BN19" s="934"/>
      <c r="BO19" s="1164">
        <f t="shared" si="21"/>
        <v>0.11572318284960433</v>
      </c>
      <c r="BP19" s="927">
        <f t="shared" si="21"/>
        <v>0.14247843354395148</v>
      </c>
      <c r="BQ19" s="927">
        <f t="shared" si="21"/>
        <v>-8.7815173519250334E-2</v>
      </c>
      <c r="BR19" s="936">
        <f t="shared" si="21"/>
        <v>0.2922118754197624</v>
      </c>
      <c r="BS19" s="942">
        <f t="shared" si="21"/>
        <v>0.11285229703480096</v>
      </c>
      <c r="BT19" s="934"/>
      <c r="BU19" s="927">
        <f t="shared" si="22"/>
        <v>-5.3515214178435688E-2</v>
      </c>
      <c r="BV19" s="927">
        <f t="shared" si="22"/>
        <v>-1.0161290322580601E-2</v>
      </c>
      <c r="BW19" s="927">
        <f t="shared" si="22"/>
        <v>4.3896736483195288E-2</v>
      </c>
      <c r="BX19" s="936">
        <f t="shared" si="22"/>
        <v>-6.7154404463770717E-2</v>
      </c>
      <c r="BY19" s="942">
        <f t="shared" si="22"/>
        <v>-1.8083357706931855E-2</v>
      </c>
      <c r="BZ19" s="934"/>
      <c r="CA19" s="927">
        <f t="shared" si="23"/>
        <v>8.4817828185613647E-3</v>
      </c>
      <c r="CB19" s="927">
        <f t="shared" si="23"/>
        <v>-0.05</v>
      </c>
      <c r="CC19" s="927">
        <f t="shared" si="23"/>
        <v>0.13</v>
      </c>
      <c r="CD19" s="936">
        <f t="shared" si="23"/>
        <v>-5.0403409109834707E-2</v>
      </c>
      <c r="CE19" s="942">
        <f t="shared" si="23"/>
        <v>1.1215964622548216E-2</v>
      </c>
      <c r="CF19" s="461"/>
      <c r="CG19" s="1164">
        <f t="shared" si="24"/>
        <v>0.13700000000000001</v>
      </c>
      <c r="CH19" s="927">
        <f t="shared" si="24"/>
        <v>3.4999999999999996E-2</v>
      </c>
      <c r="CI19" s="927">
        <f t="shared" si="24"/>
        <v>0.05</v>
      </c>
      <c r="CJ19" s="936">
        <f t="shared" si="24"/>
        <v>-2.0000000000000018E-3</v>
      </c>
      <c r="CK19" s="942">
        <f t="shared" si="24"/>
        <v>4.9593284587580139E-2</v>
      </c>
      <c r="CL19" s="461"/>
      <c r="CM19" s="1164">
        <f t="shared" si="25"/>
        <v>4.7E-2</v>
      </c>
      <c r="CN19" s="927">
        <f t="shared" si="25"/>
        <v>7.4999999999999997E-2</v>
      </c>
      <c r="CO19" s="927">
        <f t="shared" si="25"/>
        <v>0.03</v>
      </c>
      <c r="CP19" s="936">
        <f t="shared" si="25"/>
        <v>-2.0000000000000018E-3</v>
      </c>
      <c r="CQ19" s="942">
        <f t="shared" si="25"/>
        <v>3.464590810692654E-2</v>
      </c>
      <c r="CR19" s="461"/>
      <c r="CS19" s="1164">
        <f t="shared" si="26"/>
        <v>0.06</v>
      </c>
      <c r="CT19" s="927">
        <f t="shared" si="26"/>
        <v>0.06</v>
      </c>
      <c r="CU19" s="927">
        <f t="shared" si="26"/>
        <v>0.06</v>
      </c>
      <c r="CV19" s="936">
        <f t="shared" si="26"/>
        <v>0.06</v>
      </c>
      <c r="CW19" s="942">
        <f t="shared" si="26"/>
        <v>5.8638887696921028E-2</v>
      </c>
      <c r="CX19" s="2259"/>
      <c r="CY19" s="1164">
        <f t="shared" si="27"/>
        <v>0.06</v>
      </c>
      <c r="CZ19" s="927">
        <f t="shared" si="27"/>
        <v>0.06</v>
      </c>
      <c r="DA19" s="927">
        <f t="shared" si="27"/>
        <v>0.06</v>
      </c>
      <c r="DB19" s="936">
        <f t="shared" si="27"/>
        <v>0.06</v>
      </c>
      <c r="DC19" s="942">
        <f t="shared" si="27"/>
        <v>5.9370299555026436E-2</v>
      </c>
      <c r="DD19" s="2259"/>
      <c r="DE19" s="1164">
        <f t="shared" si="28"/>
        <v>0.06</v>
      </c>
      <c r="DF19" s="927">
        <f t="shared" si="28"/>
        <v>0.06</v>
      </c>
      <c r="DG19" s="927">
        <f t="shared" si="28"/>
        <v>0.06</v>
      </c>
      <c r="DH19" s="936">
        <f t="shared" si="28"/>
        <v>0.06</v>
      </c>
      <c r="DI19" s="942">
        <f t="shared" si="28"/>
        <v>6.0000000000000053E-2</v>
      </c>
      <c r="DJ19" s="2259"/>
      <c r="DK19" s="2259"/>
      <c r="DL19" s="1704" t="str">
        <f t="shared" ref="DL19:DL24" si="30">DL8</f>
        <v>BSI</v>
      </c>
      <c r="DM19" s="1951">
        <f>BC18</f>
        <v>0.157</v>
      </c>
      <c r="DN19" s="1951">
        <f>BD18</f>
        <v>0.16399999999999998</v>
      </c>
      <c r="DO19" s="1951">
        <f>BE18</f>
        <v>0.20400000000000001</v>
      </c>
      <c r="DP19" s="1951">
        <f>BF18</f>
        <v>0.21368305330844178</v>
      </c>
      <c r="DQ19" s="1951">
        <f>BI18</f>
        <v>0.114</v>
      </c>
      <c r="DR19" s="1951">
        <f>BJ18</f>
        <v>0.17899999999999999</v>
      </c>
      <c r="DS19" s="1951">
        <f>BK18</f>
        <v>9.8000000000000004E-2</v>
      </c>
      <c r="DT19" s="1951">
        <f>BL18</f>
        <v>0.14968305330844178</v>
      </c>
      <c r="DU19" s="1951">
        <f t="shared" ref="DU19:DX24" si="31">BO18</f>
        <v>5.6000000000000001E-2</v>
      </c>
      <c r="DV19" s="1951">
        <f t="shared" si="31"/>
        <v>5.1999999999999998E-2</v>
      </c>
      <c r="DW19" s="1951">
        <f t="shared" si="31"/>
        <v>-6.7999999999999991E-2</v>
      </c>
      <c r="DX19" s="1951">
        <f t="shared" si="31"/>
        <v>6.5000000000000002E-2</v>
      </c>
      <c r="DY19" s="1951">
        <f t="shared" ref="DY19:EB24" si="32">BU18</f>
        <v>3.0000000000000006E-2</v>
      </c>
      <c r="DZ19" s="1951">
        <f t="shared" si="32"/>
        <v>-1.9000000000000003E-2</v>
      </c>
      <c r="EA19" s="1951">
        <f t="shared" si="32"/>
        <v>2.2000000000000006E-2</v>
      </c>
      <c r="EB19" s="1951">
        <f t="shared" si="32"/>
        <v>6.0000000000000001E-3</v>
      </c>
      <c r="EC19" s="1951">
        <f t="shared" ref="EC19:EF24" si="33">CA18</f>
        <v>2.6000000000000002E-2</v>
      </c>
      <c r="ED19" s="1951">
        <f t="shared" si="33"/>
        <v>-8.0999999999999989E-2</v>
      </c>
      <c r="EE19" s="1951">
        <f t="shared" si="33"/>
        <v>5.7999999999999996E-2</v>
      </c>
      <c r="EF19" s="1951">
        <f t="shared" si="33"/>
        <v>-3.0000000000000001E-3</v>
      </c>
      <c r="EG19" s="1951">
        <f t="shared" ref="EG19:EJ24" si="34">CG18</f>
        <v>0.05</v>
      </c>
      <c r="EH19" s="1951">
        <f t="shared" si="34"/>
        <v>-4.2999999999999997E-2</v>
      </c>
      <c r="EI19" s="1951">
        <f t="shared" si="34"/>
        <v>6.9999999999999993E-3</v>
      </c>
      <c r="EJ19" s="1951">
        <f t="shared" si="34"/>
        <v>3.1000000000000003E-2</v>
      </c>
      <c r="EK19" s="1951">
        <f>CM18</f>
        <v>2.7315349630505661E-2</v>
      </c>
      <c r="EL19" s="1951">
        <f t="shared" ref="EL19:EN24" si="35">CN18</f>
        <v>6.3071614105248391E-2</v>
      </c>
      <c r="EM19" s="1951">
        <f t="shared" si="35"/>
        <v>5.0592824407807949E-2</v>
      </c>
      <c r="EN19" s="1951">
        <f t="shared" si="35"/>
        <v>4.5366178060758988E-2</v>
      </c>
    </row>
    <row r="20" spans="1:144" s="583" customFormat="1" ht="11.25" customHeight="1">
      <c r="A20" s="1625" t="s">
        <v>451</v>
      </c>
      <c r="B20" s="925"/>
      <c r="C20" s="934"/>
      <c r="D20" s="933"/>
      <c r="E20" s="934"/>
      <c r="F20" s="934"/>
      <c r="G20" s="934"/>
      <c r="H20" s="934"/>
      <c r="I20" s="934"/>
      <c r="J20" s="934"/>
      <c r="K20" s="934"/>
      <c r="L20" s="934"/>
      <c r="M20" s="934"/>
      <c r="N20" s="934"/>
      <c r="O20" s="934"/>
      <c r="P20" s="934"/>
      <c r="Q20" s="934"/>
      <c r="R20" s="935"/>
      <c r="S20" s="1164"/>
      <c r="T20" s="927"/>
      <c r="U20" s="927"/>
      <c r="V20" s="936"/>
      <c r="W20" s="934"/>
      <c r="X20" s="935"/>
      <c r="Y20" s="1164"/>
      <c r="Z20" s="927"/>
      <c r="AA20" s="927"/>
      <c r="AB20" s="936"/>
      <c r="AC20" s="934"/>
      <c r="AD20" s="935"/>
      <c r="AE20" s="1164"/>
      <c r="AF20" s="927"/>
      <c r="AG20" s="927"/>
      <c r="AH20" s="936"/>
      <c r="AI20" s="934"/>
      <c r="AJ20" s="935"/>
      <c r="AK20" s="1164"/>
      <c r="AL20" s="927"/>
      <c r="AM20" s="927"/>
      <c r="AN20" s="936"/>
      <c r="AO20" s="934"/>
      <c r="AP20" s="935"/>
      <c r="AQ20" s="1164"/>
      <c r="AR20" s="927"/>
      <c r="AS20" s="927"/>
      <c r="AT20" s="936"/>
      <c r="AU20" s="934"/>
      <c r="AV20" s="935"/>
      <c r="AW20" s="1164"/>
      <c r="AX20" s="927"/>
      <c r="AY20" s="927"/>
      <c r="AZ20" s="936"/>
      <c r="BA20" s="934"/>
      <c r="BB20" s="935"/>
      <c r="BC20" s="1164"/>
      <c r="BD20" s="927"/>
      <c r="BE20" s="927"/>
      <c r="BF20" s="936"/>
      <c r="BG20" s="934"/>
      <c r="BH20" s="935"/>
      <c r="BI20" s="1164"/>
      <c r="BJ20" s="927"/>
      <c r="BK20" s="927"/>
      <c r="BL20" s="936"/>
      <c r="BM20" s="942"/>
      <c r="BN20" s="934"/>
      <c r="BO20" s="1164">
        <f t="shared" si="21"/>
        <v>7.2318284960441737E-4</v>
      </c>
      <c r="BP20" s="927">
        <f t="shared" si="21"/>
        <v>0.16551081439854809</v>
      </c>
      <c r="BQ20" s="927">
        <f t="shared" si="21"/>
        <v>0.10831888431336664</v>
      </c>
      <c r="BR20" s="936">
        <f t="shared" si="21"/>
        <v>2.7860616711197571E-2</v>
      </c>
      <c r="BS20" s="942">
        <f t="shared" si="21"/>
        <v>6.3314194656280326E-2</v>
      </c>
      <c r="BT20" s="934"/>
      <c r="BU20" s="927">
        <f t="shared" si="22"/>
        <v>0.11800300300300311</v>
      </c>
      <c r="BV20" s="927">
        <f t="shared" si="22"/>
        <v>-3.0815998791408734E-2</v>
      </c>
      <c r="BW20" s="927">
        <f t="shared" si="22"/>
        <v>0.23156001689242739</v>
      </c>
      <c r="BX20" s="936">
        <f t="shared" si="22"/>
        <v>8.8080307606347163E-3</v>
      </c>
      <c r="BY20" s="942">
        <f t="shared" si="22"/>
        <v>7.6672276404074632E-2</v>
      </c>
      <c r="BZ20" s="934"/>
      <c r="CA20" s="927">
        <f t="shared" si="23"/>
        <v>7.5000000000000011E-2</v>
      </c>
      <c r="CB20" s="927">
        <f t="shared" si="23"/>
        <v>-9.4E-2</v>
      </c>
      <c r="CC20" s="927">
        <f t="shared" si="23"/>
        <v>0.15002922257661516</v>
      </c>
      <c r="CD20" s="936">
        <f t="shared" si="23"/>
        <v>3.6910284823135492E-2</v>
      </c>
      <c r="CE20" s="942">
        <f t="shared" si="23"/>
        <v>4.3264219486514127E-2</v>
      </c>
      <c r="CF20" s="461"/>
      <c r="CG20" s="1164">
        <f t="shared" si="24"/>
        <v>-1.4999999999999999E-2</v>
      </c>
      <c r="CH20" s="927">
        <f t="shared" si="24"/>
        <v>0.03</v>
      </c>
      <c r="CI20" s="927">
        <f t="shared" si="24"/>
        <v>-1.6500000000000001E-2</v>
      </c>
      <c r="CJ20" s="936">
        <f t="shared" si="24"/>
        <v>3.2000000000000223E-3</v>
      </c>
      <c r="CK20" s="942">
        <f t="shared" si="24"/>
        <v>-4.1300303915929384E-3</v>
      </c>
      <c r="CL20" s="461"/>
      <c r="CM20" s="1164">
        <f t="shared" si="25"/>
        <v>3.4999999999999989E-2</v>
      </c>
      <c r="CN20" s="927">
        <f t="shared" si="25"/>
        <v>0.14000000000000001</v>
      </c>
      <c r="CO20" s="927">
        <f t="shared" si="25"/>
        <v>0.09</v>
      </c>
      <c r="CP20" s="936">
        <f t="shared" si="25"/>
        <v>7.1200000000000013E-2</v>
      </c>
      <c r="CQ20" s="942">
        <f t="shared" si="25"/>
        <v>7.872517683259149E-2</v>
      </c>
      <c r="CR20" s="461"/>
      <c r="CS20" s="1164">
        <f t="shared" si="26"/>
        <v>0.16999999999999998</v>
      </c>
      <c r="CT20" s="927">
        <f t="shared" si="26"/>
        <v>6.0000000000000005E-2</v>
      </c>
      <c r="CU20" s="927">
        <f t="shared" si="26"/>
        <v>0.08</v>
      </c>
      <c r="CV20" s="936">
        <f t="shared" si="26"/>
        <v>0.11</v>
      </c>
      <c r="CW20" s="942">
        <f t="shared" si="26"/>
        <v>0.10211942671069861</v>
      </c>
      <c r="CX20" s="2259"/>
      <c r="CY20" s="1164">
        <f t="shared" si="27"/>
        <v>0.1</v>
      </c>
      <c r="CZ20" s="927">
        <f t="shared" si="27"/>
        <v>0.1</v>
      </c>
      <c r="DA20" s="927">
        <f t="shared" si="27"/>
        <v>0.1</v>
      </c>
      <c r="DB20" s="936">
        <f t="shared" si="27"/>
        <v>0.1</v>
      </c>
      <c r="DC20" s="942">
        <f t="shared" si="27"/>
        <v>0.10000000000000009</v>
      </c>
      <c r="DD20" s="2259"/>
      <c r="DE20" s="1164">
        <f t="shared" si="28"/>
        <v>0.1</v>
      </c>
      <c r="DF20" s="927">
        <f t="shared" si="28"/>
        <v>0.1</v>
      </c>
      <c r="DG20" s="927">
        <f t="shared" si="28"/>
        <v>0.1</v>
      </c>
      <c r="DH20" s="936">
        <f t="shared" si="28"/>
        <v>0.1</v>
      </c>
      <c r="DI20" s="942">
        <f t="shared" si="28"/>
        <v>0.10000000000000009</v>
      </c>
      <c r="DJ20" s="2259"/>
      <c r="DK20" s="2259"/>
      <c r="DL20" s="1702" t="str">
        <f t="shared" si="30"/>
        <v xml:space="preserve">    BIOSPIN</v>
      </c>
      <c r="DM20" s="1952" t="s">
        <v>270</v>
      </c>
      <c r="DN20" s="1952" t="s">
        <v>270</v>
      </c>
      <c r="DO20" s="1952" t="s">
        <v>270</v>
      </c>
      <c r="DP20" s="1952" t="s">
        <v>270</v>
      </c>
      <c r="DQ20" s="1952" t="s">
        <v>270</v>
      </c>
      <c r="DR20" s="1952" t="s">
        <v>270</v>
      </c>
      <c r="DS20" s="1952" t="s">
        <v>270</v>
      </c>
      <c r="DT20" s="1952" t="s">
        <v>270</v>
      </c>
      <c r="DU20" s="1952">
        <f t="shared" si="31"/>
        <v>0.11572318284960433</v>
      </c>
      <c r="DV20" s="1952">
        <f t="shared" si="31"/>
        <v>0.14247843354395148</v>
      </c>
      <c r="DW20" s="1952">
        <f t="shared" si="31"/>
        <v>-8.7815173519250334E-2</v>
      </c>
      <c r="DX20" s="1952">
        <f t="shared" si="31"/>
        <v>0.2922118754197624</v>
      </c>
      <c r="DY20" s="1952">
        <f t="shared" si="32"/>
        <v>-5.3515214178435688E-2</v>
      </c>
      <c r="DZ20" s="1952">
        <f t="shared" si="32"/>
        <v>-1.0161290322580601E-2</v>
      </c>
      <c r="EA20" s="1952">
        <f t="shared" si="32"/>
        <v>4.3896736483195288E-2</v>
      </c>
      <c r="EB20" s="1952">
        <f t="shared" si="32"/>
        <v>-6.7154404463770717E-2</v>
      </c>
      <c r="EC20" s="1952">
        <f t="shared" si="33"/>
        <v>8.4817828185613647E-3</v>
      </c>
      <c r="ED20" s="1952">
        <f t="shared" si="33"/>
        <v>-0.05</v>
      </c>
      <c r="EE20" s="1952">
        <f t="shared" si="33"/>
        <v>0.13</v>
      </c>
      <c r="EF20" s="1952">
        <f t="shared" si="33"/>
        <v>-5.0403409109834707E-2</v>
      </c>
      <c r="EG20" s="1952">
        <f t="shared" si="34"/>
        <v>0.13700000000000001</v>
      </c>
      <c r="EH20" s="1952">
        <f t="shared" si="34"/>
        <v>3.4999999999999996E-2</v>
      </c>
      <c r="EI20" s="1952">
        <f t="shared" si="34"/>
        <v>0.05</v>
      </c>
      <c r="EJ20" s="1952">
        <f t="shared" si="34"/>
        <v>-2.0000000000000018E-3</v>
      </c>
      <c r="EK20" s="1952">
        <f t="shared" ref="EK20:EK24" si="36">CM19</f>
        <v>4.7E-2</v>
      </c>
      <c r="EL20" s="1952">
        <f t="shared" si="35"/>
        <v>7.4999999999999997E-2</v>
      </c>
      <c r="EM20" s="1952">
        <f t="shared" si="35"/>
        <v>0.03</v>
      </c>
      <c r="EN20" s="1952">
        <f t="shared" si="35"/>
        <v>-2.0000000000000018E-3</v>
      </c>
    </row>
    <row r="21" spans="1:144" s="583" customFormat="1" ht="11.25" customHeight="1">
      <c r="A21" s="1625" t="s">
        <v>452</v>
      </c>
      <c r="B21" s="925"/>
      <c r="C21" s="934"/>
      <c r="D21" s="933"/>
      <c r="E21" s="934"/>
      <c r="F21" s="934"/>
      <c r="G21" s="934"/>
      <c r="H21" s="934"/>
      <c r="I21" s="934"/>
      <c r="J21" s="934"/>
      <c r="K21" s="934"/>
      <c r="L21" s="934"/>
      <c r="M21" s="934"/>
      <c r="N21" s="934"/>
      <c r="O21" s="934"/>
      <c r="P21" s="934"/>
      <c r="Q21" s="934"/>
      <c r="R21" s="935"/>
      <c r="S21" s="1164"/>
      <c r="T21" s="927"/>
      <c r="U21" s="927"/>
      <c r="V21" s="936"/>
      <c r="W21" s="934"/>
      <c r="X21" s="935"/>
      <c r="Y21" s="1164"/>
      <c r="Z21" s="927"/>
      <c r="AA21" s="927"/>
      <c r="AB21" s="936"/>
      <c r="AC21" s="934"/>
      <c r="AD21" s="935"/>
      <c r="AE21" s="1164"/>
      <c r="AF21" s="927"/>
      <c r="AG21" s="927"/>
      <c r="AH21" s="936"/>
      <c r="AI21" s="934"/>
      <c r="AJ21" s="935"/>
      <c r="AK21" s="1164"/>
      <c r="AL21" s="927"/>
      <c r="AM21" s="927"/>
      <c r="AN21" s="936"/>
      <c r="AO21" s="934"/>
      <c r="AP21" s="935"/>
      <c r="AQ21" s="1164"/>
      <c r="AR21" s="927"/>
      <c r="AS21" s="927"/>
      <c r="AT21" s="936"/>
      <c r="AU21" s="934"/>
      <c r="AV21" s="935"/>
      <c r="AW21" s="1164"/>
      <c r="AX21" s="927"/>
      <c r="AY21" s="927"/>
      <c r="AZ21" s="936"/>
      <c r="BA21" s="934"/>
      <c r="BB21" s="935"/>
      <c r="BC21" s="1164"/>
      <c r="BD21" s="927"/>
      <c r="BE21" s="927"/>
      <c r="BF21" s="936"/>
      <c r="BG21" s="934"/>
      <c r="BH21" s="935"/>
      <c r="BI21" s="1164"/>
      <c r="BJ21" s="927"/>
      <c r="BK21" s="927"/>
      <c r="BL21" s="936"/>
      <c r="BM21" s="942"/>
      <c r="BN21" s="934"/>
      <c r="BO21" s="1164">
        <f t="shared" si="21"/>
        <v>5.2385951202166089E-2</v>
      </c>
      <c r="BP21" s="927">
        <f t="shared" si="21"/>
        <v>-0.10943047249637407</v>
      </c>
      <c r="BQ21" s="927">
        <f t="shared" si="21"/>
        <v>-0.12266507955964895</v>
      </c>
      <c r="BR21" s="936">
        <f t="shared" si="21"/>
        <v>-8.0083664524440518E-2</v>
      </c>
      <c r="BS21" s="942">
        <f t="shared" si="21"/>
        <v>-7.0348028327773246E-2</v>
      </c>
      <c r="BT21" s="934"/>
      <c r="BU21" s="927">
        <f t="shared" si="22"/>
        <v>7.6300794721248344E-2</v>
      </c>
      <c r="BV21" s="927">
        <f t="shared" si="22"/>
        <v>4.5187305934494999E-3</v>
      </c>
      <c r="BW21" s="927">
        <f t="shared" si="22"/>
        <v>-0.15043398492198318</v>
      </c>
      <c r="BX21" s="936">
        <f t="shared" si="22"/>
        <v>0.10527339999232696</v>
      </c>
      <c r="BY21" s="942">
        <f t="shared" si="22"/>
        <v>1.4626920539458943E-2</v>
      </c>
      <c r="BZ21" s="934"/>
      <c r="CA21" s="927">
        <f t="shared" si="23"/>
        <v>1.9315202769967978E-3</v>
      </c>
      <c r="CB21" s="927">
        <f t="shared" si="23"/>
        <v>-0.15</v>
      </c>
      <c r="CC21" s="927">
        <f t="shared" si="23"/>
        <v>-0.156</v>
      </c>
      <c r="CD21" s="936">
        <f t="shared" si="23"/>
        <v>-6.9620380771150125E-4</v>
      </c>
      <c r="CE21" s="942">
        <f t="shared" si="23"/>
        <v>-6.9838494060738568E-2</v>
      </c>
      <c r="CF21" s="461"/>
      <c r="CG21" s="1164">
        <f t="shared" si="24"/>
        <v>2.2770020276996806E-2</v>
      </c>
      <c r="CH21" s="927">
        <f t="shared" si="24"/>
        <v>-0.20299999999999999</v>
      </c>
      <c r="CI21" s="927">
        <f t="shared" si="24"/>
        <v>1.079999999999999E-2</v>
      </c>
      <c r="CJ21" s="936">
        <f t="shared" si="24"/>
        <v>7.6500000000000012E-2</v>
      </c>
      <c r="CK21" s="942">
        <f t="shared" si="24"/>
        <v>-1.6636649220180003E-2</v>
      </c>
      <c r="CL21" s="461"/>
      <c r="CM21" s="1164">
        <f t="shared" si="25"/>
        <v>8.0838500000000008E-2</v>
      </c>
      <c r="CN21" s="927">
        <f t="shared" si="25"/>
        <v>5.2000000000000005E-2</v>
      </c>
      <c r="CO21" s="927">
        <f t="shared" si="25"/>
        <v>5.6799999999999989E-2</v>
      </c>
      <c r="CP21" s="936">
        <f t="shared" si="25"/>
        <v>0.11</v>
      </c>
      <c r="CQ21" s="942">
        <f t="shared" si="25"/>
        <v>7.4552937584340534E-2</v>
      </c>
      <c r="CR21" s="461"/>
      <c r="CS21" s="1164">
        <f t="shared" si="26"/>
        <v>6.0000000000000005E-2</v>
      </c>
      <c r="CT21" s="927">
        <f t="shared" si="26"/>
        <v>0.09</v>
      </c>
      <c r="CU21" s="927">
        <f t="shared" si="26"/>
        <v>-0.04</v>
      </c>
      <c r="CV21" s="936">
        <f t="shared" si="26"/>
        <v>-0.01</v>
      </c>
      <c r="CW21" s="942">
        <f t="shared" si="26"/>
        <v>2.035109274378176E-2</v>
      </c>
      <c r="CX21" s="2259"/>
      <c r="CY21" s="1164">
        <f t="shared" si="27"/>
        <v>0.01</v>
      </c>
      <c r="CZ21" s="927">
        <f t="shared" si="27"/>
        <v>0.01</v>
      </c>
      <c r="DA21" s="927">
        <f t="shared" si="27"/>
        <v>0.01</v>
      </c>
      <c r="DB21" s="936">
        <f t="shared" si="27"/>
        <v>0.01</v>
      </c>
      <c r="DC21" s="942">
        <f t="shared" si="27"/>
        <v>9.9999999999997868E-3</v>
      </c>
      <c r="DD21" s="2259"/>
      <c r="DE21" s="1164">
        <f t="shared" si="28"/>
        <v>0</v>
      </c>
      <c r="DF21" s="927">
        <f t="shared" si="28"/>
        <v>0</v>
      </c>
      <c r="DG21" s="927">
        <f t="shared" si="28"/>
        <v>0</v>
      </c>
      <c r="DH21" s="936">
        <f t="shared" si="28"/>
        <v>0</v>
      </c>
      <c r="DI21" s="942">
        <f t="shared" si="28"/>
        <v>0</v>
      </c>
      <c r="DJ21" s="2259"/>
      <c r="DK21" s="2259"/>
      <c r="DL21" s="1701" t="str">
        <f t="shared" si="30"/>
        <v xml:space="preserve">    CALID</v>
      </c>
      <c r="DM21" s="1953" t="s">
        <v>270</v>
      </c>
      <c r="DN21" s="1953" t="s">
        <v>270</v>
      </c>
      <c r="DO21" s="1953" t="s">
        <v>270</v>
      </c>
      <c r="DP21" s="1953" t="s">
        <v>270</v>
      </c>
      <c r="DQ21" s="1953" t="s">
        <v>270</v>
      </c>
      <c r="DR21" s="1953" t="s">
        <v>270</v>
      </c>
      <c r="DS21" s="1953" t="s">
        <v>270</v>
      </c>
      <c r="DT21" s="1953" t="s">
        <v>270</v>
      </c>
      <c r="DU21" s="1953">
        <f t="shared" si="31"/>
        <v>7.2318284960441737E-4</v>
      </c>
      <c r="DV21" s="1953">
        <f t="shared" si="31"/>
        <v>0.16551081439854809</v>
      </c>
      <c r="DW21" s="1953">
        <f t="shared" si="31"/>
        <v>0.10831888431336664</v>
      </c>
      <c r="DX21" s="1953">
        <f t="shared" si="31"/>
        <v>2.7860616711197571E-2</v>
      </c>
      <c r="DY21" s="1953">
        <f t="shared" si="32"/>
        <v>0.11800300300300311</v>
      </c>
      <c r="DZ21" s="1953">
        <f t="shared" si="32"/>
        <v>-3.0815998791408734E-2</v>
      </c>
      <c r="EA21" s="1953">
        <f t="shared" si="32"/>
        <v>0.23156001689242739</v>
      </c>
      <c r="EB21" s="1953">
        <f t="shared" si="32"/>
        <v>8.8080307606347163E-3</v>
      </c>
      <c r="EC21" s="1953">
        <f t="shared" si="33"/>
        <v>7.5000000000000011E-2</v>
      </c>
      <c r="ED21" s="1953">
        <f t="shared" si="33"/>
        <v>-9.4E-2</v>
      </c>
      <c r="EE21" s="1953">
        <f t="shared" si="33"/>
        <v>0.15002922257661516</v>
      </c>
      <c r="EF21" s="1953">
        <f t="shared" si="33"/>
        <v>3.6910284823135492E-2</v>
      </c>
      <c r="EG21" s="1953">
        <f t="shared" si="34"/>
        <v>-1.4999999999999999E-2</v>
      </c>
      <c r="EH21" s="1953">
        <f t="shared" si="34"/>
        <v>0.03</v>
      </c>
      <c r="EI21" s="1953">
        <f t="shared" si="34"/>
        <v>-1.6500000000000001E-2</v>
      </c>
      <c r="EJ21" s="1953">
        <f t="shared" si="34"/>
        <v>3.2000000000000223E-3</v>
      </c>
      <c r="EK21" s="1953">
        <f t="shared" si="36"/>
        <v>3.4999999999999989E-2</v>
      </c>
      <c r="EL21" s="1953">
        <f t="shared" si="35"/>
        <v>0.14000000000000001</v>
      </c>
      <c r="EM21" s="1953">
        <f t="shared" si="35"/>
        <v>0.09</v>
      </c>
      <c r="EN21" s="1953">
        <f t="shared" si="35"/>
        <v>7.1200000000000013E-2</v>
      </c>
    </row>
    <row r="22" spans="1:144" s="583" customFormat="1" ht="11.25" customHeight="1">
      <c r="A22" s="924" t="str">
        <f>A12</f>
        <v>BEST</v>
      </c>
      <c r="B22" s="925"/>
      <c r="C22" s="934"/>
      <c r="D22" s="933"/>
      <c r="E22" s="934"/>
      <c r="F22" s="934"/>
      <c r="G22" s="934"/>
      <c r="H22" s="934"/>
      <c r="I22" s="934"/>
      <c r="J22" s="934"/>
      <c r="K22" s="934"/>
      <c r="L22" s="934"/>
      <c r="M22" s="934"/>
      <c r="N22" s="934"/>
      <c r="O22" s="934"/>
      <c r="P22" s="934"/>
      <c r="Q22" s="934"/>
      <c r="R22" s="935"/>
      <c r="S22" s="1164"/>
      <c r="T22" s="927"/>
      <c r="U22" s="927"/>
      <c r="V22" s="936"/>
      <c r="W22" s="934"/>
      <c r="X22" s="935"/>
      <c r="Y22" s="1164"/>
      <c r="Z22" s="927"/>
      <c r="AA22" s="927"/>
      <c r="AB22" s="936"/>
      <c r="AC22" s="934"/>
      <c r="AD22" s="935"/>
      <c r="AE22" s="1164"/>
      <c r="AF22" s="927"/>
      <c r="AG22" s="927"/>
      <c r="AH22" s="936"/>
      <c r="AI22" s="934"/>
      <c r="AJ22" s="935"/>
      <c r="AK22" s="1164"/>
      <c r="AL22" s="927"/>
      <c r="AM22" s="927"/>
      <c r="AN22" s="936"/>
      <c r="AO22" s="934">
        <f>AI12+AO12</f>
        <v>0.48299999999999998</v>
      </c>
      <c r="AP22" s="935"/>
      <c r="AQ22" s="1164"/>
      <c r="AR22" s="927">
        <f>AL12+AR12</f>
        <v>0.66500000000000004</v>
      </c>
      <c r="AS22" s="927">
        <f>AM12+AS12</f>
        <v>1.2</v>
      </c>
      <c r="AT22" s="936"/>
      <c r="AU22" s="934">
        <f>AO12+AU12</f>
        <v>0.89300000000000002</v>
      </c>
      <c r="AV22" s="935"/>
      <c r="AW22" s="1164">
        <f t="shared" ref="AW22:BA23" si="37">AQ12+AW12</f>
        <v>1.5760000000000001</v>
      </c>
      <c r="AX22" s="927">
        <f t="shared" si="37"/>
        <v>0.79</v>
      </c>
      <c r="AY22" s="927">
        <f t="shared" si="37"/>
        <v>0.86799999999999999</v>
      </c>
      <c r="AZ22" s="936">
        <f t="shared" si="37"/>
        <v>0.48599999999999999</v>
      </c>
      <c r="BA22" s="934">
        <f t="shared" si="37"/>
        <v>0.67999999999999994</v>
      </c>
      <c r="BB22" s="935"/>
      <c r="BC22" s="1164">
        <f t="shared" ref="BC22:BG23" si="38">AW12+BC12</f>
        <v>0.47299999999999998</v>
      </c>
      <c r="BD22" s="927">
        <f t="shared" si="38"/>
        <v>0.41300000000000003</v>
      </c>
      <c r="BE22" s="927">
        <f t="shared" si="38"/>
        <v>0.85499999999999998</v>
      </c>
      <c r="BF22" s="936">
        <f t="shared" si="38"/>
        <v>0.32266666666666688</v>
      </c>
      <c r="BG22" s="934">
        <f t="shared" si="38"/>
        <v>0.497</v>
      </c>
      <c r="BH22" s="935"/>
      <c r="BI22" s="1164">
        <f t="shared" ref="BI22:BM23" si="39">BC12+BI12</f>
        <v>0.33699999999999997</v>
      </c>
      <c r="BJ22" s="927">
        <f t="shared" si="39"/>
        <v>0.43200000000000005</v>
      </c>
      <c r="BK22" s="927">
        <f t="shared" si="39"/>
        <v>0.45499999999999996</v>
      </c>
      <c r="BL22" s="936">
        <f t="shared" si="39"/>
        <v>0.3406666666666669</v>
      </c>
      <c r="BM22" s="942">
        <f t="shared" si="39"/>
        <v>0.34699999999999998</v>
      </c>
      <c r="BN22" s="934"/>
      <c r="BO22" s="1164">
        <f t="shared" si="21"/>
        <v>0.107</v>
      </c>
      <c r="BP22" s="927">
        <f t="shared" si="21"/>
        <v>0.46300000000000002</v>
      </c>
      <c r="BQ22" s="927">
        <f t="shared" si="21"/>
        <v>-4.5000000000000012E-2</v>
      </c>
      <c r="BR22" s="936">
        <f t="shared" si="21"/>
        <v>3.3000000000000002E-2</v>
      </c>
      <c r="BS22" s="942">
        <f t="shared" si="21"/>
        <v>0.10718051013734468</v>
      </c>
      <c r="BT22" s="934"/>
      <c r="BU22" s="927">
        <f t="shared" si="22"/>
        <v>3.2999999999999995E-2</v>
      </c>
      <c r="BV22" s="927">
        <f t="shared" si="22"/>
        <v>-1.8000000000000002E-2</v>
      </c>
      <c r="BW22" s="927">
        <f t="shared" si="22"/>
        <v>0.2</v>
      </c>
      <c r="BX22" s="936">
        <f t="shared" si="22"/>
        <v>0.17600000000000002</v>
      </c>
      <c r="BY22" s="942">
        <f t="shared" si="22"/>
        <v>9.9180510137344691E-2</v>
      </c>
      <c r="BZ22" s="934"/>
      <c r="CA22" s="927">
        <f t="shared" si="23"/>
        <v>-3.9E-2</v>
      </c>
      <c r="CB22" s="927">
        <f t="shared" si="23"/>
        <v>-0.16967532467532467</v>
      </c>
      <c r="CC22" s="927">
        <f t="shared" si="23"/>
        <v>5.5000000000000007E-2</v>
      </c>
      <c r="CD22" s="936">
        <f t="shared" si="23"/>
        <v>0.1154</v>
      </c>
      <c r="CE22" s="942">
        <f t="shared" si="23"/>
        <v>-2.2328113002429102E-2</v>
      </c>
      <c r="CF22" s="461"/>
      <c r="CG22" s="1164">
        <f t="shared" si="24"/>
        <v>3.1E-2</v>
      </c>
      <c r="CH22" s="927">
        <f t="shared" si="24"/>
        <v>0.34332467532467531</v>
      </c>
      <c r="CI22" s="927">
        <f t="shared" si="24"/>
        <v>-1.6E-2</v>
      </c>
      <c r="CJ22" s="936">
        <f t="shared" si="24"/>
        <v>-8.5599999999999996E-2</v>
      </c>
      <c r="CK22" s="942">
        <f t="shared" si="24"/>
        <v>4.2353751338702034E-2</v>
      </c>
      <c r="CL22" s="461"/>
      <c r="CM22" s="1164">
        <f t="shared" si="25"/>
        <v>5.8999999999999997E-2</v>
      </c>
      <c r="CN22" s="927">
        <f t="shared" si="25"/>
        <v>0.312</v>
      </c>
      <c r="CO22" s="927">
        <f t="shared" si="25"/>
        <v>-1.7000000000000001E-2</v>
      </c>
      <c r="CP22" s="936">
        <f t="shared" si="25"/>
        <v>6.6000000000000003E-2</v>
      </c>
      <c r="CQ22" s="942">
        <f t="shared" si="25"/>
        <v>8.3826145974646979E-2</v>
      </c>
      <c r="CR22" s="461"/>
      <c r="CS22" s="1164">
        <f t="shared" si="26"/>
        <v>-0.06</v>
      </c>
      <c r="CT22" s="927">
        <f t="shared" si="26"/>
        <v>-4.9999999999999989E-2</v>
      </c>
      <c r="CU22" s="927">
        <f t="shared" si="26"/>
        <v>-3.9999999999999994E-2</v>
      </c>
      <c r="CV22" s="936">
        <f t="shared" si="26"/>
        <v>0</v>
      </c>
      <c r="CW22" s="942">
        <f t="shared" si="26"/>
        <v>-4.1692406138885044E-2</v>
      </c>
      <c r="CX22" s="2259"/>
      <c r="CY22" s="1164">
        <f t="shared" si="27"/>
        <v>-0.06</v>
      </c>
      <c r="CZ22" s="927">
        <f t="shared" si="27"/>
        <v>-4.9999999999999989E-2</v>
      </c>
      <c r="DA22" s="927">
        <f t="shared" si="27"/>
        <v>-3.9999999999999994E-2</v>
      </c>
      <c r="DB22" s="936">
        <f t="shared" si="27"/>
        <v>0</v>
      </c>
      <c r="DC22" s="942">
        <f t="shared" si="27"/>
        <v>-4.3248499270584495E-2</v>
      </c>
      <c r="DD22" s="2259"/>
      <c r="DE22" s="1164">
        <f t="shared" si="28"/>
        <v>-0.06</v>
      </c>
      <c r="DF22" s="927">
        <f t="shared" si="28"/>
        <v>-4.9999999999999989E-2</v>
      </c>
      <c r="DG22" s="927">
        <f t="shared" si="28"/>
        <v>-3.9999999999999994E-2</v>
      </c>
      <c r="DH22" s="936">
        <f t="shared" si="28"/>
        <v>0</v>
      </c>
      <c r="DI22" s="942">
        <f t="shared" si="28"/>
        <v>-4.2359135511330304E-2</v>
      </c>
      <c r="DJ22" s="2259"/>
      <c r="DK22" s="2259"/>
      <c r="DL22" s="1702" t="str">
        <f t="shared" si="30"/>
        <v xml:space="preserve">    NANO</v>
      </c>
      <c r="DM22" s="1952" t="s">
        <v>270</v>
      </c>
      <c r="DN22" s="1952" t="s">
        <v>270</v>
      </c>
      <c r="DO22" s="1952" t="s">
        <v>270</v>
      </c>
      <c r="DP22" s="1952" t="s">
        <v>270</v>
      </c>
      <c r="DQ22" s="1952" t="s">
        <v>270</v>
      </c>
      <c r="DR22" s="1952" t="s">
        <v>270</v>
      </c>
      <c r="DS22" s="1952" t="s">
        <v>270</v>
      </c>
      <c r="DT22" s="1952" t="s">
        <v>270</v>
      </c>
      <c r="DU22" s="1952">
        <f t="shared" si="31"/>
        <v>5.2385951202166089E-2</v>
      </c>
      <c r="DV22" s="1952">
        <f t="shared" si="31"/>
        <v>-0.10943047249637407</v>
      </c>
      <c r="DW22" s="1952">
        <f t="shared" si="31"/>
        <v>-0.12266507955964895</v>
      </c>
      <c r="DX22" s="1952">
        <f t="shared" si="31"/>
        <v>-8.0083664524440518E-2</v>
      </c>
      <c r="DY22" s="1952">
        <f t="shared" si="32"/>
        <v>7.6300794721248344E-2</v>
      </c>
      <c r="DZ22" s="1952">
        <f t="shared" si="32"/>
        <v>4.5187305934494999E-3</v>
      </c>
      <c r="EA22" s="1952">
        <f t="shared" si="32"/>
        <v>-0.15043398492198318</v>
      </c>
      <c r="EB22" s="1952">
        <f t="shared" si="32"/>
        <v>0.10527339999232696</v>
      </c>
      <c r="EC22" s="1952">
        <f t="shared" si="33"/>
        <v>1.9315202769967978E-3</v>
      </c>
      <c r="ED22" s="1952">
        <f t="shared" si="33"/>
        <v>-0.15</v>
      </c>
      <c r="EE22" s="1952">
        <f t="shared" si="33"/>
        <v>-0.156</v>
      </c>
      <c r="EF22" s="1952">
        <f t="shared" si="33"/>
        <v>-6.9620380771150125E-4</v>
      </c>
      <c r="EG22" s="1952">
        <f t="shared" si="34"/>
        <v>2.2770020276996806E-2</v>
      </c>
      <c r="EH22" s="1952">
        <f t="shared" si="34"/>
        <v>-0.20299999999999999</v>
      </c>
      <c r="EI22" s="1952">
        <f t="shared" si="34"/>
        <v>1.079999999999999E-2</v>
      </c>
      <c r="EJ22" s="1952">
        <f t="shared" si="34"/>
        <v>7.6500000000000012E-2</v>
      </c>
      <c r="EK22" s="1952">
        <f t="shared" si="36"/>
        <v>8.0838500000000008E-2</v>
      </c>
      <c r="EL22" s="1952">
        <f t="shared" si="35"/>
        <v>5.2000000000000005E-2</v>
      </c>
      <c r="EM22" s="1952">
        <f t="shared" si="35"/>
        <v>5.6799999999999989E-2</v>
      </c>
      <c r="EN22" s="1952">
        <f t="shared" si="35"/>
        <v>0.11</v>
      </c>
    </row>
    <row r="23" spans="1:144" ht="11.25" customHeight="1">
      <c r="A23" s="958" t="s">
        <v>29</v>
      </c>
      <c r="B23" s="959"/>
      <c r="C23" s="960"/>
      <c r="D23" s="959"/>
      <c r="E23" s="960"/>
      <c r="F23" s="960"/>
      <c r="G23" s="960"/>
      <c r="H23" s="960"/>
      <c r="I23" s="960"/>
      <c r="J23" s="960"/>
      <c r="K23" s="960"/>
      <c r="L23" s="960"/>
      <c r="M23" s="960"/>
      <c r="N23" s="960"/>
      <c r="O23" s="960"/>
      <c r="P23" s="960"/>
      <c r="Q23" s="960"/>
      <c r="R23" s="961"/>
      <c r="S23" s="1165"/>
      <c r="T23" s="962"/>
      <c r="U23" s="962"/>
      <c r="V23" s="962"/>
      <c r="W23" s="960"/>
      <c r="X23" s="961"/>
      <c r="Y23" s="1165"/>
      <c r="Z23" s="962"/>
      <c r="AA23" s="962"/>
      <c r="AB23" s="962"/>
      <c r="AC23" s="960"/>
      <c r="AD23" s="961"/>
      <c r="AE23" s="1165"/>
      <c r="AF23" s="962"/>
      <c r="AG23" s="962"/>
      <c r="AH23" s="962"/>
      <c r="AI23" s="960"/>
      <c r="AJ23" s="961"/>
      <c r="AK23" s="1165">
        <f>AE13+AK13</f>
        <v>9.5000000000000001E-2</v>
      </c>
      <c r="AL23" s="962">
        <f>AF13+AL13</f>
        <v>8.3000000000000004E-2</v>
      </c>
      <c r="AM23" s="962">
        <f>AG13+AM13</f>
        <v>5.9000000000000004E-2</v>
      </c>
      <c r="AN23" s="962">
        <f>AH13+AN13</f>
        <v>0.03</v>
      </c>
      <c r="AO23" s="960">
        <f>AI13+AO13</f>
        <v>5.39277108433735E-2</v>
      </c>
      <c r="AP23" s="961"/>
      <c r="AQ23" s="1165">
        <f>AK13+AQ13</f>
        <v>0.16899999999999998</v>
      </c>
      <c r="AR23" s="962">
        <f>AL13+AR13</f>
        <v>8.900000000000001E-2</v>
      </c>
      <c r="AS23" s="962">
        <f>AM13+AS13</f>
        <v>0.28799999999999998</v>
      </c>
      <c r="AT23" s="962">
        <f>AN13+AT13</f>
        <v>0.23</v>
      </c>
      <c r="AU23" s="960">
        <f>AO13+AU13</f>
        <v>0.14699999999999999</v>
      </c>
      <c r="AV23" s="961"/>
      <c r="AW23" s="1165">
        <f t="shared" si="37"/>
        <v>0.16899999999999998</v>
      </c>
      <c r="AX23" s="962">
        <f t="shared" si="37"/>
        <v>0.27500000000000002</v>
      </c>
      <c r="AY23" s="962">
        <f t="shared" si="37"/>
        <v>0.28299999999999997</v>
      </c>
      <c r="AZ23" s="962">
        <f t="shared" si="37"/>
        <v>0.29200000000000004</v>
      </c>
      <c r="BA23" s="960">
        <f t="shared" si="37"/>
        <v>0.219</v>
      </c>
      <c r="BB23" s="961"/>
      <c r="BC23" s="1165">
        <f t="shared" si="38"/>
        <v>0.182</v>
      </c>
      <c r="BD23" s="962">
        <f t="shared" si="38"/>
        <v>0.17899999999999999</v>
      </c>
      <c r="BE23" s="962">
        <f t="shared" si="38"/>
        <v>0.247</v>
      </c>
      <c r="BF23" s="962">
        <f t="shared" si="38"/>
        <v>0.22399999999999998</v>
      </c>
      <c r="BG23" s="960">
        <f t="shared" si="38"/>
        <v>0.21099999999999999</v>
      </c>
      <c r="BH23" s="961"/>
      <c r="BI23" s="1165">
        <f t="shared" si="39"/>
        <v>0.126</v>
      </c>
      <c r="BJ23" s="962">
        <f t="shared" si="39"/>
        <v>0.19900000000000001</v>
      </c>
      <c r="BK23" s="962">
        <f t="shared" si="39"/>
        <v>0.11400000000000002</v>
      </c>
      <c r="BL23" s="962">
        <f t="shared" si="39"/>
        <v>0.16399999999999998</v>
      </c>
      <c r="BM23" s="960">
        <f t="shared" si="39"/>
        <v>0.151</v>
      </c>
      <c r="BN23" s="960"/>
      <c r="BO23" s="1165">
        <f t="shared" si="21"/>
        <v>5.5000000000000007E-2</v>
      </c>
      <c r="BP23" s="962">
        <f t="shared" si="21"/>
        <v>7.1000000000000008E-2</v>
      </c>
      <c r="BQ23" s="962">
        <f t="shared" si="21"/>
        <v>-7.2000000000000008E-2</v>
      </c>
      <c r="BR23" s="962">
        <f t="shared" si="21"/>
        <v>5.7000000000000002E-2</v>
      </c>
      <c r="BS23" s="960">
        <f t="shared" si="21"/>
        <v>2.8000000000000001E-2</v>
      </c>
      <c r="BT23" s="960"/>
      <c r="BU23" s="962">
        <f t="shared" si="22"/>
        <v>3.6000000000000004E-2</v>
      </c>
      <c r="BV23" s="962">
        <f t="shared" si="22"/>
        <v>-1.7000000000000001E-2</v>
      </c>
      <c r="BW23" s="962">
        <f t="shared" si="22"/>
        <v>3.3000000000000002E-2</v>
      </c>
      <c r="BX23" s="962">
        <f t="shared" si="22"/>
        <v>0.02</v>
      </c>
      <c r="BY23" s="960">
        <f t="shared" si="22"/>
        <v>1.7000000000000001E-2</v>
      </c>
      <c r="BZ23" s="960"/>
      <c r="CA23" s="962">
        <f t="shared" si="23"/>
        <v>2.5951909476661844E-2</v>
      </c>
      <c r="CB23" s="962">
        <f t="shared" si="23"/>
        <v>-8.536363636363628E-2</v>
      </c>
      <c r="CC23" s="962">
        <f t="shared" si="23"/>
        <v>5.7445847008331163E-2</v>
      </c>
      <c r="CD23" s="962">
        <f t="shared" si="23"/>
        <v>2.4445800809589219E-3</v>
      </c>
      <c r="CE23" s="960">
        <f t="shared" si="23"/>
        <v>-1.5113977266477674E-3</v>
      </c>
      <c r="CF23" s="969"/>
      <c r="CG23" s="1165">
        <f t="shared" si="24"/>
        <v>4.8182916402607461E-2</v>
      </c>
      <c r="CH23" s="962">
        <f t="shared" si="24"/>
        <v>-1.6140876073079513E-2</v>
      </c>
      <c r="CI23" s="962">
        <f t="shared" si="24"/>
        <v>9.9477510448886738E-3</v>
      </c>
      <c r="CJ23" s="962">
        <f t="shared" si="24"/>
        <v>1.775524019585633E-2</v>
      </c>
      <c r="CK23" s="960">
        <f t="shared" si="24"/>
        <v>1.3355747096808031E-2</v>
      </c>
      <c r="CL23" s="969"/>
      <c r="CM23" s="1165">
        <f t="shared" si="25"/>
        <v>2.629641287269608E-2</v>
      </c>
      <c r="CN23" s="962">
        <f t="shared" si="25"/>
        <v>7.2875629361442457E-2</v>
      </c>
      <c r="CO23" s="962">
        <f t="shared" si="25"/>
        <v>4.3912140994271653E-2</v>
      </c>
      <c r="CP23" s="962">
        <f t="shared" si="25"/>
        <v>4.6680432525591384E-2</v>
      </c>
      <c r="CQ23" s="960">
        <f t="shared" si="25"/>
        <v>4.7017414466865172E-2</v>
      </c>
      <c r="CR23" s="969"/>
      <c r="CS23" s="1165">
        <f t="shared" si="26"/>
        <v>5.1449896786524021E-2</v>
      </c>
      <c r="CT23" s="962">
        <f t="shared" si="26"/>
        <v>3.1468403974051269E-2</v>
      </c>
      <c r="CU23" s="962">
        <f t="shared" si="26"/>
        <v>2.5464565347739658E-2</v>
      </c>
      <c r="CV23" s="962">
        <f t="shared" si="26"/>
        <v>3.7026391145513676E-2</v>
      </c>
      <c r="CW23" s="960">
        <f t="shared" si="26"/>
        <v>3.5897128582622763E-2</v>
      </c>
      <c r="CX23" s="1632"/>
      <c r="CY23" s="1165">
        <f t="shared" si="27"/>
        <v>4.4346565095994439E-2</v>
      </c>
      <c r="CZ23" s="962">
        <f t="shared" si="27"/>
        <v>4.4807979564057687E-2</v>
      </c>
      <c r="DA23" s="962">
        <f t="shared" si="27"/>
        <v>4.9758885003585052E-2</v>
      </c>
      <c r="DB23" s="962">
        <f t="shared" si="27"/>
        <v>4.9721340316685264E-2</v>
      </c>
      <c r="DC23" s="960">
        <f t="shared" si="27"/>
        <v>4.7184595825166362E-2</v>
      </c>
      <c r="DD23" s="1632"/>
      <c r="DE23" s="1165">
        <f t="shared" si="28"/>
        <v>4.3210791718154118E-2</v>
      </c>
      <c r="DF23" s="962">
        <f t="shared" si="28"/>
        <v>4.2218962049292097E-2</v>
      </c>
      <c r="DG23" s="962">
        <f t="shared" si="28"/>
        <v>4.9669266311577864E-2</v>
      </c>
      <c r="DH23" s="962">
        <f t="shared" si="28"/>
        <v>4.7226020774718824E-2</v>
      </c>
      <c r="DI23" s="960">
        <f t="shared" si="28"/>
        <v>4.567652269377942E-2</v>
      </c>
      <c r="DJ23" s="1632"/>
      <c r="DK23" s="1632"/>
      <c r="DL23" s="1705" t="str">
        <f t="shared" si="30"/>
        <v>BEST</v>
      </c>
      <c r="DM23" s="1951">
        <f t="shared" ref="DM23:DP24" si="40">BC22</f>
        <v>0.47299999999999998</v>
      </c>
      <c r="DN23" s="1951">
        <f t="shared" si="40"/>
        <v>0.41300000000000003</v>
      </c>
      <c r="DO23" s="1951">
        <f t="shared" si="40"/>
        <v>0.85499999999999998</v>
      </c>
      <c r="DP23" s="1951">
        <f t="shared" si="40"/>
        <v>0.32266666666666688</v>
      </c>
      <c r="DQ23" s="1951">
        <f t="shared" ref="DQ23:DT24" si="41">BI22</f>
        <v>0.33699999999999997</v>
      </c>
      <c r="DR23" s="1951">
        <f t="shared" si="41"/>
        <v>0.43200000000000005</v>
      </c>
      <c r="DS23" s="1951">
        <f t="shared" si="41"/>
        <v>0.45499999999999996</v>
      </c>
      <c r="DT23" s="1951">
        <f t="shared" si="41"/>
        <v>0.3406666666666669</v>
      </c>
      <c r="DU23" s="1951">
        <f t="shared" si="31"/>
        <v>0.107</v>
      </c>
      <c r="DV23" s="1951">
        <f t="shared" si="31"/>
        <v>0.46300000000000002</v>
      </c>
      <c r="DW23" s="1951">
        <f t="shared" si="31"/>
        <v>-4.5000000000000012E-2</v>
      </c>
      <c r="DX23" s="1951">
        <f t="shared" si="31"/>
        <v>3.3000000000000002E-2</v>
      </c>
      <c r="DY23" s="1951">
        <f t="shared" si="32"/>
        <v>3.2999999999999995E-2</v>
      </c>
      <c r="DZ23" s="1951">
        <f t="shared" si="32"/>
        <v>-1.8000000000000002E-2</v>
      </c>
      <c r="EA23" s="1951">
        <f t="shared" si="32"/>
        <v>0.2</v>
      </c>
      <c r="EB23" s="1951">
        <f t="shared" si="32"/>
        <v>0.17600000000000002</v>
      </c>
      <c r="EC23" s="1951">
        <f t="shared" si="33"/>
        <v>-3.9E-2</v>
      </c>
      <c r="ED23" s="1951">
        <f t="shared" si="33"/>
        <v>-0.16967532467532467</v>
      </c>
      <c r="EE23" s="1951">
        <f t="shared" si="33"/>
        <v>5.5000000000000007E-2</v>
      </c>
      <c r="EF23" s="1951">
        <f t="shared" si="33"/>
        <v>0.1154</v>
      </c>
      <c r="EG23" s="1951">
        <f t="shared" si="34"/>
        <v>3.1E-2</v>
      </c>
      <c r="EH23" s="1951">
        <f t="shared" si="34"/>
        <v>0.34332467532467531</v>
      </c>
      <c r="EI23" s="1951">
        <f t="shared" si="34"/>
        <v>-1.6E-2</v>
      </c>
      <c r="EJ23" s="1951">
        <f t="shared" si="34"/>
        <v>-8.5599999999999996E-2</v>
      </c>
      <c r="EK23" s="1951">
        <f t="shared" si="36"/>
        <v>5.8999999999999997E-2</v>
      </c>
      <c r="EL23" s="1951">
        <f t="shared" si="35"/>
        <v>0.312</v>
      </c>
      <c r="EM23" s="1951">
        <f t="shared" si="35"/>
        <v>-1.7000000000000001E-2</v>
      </c>
      <c r="EN23" s="1951">
        <f t="shared" si="35"/>
        <v>6.6000000000000003E-2</v>
      </c>
    </row>
    <row r="24" spans="1:144" s="278" customFormat="1" ht="11.25" customHeight="1">
      <c r="A24" s="1341"/>
      <c r="B24" s="1341"/>
      <c r="C24" s="1632"/>
      <c r="D24" s="1341"/>
      <c r="E24" s="1632"/>
      <c r="F24" s="1632"/>
      <c r="G24" s="1632"/>
      <c r="H24" s="1632"/>
      <c r="I24" s="1632"/>
      <c r="J24" s="1632"/>
      <c r="K24" s="1632"/>
      <c r="L24" s="1632"/>
      <c r="M24" s="1632"/>
      <c r="N24" s="1632"/>
      <c r="O24" s="1632"/>
      <c r="P24" s="1632"/>
      <c r="Q24" s="1632"/>
      <c r="R24" s="1632"/>
      <c r="S24" s="1633"/>
      <c r="T24" s="1633"/>
      <c r="U24" s="1633"/>
      <c r="V24" s="1633"/>
      <c r="W24" s="1632"/>
      <c r="X24" s="1632"/>
      <c r="Y24" s="1633"/>
      <c r="Z24" s="1633"/>
      <c r="AA24" s="1633"/>
      <c r="AB24" s="1633"/>
      <c r="AC24" s="1632"/>
      <c r="AD24" s="1632"/>
      <c r="AE24" s="1633"/>
      <c r="AF24" s="1633"/>
      <c r="AG24" s="1633"/>
      <c r="AH24" s="1633"/>
      <c r="AI24" s="1632"/>
      <c r="AJ24" s="1632"/>
      <c r="AK24" s="1633"/>
      <c r="AL24" s="1633"/>
      <c r="AM24" s="1633"/>
      <c r="AN24" s="1633"/>
      <c r="AO24" s="1632"/>
      <c r="AP24" s="1632"/>
      <c r="AQ24" s="1633"/>
      <c r="AR24" s="1633"/>
      <c r="AS24" s="1633"/>
      <c r="AT24" s="1633"/>
      <c r="AU24" s="1632"/>
      <c r="AV24" s="1632"/>
      <c r="AW24" s="1633"/>
      <c r="AX24" s="1633"/>
      <c r="AY24" s="1633"/>
      <c r="AZ24" s="1633"/>
      <c r="BA24" s="1632"/>
      <c r="BB24" s="1632"/>
      <c r="BC24" s="1633"/>
      <c r="BD24" s="1633"/>
      <c r="BE24" s="1633"/>
      <c r="BF24" s="1633"/>
      <c r="BG24" s="1632"/>
      <c r="BH24" s="1632"/>
      <c r="BI24" s="1633"/>
      <c r="BJ24" s="1633"/>
      <c r="BK24" s="1633"/>
      <c r="BL24" s="1633"/>
      <c r="BM24" s="1632"/>
      <c r="BN24" s="1632"/>
      <c r="BO24" s="1633"/>
      <c r="BP24" s="1633"/>
      <c r="BQ24" s="1633"/>
      <c r="BR24" s="1633"/>
      <c r="BS24" s="1632"/>
      <c r="BT24" s="1632"/>
      <c r="BU24" s="1633"/>
      <c r="BV24" s="1633"/>
      <c r="BW24" s="1633"/>
      <c r="BX24" s="1633"/>
      <c r="BY24" s="1632"/>
      <c r="BZ24" s="1632"/>
      <c r="CA24" s="1633"/>
      <c r="CB24" s="1633"/>
      <c r="CC24" s="1633"/>
      <c r="CD24" s="1633"/>
      <c r="CE24" s="1632"/>
      <c r="CF24" s="1634"/>
      <c r="CG24" s="1633"/>
      <c r="CH24" s="1633"/>
      <c r="CI24" s="1633"/>
      <c r="CJ24" s="1633"/>
      <c r="CK24" s="1632"/>
      <c r="CL24" s="1634"/>
      <c r="CM24" s="1633"/>
      <c r="CN24" s="1633"/>
      <c r="CO24" s="1633"/>
      <c r="CP24" s="1633"/>
      <c r="CQ24" s="1632"/>
      <c r="CR24" s="1634"/>
      <c r="CS24" s="1633"/>
      <c r="CT24" s="1633"/>
      <c r="CU24" s="1633"/>
      <c r="CV24" s="1633"/>
      <c r="CW24" s="1632"/>
      <c r="CX24" s="1632"/>
      <c r="CY24" s="1633"/>
      <c r="CZ24" s="1633"/>
      <c r="DA24" s="1633"/>
      <c r="DB24" s="1633"/>
      <c r="DC24" s="1632"/>
      <c r="DD24" s="1632"/>
      <c r="DE24" s="1633"/>
      <c r="DF24" s="1633"/>
      <c r="DG24" s="1633"/>
      <c r="DH24" s="1633"/>
      <c r="DI24" s="1632"/>
      <c r="DJ24" s="1632"/>
      <c r="DK24" s="1632"/>
      <c r="DL24" s="1706" t="str">
        <f t="shared" si="30"/>
        <v>Total Bruker</v>
      </c>
      <c r="DM24" s="1954">
        <f t="shared" si="40"/>
        <v>0.182</v>
      </c>
      <c r="DN24" s="1954">
        <f t="shared" si="40"/>
        <v>0.17899999999999999</v>
      </c>
      <c r="DO24" s="1954">
        <f t="shared" si="40"/>
        <v>0.247</v>
      </c>
      <c r="DP24" s="1954">
        <f t="shared" si="40"/>
        <v>0.22399999999999998</v>
      </c>
      <c r="DQ24" s="1954">
        <f t="shared" si="41"/>
        <v>0.126</v>
      </c>
      <c r="DR24" s="1954">
        <f t="shared" si="41"/>
        <v>0.19900000000000001</v>
      </c>
      <c r="DS24" s="1954">
        <f t="shared" si="41"/>
        <v>0.11400000000000002</v>
      </c>
      <c r="DT24" s="1954">
        <f t="shared" si="41"/>
        <v>0.16399999999999998</v>
      </c>
      <c r="DU24" s="1954">
        <f t="shared" si="31"/>
        <v>5.5000000000000007E-2</v>
      </c>
      <c r="DV24" s="1954">
        <f t="shared" si="31"/>
        <v>7.1000000000000008E-2</v>
      </c>
      <c r="DW24" s="1954">
        <f t="shared" si="31"/>
        <v>-7.2000000000000008E-2</v>
      </c>
      <c r="DX24" s="1954">
        <f t="shared" si="31"/>
        <v>5.7000000000000002E-2</v>
      </c>
      <c r="DY24" s="1954">
        <f t="shared" si="32"/>
        <v>3.6000000000000004E-2</v>
      </c>
      <c r="DZ24" s="1954">
        <f t="shared" si="32"/>
        <v>-1.7000000000000001E-2</v>
      </c>
      <c r="EA24" s="1954">
        <f t="shared" si="32"/>
        <v>3.3000000000000002E-2</v>
      </c>
      <c r="EB24" s="1954">
        <f t="shared" si="32"/>
        <v>0.02</v>
      </c>
      <c r="EC24" s="1954">
        <f t="shared" si="33"/>
        <v>2.5951909476661844E-2</v>
      </c>
      <c r="ED24" s="1954">
        <f t="shared" si="33"/>
        <v>-8.536363636363628E-2</v>
      </c>
      <c r="EE24" s="1954">
        <f t="shared" si="33"/>
        <v>5.7445847008331163E-2</v>
      </c>
      <c r="EF24" s="1954">
        <f t="shared" si="33"/>
        <v>2.4445800809589219E-3</v>
      </c>
      <c r="EG24" s="1954">
        <f t="shared" si="34"/>
        <v>4.8182916402607461E-2</v>
      </c>
      <c r="EH24" s="1954">
        <f t="shared" si="34"/>
        <v>-1.6140876073079513E-2</v>
      </c>
      <c r="EI24" s="1954">
        <f t="shared" si="34"/>
        <v>9.9477510448886738E-3</v>
      </c>
      <c r="EJ24" s="1954">
        <f t="shared" si="34"/>
        <v>1.775524019585633E-2</v>
      </c>
      <c r="EK24" s="1954">
        <f t="shared" si="36"/>
        <v>2.629641287269608E-2</v>
      </c>
      <c r="EL24" s="1954">
        <f t="shared" si="35"/>
        <v>7.2875629361442457E-2</v>
      </c>
      <c r="EM24" s="1954">
        <f t="shared" si="35"/>
        <v>4.3912140994271653E-2</v>
      </c>
      <c r="EN24" s="1954">
        <f t="shared" si="35"/>
        <v>4.6680432525591384E-2</v>
      </c>
    </row>
    <row r="25" spans="1:144" ht="11.25" customHeight="1">
      <c r="A25" s="951" t="s">
        <v>453</v>
      </c>
      <c r="B25" s="952"/>
      <c r="C25" s="952"/>
      <c r="D25" s="952"/>
      <c r="E25" s="953"/>
      <c r="F25" s="953"/>
      <c r="G25" s="953"/>
      <c r="H25" s="953"/>
      <c r="I25" s="953"/>
      <c r="J25" s="953"/>
      <c r="K25" s="953"/>
      <c r="L25" s="953"/>
      <c r="M25" s="953"/>
      <c r="N25" s="953"/>
      <c r="O25" s="953"/>
      <c r="P25" s="953"/>
      <c r="Q25" s="953"/>
      <c r="R25" s="954"/>
      <c r="S25" s="954"/>
      <c r="T25" s="954"/>
      <c r="U25" s="954"/>
      <c r="V25" s="954"/>
      <c r="W25" s="953"/>
      <c r="X25" s="954"/>
      <c r="Y25" s="956"/>
      <c r="Z25" s="954"/>
      <c r="AA25" s="954"/>
      <c r="AB25" s="954"/>
      <c r="AC25" s="953"/>
      <c r="AD25" s="954"/>
      <c r="AE25" s="956"/>
      <c r="AF25" s="954"/>
      <c r="AG25" s="954"/>
      <c r="AH25" s="954"/>
      <c r="AI25" s="953"/>
      <c r="AJ25" s="954"/>
      <c r="AK25" s="956"/>
      <c r="AL25" s="954"/>
      <c r="AM25" s="954"/>
      <c r="AN25" s="954"/>
      <c r="AO25" s="953"/>
      <c r="AP25" s="954"/>
      <c r="AQ25" s="956"/>
      <c r="AR25" s="954"/>
      <c r="AS25" s="954"/>
      <c r="AT25" s="954"/>
      <c r="AU25" s="953"/>
      <c r="AV25" s="954"/>
      <c r="AW25" s="956"/>
      <c r="AX25" s="954"/>
      <c r="AY25" s="954"/>
      <c r="AZ25" s="955"/>
      <c r="BA25" s="953"/>
      <c r="BB25" s="954"/>
      <c r="BC25" s="956"/>
      <c r="BD25" s="954"/>
      <c r="BE25" s="954"/>
      <c r="BF25" s="955"/>
      <c r="BG25" s="953"/>
      <c r="BH25" s="954"/>
      <c r="BI25" s="956"/>
      <c r="BJ25" s="954"/>
      <c r="BK25" s="954"/>
      <c r="BL25" s="955"/>
      <c r="BM25" s="953"/>
      <c r="BN25" s="953"/>
      <c r="BO25" s="956"/>
      <c r="BP25" s="954"/>
      <c r="BQ25" s="954"/>
      <c r="BR25" s="955"/>
      <c r="BS25" s="953"/>
      <c r="BT25" s="953"/>
      <c r="BU25" s="956"/>
      <c r="BV25" s="954"/>
      <c r="BW25" s="954"/>
      <c r="BX25" s="955"/>
      <c r="BY25" s="953"/>
      <c r="BZ25" s="953"/>
      <c r="CA25" s="956"/>
      <c r="CB25" s="954"/>
      <c r="CC25" s="954"/>
      <c r="CD25" s="955"/>
      <c r="CE25" s="953"/>
      <c r="CF25" s="948"/>
      <c r="CG25" s="956"/>
      <c r="CH25" s="954"/>
      <c r="CI25" s="954"/>
      <c r="CJ25" s="955"/>
      <c r="CK25" s="953"/>
      <c r="CL25" s="948"/>
      <c r="CM25" s="956"/>
      <c r="CN25" s="954"/>
      <c r="CO25" s="954"/>
      <c r="CP25" s="955"/>
      <c r="CQ25" s="953"/>
      <c r="CR25" s="948"/>
      <c r="CS25" s="956"/>
      <c r="CT25" s="954"/>
      <c r="CU25" s="954"/>
      <c r="CV25" s="955"/>
      <c r="CW25" s="953"/>
      <c r="CX25" s="1384"/>
      <c r="CY25" s="956"/>
      <c r="CZ25" s="954"/>
      <c r="DA25" s="954"/>
      <c r="DB25" s="955"/>
      <c r="DC25" s="953"/>
      <c r="DD25" s="1384"/>
      <c r="DE25" s="956"/>
      <c r="DF25" s="954"/>
      <c r="DG25" s="954"/>
      <c r="DH25" s="955"/>
      <c r="DI25" s="953"/>
      <c r="DJ25" s="1384"/>
      <c r="DK25" s="1384"/>
      <c r="DL25" s="1095"/>
      <c r="DM25" s="1095"/>
      <c r="DN25" s="1095"/>
      <c r="DO25" s="1095"/>
      <c r="DP25" s="1095"/>
      <c r="DQ25" s="1095"/>
      <c r="DR25" s="1095"/>
      <c r="DS25" s="1095"/>
      <c r="DT25" s="1095"/>
      <c r="DU25" s="1095"/>
      <c r="DV25" s="1095"/>
      <c r="DW25" s="1095"/>
      <c r="DX25" s="1095"/>
      <c r="DY25" s="1095"/>
      <c r="DZ25" s="1095"/>
      <c r="EA25" s="1095"/>
      <c r="EB25" s="1095"/>
      <c r="EC25" s="1095"/>
      <c r="ED25" s="1095"/>
      <c r="EE25" s="1095"/>
      <c r="EF25" s="1095"/>
      <c r="EG25" s="1095"/>
      <c r="EH25" s="1095"/>
      <c r="EI25" s="1095"/>
      <c r="EJ25" s="1095"/>
      <c r="EK25" s="583"/>
    </row>
    <row r="26" spans="1:144" s="583" customFormat="1" ht="11.25" customHeight="1">
      <c r="A26" s="924" t="s">
        <v>332</v>
      </c>
      <c r="B26" s="925"/>
      <c r="C26" s="934"/>
      <c r="D26" s="933"/>
      <c r="E26" s="934"/>
      <c r="F26" s="934"/>
      <c r="G26" s="934"/>
      <c r="H26" s="934"/>
      <c r="I26" s="934"/>
      <c r="J26" s="934"/>
      <c r="K26" s="934"/>
      <c r="L26" s="934"/>
      <c r="M26" s="934"/>
      <c r="N26" s="934"/>
      <c r="O26" s="934"/>
      <c r="P26" s="934"/>
      <c r="Q26" s="934"/>
      <c r="R26" s="935"/>
      <c r="S26" s="1163"/>
      <c r="T26" s="927"/>
      <c r="U26" s="927"/>
      <c r="V26" s="936"/>
      <c r="W26" s="934"/>
      <c r="X26" s="935"/>
      <c r="Y26" s="1164"/>
      <c r="Z26" s="927"/>
      <c r="AA26" s="927"/>
      <c r="AB26" s="936"/>
      <c r="AC26" s="934"/>
      <c r="AD26" s="935"/>
      <c r="AE26" s="1164"/>
      <c r="AF26" s="927">
        <f>+AVERAGE(AE8:AF8)</f>
        <v>0.188</v>
      </c>
      <c r="AG26" s="927">
        <f>+AVERAGE(AF8:AG8)</f>
        <v>9.1999999999999998E-2</v>
      </c>
      <c r="AH26" s="927">
        <f>+AVERAGE(AG8:AH8)</f>
        <v>-0.10201157105606259</v>
      </c>
      <c r="AI26" s="934"/>
      <c r="AJ26" s="935"/>
      <c r="AK26" s="1164">
        <f>+AVERAGE(AK8,AH8)</f>
        <v>-0.1060115710560626</v>
      </c>
      <c r="AL26" s="927">
        <f>+AVERAGE(AK8:AL8)</f>
        <v>-7.6999999999999999E-2</v>
      </c>
      <c r="AM26" s="927">
        <f>+AVERAGE(AL8:AM8)</f>
        <v>-1.8500000000000003E-2</v>
      </c>
      <c r="AN26" s="936">
        <f>+AVERAGE(AM8:AN8)</f>
        <v>6.88310225303293E-2</v>
      </c>
      <c r="AO26" s="934"/>
      <c r="AP26" s="935"/>
      <c r="AQ26" s="1164">
        <f>+AVERAGE(AQ8,AN8)</f>
        <v>6.5331022530329297E-2</v>
      </c>
      <c r="AR26" s="927">
        <f>+AVERAGE(AQ8:AR8)</f>
        <v>0.13500000000000001</v>
      </c>
      <c r="AS26" s="927">
        <f>+AVERAGE(AR8:AS8)</f>
        <v>0.16649999999999998</v>
      </c>
      <c r="AT26" s="936">
        <f>+AVERAGE(AS8:AT8)</f>
        <v>0.14949999999999999</v>
      </c>
      <c r="AU26" s="934"/>
      <c r="AV26" s="935"/>
      <c r="AW26" s="1164">
        <f>+AVERAGE(AW8,AT8)</f>
        <v>9.1499999999999998E-2</v>
      </c>
      <c r="AX26" s="927">
        <f>+AVERAGE(AW8:AX8)</f>
        <v>4.7500000000000001E-2</v>
      </c>
      <c r="AY26" s="927">
        <f>+AVERAGE(AX8:AY8)</f>
        <v>8.5499999999999993E-2</v>
      </c>
      <c r="AZ26" s="936">
        <f>+AVERAGE(AY8:AZ8)</f>
        <v>0.11599999999999999</v>
      </c>
      <c r="BA26" s="934"/>
      <c r="BB26" s="935"/>
      <c r="BC26" s="1164">
        <f>+AVERAGE(BC8,AZ8)</f>
        <v>0.1235</v>
      </c>
      <c r="BD26" s="927">
        <f>+AVERAGE(BC8:BD8)</f>
        <v>0.11299999999999999</v>
      </c>
      <c r="BE26" s="927">
        <f>+AVERAGE(BD8:BE8)</f>
        <v>9.8500000000000004E-2</v>
      </c>
      <c r="BF26" s="936">
        <f>+AVERAGE(BE8:BF8)</f>
        <v>9.2841526654220893E-2</v>
      </c>
      <c r="BG26" s="934"/>
      <c r="BH26" s="935"/>
      <c r="BI26" s="1164">
        <f>+AVERAGE(BI8,BF8)</f>
        <v>4.0341526654220895E-2</v>
      </c>
      <c r="BJ26" s="927">
        <f t="shared" ref="BJ26:BL31" si="42">+AVERAGE(BI8:BJ8)</f>
        <v>3.3500000000000002E-2</v>
      </c>
      <c r="BK26" s="927">
        <f t="shared" si="42"/>
        <v>0.04</v>
      </c>
      <c r="BL26" s="936">
        <f t="shared" si="42"/>
        <v>3.1E-2</v>
      </c>
      <c r="BM26" s="942"/>
      <c r="BN26" s="935"/>
      <c r="BO26" s="1164">
        <f t="shared" ref="BO26:BO31" si="43">+AVERAGE(BO8,BL8)</f>
        <v>6.25E-2</v>
      </c>
      <c r="BP26" s="927">
        <f t="shared" ref="BP26:BR31" si="44">+AVERAGE(BO8:BP8)</f>
        <v>2.0500000000000001E-2</v>
      </c>
      <c r="BQ26" s="927">
        <f t="shared" si="44"/>
        <v>-4.8000000000000001E-2</v>
      </c>
      <c r="BR26" s="936">
        <f t="shared" si="44"/>
        <v>-3.2499999999999994E-2</v>
      </c>
      <c r="BS26" s="942"/>
      <c r="BT26" s="934"/>
      <c r="BU26" s="927">
        <f t="shared" ref="BU26:BU31" si="45">+AVERAGE(BU8,BR8)</f>
        <v>-1.4999999999999999E-2</v>
      </c>
      <c r="BV26" s="927">
        <f t="shared" ref="BV26:BX31" si="46">+AVERAGE(BU8:BV8)</f>
        <v>-1.4999999999999999E-2</v>
      </c>
      <c r="BW26" s="927">
        <f t="shared" si="46"/>
        <v>4.9500000000000002E-2</v>
      </c>
      <c r="BX26" s="936">
        <f t="shared" si="46"/>
        <v>4.65E-2</v>
      </c>
      <c r="BY26" s="942"/>
      <c r="BZ26" s="934"/>
      <c r="CA26" s="927">
        <f t="shared" ref="CA26:CA31" si="47">+AVERAGE(CA8,BX8)</f>
        <v>3.1E-2</v>
      </c>
      <c r="CB26" s="927">
        <f t="shared" ref="CB26:CD31" si="48">+AVERAGE(CA8:CB8)</f>
        <v>-1.2499999999999997E-2</v>
      </c>
      <c r="CC26" s="927">
        <f t="shared" si="48"/>
        <v>-6.0999999999999999E-2</v>
      </c>
      <c r="CD26" s="936">
        <f t="shared" si="48"/>
        <v>-1.9000000000000003E-2</v>
      </c>
      <c r="CE26" s="942"/>
      <c r="CF26" s="461"/>
      <c r="CG26" s="1164">
        <f t="shared" ref="CG26:CG31" si="49">+AVERAGE(CG8,CD8)</f>
        <v>-7.4999999999999997E-3</v>
      </c>
      <c r="CH26" s="927">
        <f t="shared" ref="CH26:CJ31" si="50">+AVERAGE(CG8:CH8)</f>
        <v>1.6E-2</v>
      </c>
      <c r="CI26" s="927">
        <f t="shared" si="50"/>
        <v>4.2999999999999997E-2</v>
      </c>
      <c r="CJ26" s="936">
        <f t="shared" si="50"/>
        <v>3.8000000000000006E-2</v>
      </c>
      <c r="CK26" s="942"/>
      <c r="CL26" s="461"/>
      <c r="CM26" s="1164">
        <f t="shared" ref="CM26:CM31" si="51">+AVERAGE(CM8,CJ8)</f>
        <v>3.6657674815252832E-2</v>
      </c>
      <c r="CN26" s="927">
        <f t="shared" ref="CN26:CP31" si="52">+AVERAGE(CM8:CN8)</f>
        <v>2.9193481867877024E-2</v>
      </c>
      <c r="CO26" s="927">
        <f t="shared" si="52"/>
        <v>1.3832219256528167E-2</v>
      </c>
      <c r="CP26" s="936">
        <f t="shared" si="52"/>
        <v>9.9795012342834676E-3</v>
      </c>
      <c r="CQ26" s="942"/>
      <c r="CR26" s="461"/>
      <c r="CS26" s="1164">
        <f t="shared" ref="CS26:CS31" si="53">+AVERAGE(CS8,CP8)</f>
        <v>2.053851202432154E-2</v>
      </c>
      <c r="CT26" s="927">
        <f t="shared" ref="CT26:CV31" si="54">+AVERAGE(CS8:CT8)</f>
        <v>2.9983441824604551E-2</v>
      </c>
      <c r="CU26" s="927">
        <f t="shared" si="54"/>
        <v>3.1175613624839893E-2</v>
      </c>
      <c r="CV26" s="936">
        <f t="shared" si="54"/>
        <v>3.0513901031982218E-2</v>
      </c>
      <c r="CW26" s="942"/>
      <c r="CX26" s="2259"/>
      <c r="CY26" s="1164">
        <f t="shared" ref="CY26:CY31" si="55">+AVERAGE(CY8,CV8)</f>
        <v>2.7793256231765942E-2</v>
      </c>
      <c r="CZ26" s="927">
        <f t="shared" ref="CZ26:DB31" si="56">+AVERAGE(CY8:CZ8)</f>
        <v>2.7070849135711339E-2</v>
      </c>
      <c r="DA26" s="927">
        <f t="shared" si="56"/>
        <v>2.8659654706832183E-2</v>
      </c>
      <c r="DB26" s="936">
        <f t="shared" si="56"/>
        <v>2.7811784823469465E-2</v>
      </c>
      <c r="DC26" s="942"/>
      <c r="DD26" s="2259"/>
      <c r="DE26" s="1164">
        <f t="shared" ref="DE26:DE31" si="57">+AVERAGE(DE8,DB8)</f>
        <v>2.6427010938030682E-2</v>
      </c>
      <c r="DF26" s="927">
        <f t="shared" ref="DF26:DH31" si="58">+AVERAGE(DE8:DF8)</f>
        <v>2.7467194178789067E-2</v>
      </c>
      <c r="DG26" s="927">
        <f t="shared" si="58"/>
        <v>2.9032232243923262E-2</v>
      </c>
      <c r="DH26" s="936">
        <f t="shared" si="58"/>
        <v>2.8191642670230888E-2</v>
      </c>
      <c r="DI26" s="942"/>
      <c r="DJ26" s="2259"/>
      <c r="DK26" s="2259"/>
      <c r="DL26" s="1697" t="s">
        <v>581</v>
      </c>
      <c r="DM26" s="2191"/>
      <c r="DN26" s="2191"/>
      <c r="DO26" s="2191"/>
      <c r="DP26" s="2191"/>
      <c r="DQ26" s="2191"/>
      <c r="DR26" s="2191"/>
      <c r="DS26" s="2191"/>
      <c r="DT26" s="2191"/>
      <c r="DU26" s="2191"/>
      <c r="DV26" s="2191"/>
      <c r="DW26" s="2191"/>
      <c r="DX26" s="2191"/>
      <c r="DY26" s="2191"/>
      <c r="DZ26" s="2192"/>
      <c r="EA26" s="2192"/>
      <c r="EB26" s="2192"/>
      <c r="EC26" s="2192"/>
      <c r="ED26" s="2192"/>
      <c r="EE26" s="2192"/>
      <c r="EF26" s="2192"/>
      <c r="EG26" s="2192"/>
      <c r="EH26" s="2193"/>
      <c r="EI26" s="2193"/>
      <c r="EJ26" s="2193"/>
      <c r="EK26" s="2194"/>
      <c r="EL26" s="2194"/>
    </row>
    <row r="27" spans="1:144" s="583" customFormat="1" ht="11.25" customHeight="1">
      <c r="A27" s="1625" t="s">
        <v>450</v>
      </c>
      <c r="B27" s="925"/>
      <c r="C27" s="934"/>
      <c r="D27" s="933"/>
      <c r="E27" s="934"/>
      <c r="F27" s="934"/>
      <c r="G27" s="934"/>
      <c r="H27" s="934"/>
      <c r="I27" s="934"/>
      <c r="J27" s="934"/>
      <c r="K27" s="934"/>
      <c r="L27" s="934"/>
      <c r="M27" s="934"/>
      <c r="N27" s="934"/>
      <c r="O27" s="934"/>
      <c r="P27" s="934"/>
      <c r="Q27" s="934"/>
      <c r="R27" s="935"/>
      <c r="S27" s="1164"/>
      <c r="T27" s="927"/>
      <c r="U27" s="927"/>
      <c r="V27" s="936"/>
      <c r="W27" s="934"/>
      <c r="X27" s="935"/>
      <c r="Y27" s="1164"/>
      <c r="Z27" s="927"/>
      <c r="AA27" s="927"/>
      <c r="AB27" s="936"/>
      <c r="AC27" s="934"/>
      <c r="AD27" s="935"/>
      <c r="AE27" s="1164"/>
      <c r="AF27" s="927"/>
      <c r="AG27" s="927"/>
      <c r="AH27" s="936"/>
      <c r="AI27" s="934"/>
      <c r="AJ27" s="935"/>
      <c r="AK27" s="1164"/>
      <c r="AL27" s="927"/>
      <c r="AM27" s="927"/>
      <c r="AN27" s="936"/>
      <c r="AO27" s="934"/>
      <c r="AP27" s="935"/>
      <c r="AQ27" s="1164"/>
      <c r="AR27" s="927"/>
      <c r="AS27" s="927"/>
      <c r="AT27" s="936"/>
      <c r="AU27" s="934"/>
      <c r="AV27" s="935"/>
      <c r="AW27" s="1164"/>
      <c r="AX27" s="927"/>
      <c r="AY27" s="927"/>
      <c r="AZ27" s="936"/>
      <c r="BA27" s="934"/>
      <c r="BB27" s="935"/>
      <c r="BC27" s="1164"/>
      <c r="BD27" s="927"/>
      <c r="BE27" s="927"/>
      <c r="BF27" s="936"/>
      <c r="BG27" s="934"/>
      <c r="BH27" s="935"/>
      <c r="BI27" s="1164"/>
      <c r="BJ27" s="927">
        <f t="shared" si="42"/>
        <v>8.5179951856566738E-2</v>
      </c>
      <c r="BK27" s="927">
        <f t="shared" si="42"/>
        <v>3.0463906932043233E-2</v>
      </c>
      <c r="BL27" s="936">
        <f t="shared" si="42"/>
        <v>0.11362548038562639</v>
      </c>
      <c r="BM27" s="942"/>
      <c r="BN27" s="935"/>
      <c r="BO27" s="1164">
        <f t="shared" si="43"/>
        <v>0.16848293688835067</v>
      </c>
      <c r="BP27" s="927">
        <f t="shared" si="44"/>
        <v>4.3920856340211173E-2</v>
      </c>
      <c r="BQ27" s="927">
        <f t="shared" si="44"/>
        <v>-3.1322769196926569E-3</v>
      </c>
      <c r="BR27" s="936">
        <f t="shared" si="44"/>
        <v>-1.1427129435370362E-2</v>
      </c>
      <c r="BS27" s="942"/>
      <c r="BT27" s="934"/>
      <c r="BU27" s="927">
        <f t="shared" si="45"/>
        <v>-4.9134606267687321E-2</v>
      </c>
      <c r="BV27" s="927">
        <f t="shared" si="46"/>
        <v>-7.5759108590719312E-2</v>
      </c>
      <c r="BW27" s="927">
        <f t="shared" si="46"/>
        <v>0.02</v>
      </c>
      <c r="BX27" s="936">
        <f t="shared" si="46"/>
        <v>-2.0170455491735212E-4</v>
      </c>
      <c r="BY27" s="942"/>
      <c r="BZ27" s="934"/>
      <c r="CA27" s="927">
        <f t="shared" si="47"/>
        <v>1.9798295445082645E-2</v>
      </c>
      <c r="CB27" s="927">
        <f t="shared" si="48"/>
        <v>5.5E-2</v>
      </c>
      <c r="CC27" s="927">
        <f t="shared" si="48"/>
        <v>0.02</v>
      </c>
      <c r="CD27" s="936">
        <f t="shared" si="48"/>
        <v>0.04</v>
      </c>
      <c r="CE27" s="942"/>
      <c r="CF27" s="461"/>
      <c r="CG27" s="1164">
        <f t="shared" si="49"/>
        <v>2.35E-2</v>
      </c>
      <c r="CH27" s="927">
        <f t="shared" si="50"/>
        <v>3.1E-2</v>
      </c>
      <c r="CI27" s="927">
        <f t="shared" si="50"/>
        <v>2.2499999999999999E-2</v>
      </c>
      <c r="CJ27" s="936">
        <f t="shared" si="50"/>
        <v>-1.6E-2</v>
      </c>
      <c r="CK27" s="942"/>
      <c r="CL27" s="461"/>
      <c r="CM27" s="1164">
        <f t="shared" si="51"/>
        <v>-1.0000000000000009E-3</v>
      </c>
      <c r="CN27" s="927">
        <f t="shared" si="52"/>
        <v>0.03</v>
      </c>
      <c r="CO27" s="927">
        <f t="shared" si="52"/>
        <v>0.03</v>
      </c>
      <c r="CP27" s="936">
        <f t="shared" si="52"/>
        <v>0.03</v>
      </c>
      <c r="CQ27" s="942"/>
      <c r="CR27" s="461"/>
      <c r="CS27" s="1164">
        <f t="shared" si="53"/>
        <v>0.03</v>
      </c>
      <c r="CT27" s="927">
        <f t="shared" si="54"/>
        <v>0.03</v>
      </c>
      <c r="CU27" s="927">
        <f t="shared" si="54"/>
        <v>0.03</v>
      </c>
      <c r="CV27" s="936">
        <f t="shared" si="54"/>
        <v>0.03</v>
      </c>
      <c r="CW27" s="942"/>
      <c r="CX27" s="2259"/>
      <c r="CY27" s="1164">
        <f t="shared" si="55"/>
        <v>0.03</v>
      </c>
      <c r="CZ27" s="927">
        <f t="shared" si="56"/>
        <v>0.03</v>
      </c>
      <c r="DA27" s="927">
        <f t="shared" si="56"/>
        <v>0.03</v>
      </c>
      <c r="DB27" s="936">
        <f t="shared" si="56"/>
        <v>0.03</v>
      </c>
      <c r="DC27" s="942"/>
      <c r="DD27" s="2259"/>
      <c r="DE27" s="1164">
        <f t="shared" si="57"/>
        <v>0.03</v>
      </c>
      <c r="DF27" s="927">
        <f t="shared" si="58"/>
        <v>0.03</v>
      </c>
      <c r="DG27" s="927">
        <f t="shared" si="58"/>
        <v>0.03</v>
      </c>
      <c r="DH27" s="936">
        <f t="shared" si="58"/>
        <v>0.03</v>
      </c>
      <c r="DI27" s="942"/>
      <c r="DJ27" s="2259"/>
      <c r="DK27" s="2259"/>
      <c r="DL27" s="1700"/>
      <c r="DM27" s="1950"/>
      <c r="DN27" s="1950"/>
      <c r="DO27" s="1950"/>
      <c r="DP27" s="1950"/>
      <c r="DQ27" s="1950"/>
      <c r="DR27" s="1950"/>
      <c r="DS27" s="1950"/>
      <c r="DT27" s="1950"/>
      <c r="DU27" s="1950"/>
      <c r="DV27" s="1950"/>
      <c r="DW27" s="1950"/>
      <c r="DX27" s="1950"/>
      <c r="DY27" s="1950"/>
      <c r="DZ27" s="1950"/>
      <c r="EA27" s="1950"/>
      <c r="EB27" s="1950"/>
      <c r="EC27" s="1950"/>
      <c r="ED27" s="1950"/>
      <c r="EE27" s="1950"/>
      <c r="EF27" s="1950"/>
      <c r="EG27" s="1950"/>
      <c r="EH27" s="1950"/>
      <c r="EI27" s="1950"/>
      <c r="EJ27" s="1950"/>
      <c r="EK27" s="1950"/>
      <c r="EL27" s="1950"/>
      <c r="EM27" s="1950"/>
      <c r="EN27" s="1950"/>
    </row>
    <row r="28" spans="1:144" s="583" customFormat="1" ht="11.25" customHeight="1">
      <c r="A28" s="1625" t="s">
        <v>451</v>
      </c>
      <c r="B28" s="925"/>
      <c r="C28" s="934"/>
      <c r="D28" s="933"/>
      <c r="E28" s="934"/>
      <c r="F28" s="934"/>
      <c r="G28" s="934"/>
      <c r="H28" s="934"/>
      <c r="I28" s="934"/>
      <c r="J28" s="934"/>
      <c r="K28" s="934"/>
      <c r="L28" s="934"/>
      <c r="M28" s="934"/>
      <c r="N28" s="934"/>
      <c r="O28" s="934"/>
      <c r="P28" s="934"/>
      <c r="Q28" s="934"/>
      <c r="R28" s="935"/>
      <c r="S28" s="1164"/>
      <c r="T28" s="927"/>
      <c r="U28" s="927"/>
      <c r="V28" s="936"/>
      <c r="W28" s="934"/>
      <c r="X28" s="935"/>
      <c r="Y28" s="1164"/>
      <c r="Z28" s="927"/>
      <c r="AA28" s="927"/>
      <c r="AB28" s="936"/>
      <c r="AC28" s="934"/>
      <c r="AD28" s="935"/>
      <c r="AE28" s="1164"/>
      <c r="AF28" s="927"/>
      <c r="AG28" s="927"/>
      <c r="AH28" s="936"/>
      <c r="AI28" s="934"/>
      <c r="AJ28" s="935"/>
      <c r="AK28" s="1164"/>
      <c r="AL28" s="927"/>
      <c r="AM28" s="927"/>
      <c r="AN28" s="936"/>
      <c r="AO28" s="934"/>
      <c r="AP28" s="935"/>
      <c r="AQ28" s="1164"/>
      <c r="AR28" s="927"/>
      <c r="AS28" s="927"/>
      <c r="AT28" s="936"/>
      <c r="AU28" s="934"/>
      <c r="AV28" s="935"/>
      <c r="AW28" s="1164"/>
      <c r="AX28" s="927"/>
      <c r="AY28" s="927"/>
      <c r="AZ28" s="936"/>
      <c r="BA28" s="934"/>
      <c r="BB28" s="935"/>
      <c r="BC28" s="1164"/>
      <c r="BD28" s="927"/>
      <c r="BE28" s="927"/>
      <c r="BF28" s="936"/>
      <c r="BG28" s="934"/>
      <c r="BH28" s="935"/>
      <c r="BI28" s="1164"/>
      <c r="BJ28" s="927">
        <f t="shared" si="42"/>
        <v>4.5023496518279069E-2</v>
      </c>
      <c r="BK28" s="927">
        <f t="shared" si="42"/>
        <v>0.15280745159375561</v>
      </c>
      <c r="BL28" s="936">
        <f t="shared" si="42"/>
        <v>8.3625480385626366E-2</v>
      </c>
      <c r="BM28" s="942"/>
      <c r="BN28" s="935"/>
      <c r="BO28" s="1164">
        <f t="shared" si="43"/>
        <v>8.8482936888350724E-2</v>
      </c>
      <c r="BP28" s="927">
        <f t="shared" si="44"/>
        <v>3.8093502105797185E-2</v>
      </c>
      <c r="BQ28" s="927">
        <f t="shared" si="44"/>
        <v>-1.5892602237798245E-2</v>
      </c>
      <c r="BR28" s="936">
        <f t="shared" si="44"/>
        <v>-1.5535729873344267E-2</v>
      </c>
      <c r="BS28" s="942"/>
      <c r="BT28" s="934"/>
      <c r="BU28" s="927">
        <f t="shared" si="45"/>
        <v>-1.5551127031250387E-2</v>
      </c>
      <c r="BV28" s="927">
        <f t="shared" si="46"/>
        <v>5.4999999999999997E-3</v>
      </c>
      <c r="BW28" s="927">
        <f t="shared" si="46"/>
        <v>0.11626461128830758</v>
      </c>
      <c r="BX28" s="936">
        <f t="shared" si="46"/>
        <v>0.13571975369987532</v>
      </c>
      <c r="BY28" s="942"/>
      <c r="BZ28" s="934"/>
      <c r="CA28" s="927">
        <f t="shared" si="47"/>
        <v>5.7455142411567753E-2</v>
      </c>
      <c r="CB28" s="927">
        <f t="shared" si="48"/>
        <v>-1.4999999999999999E-2</v>
      </c>
      <c r="CC28" s="927">
        <f t="shared" si="48"/>
        <v>-8.8249999999999995E-2</v>
      </c>
      <c r="CD28" s="936">
        <f t="shared" si="48"/>
        <v>-4.2249999999999996E-2</v>
      </c>
      <c r="CE28" s="942"/>
      <c r="CF28" s="461"/>
      <c r="CG28" s="1164">
        <f t="shared" si="49"/>
        <v>-4.65E-2</v>
      </c>
      <c r="CH28" s="927">
        <f t="shared" si="50"/>
        <v>2.2499999999999999E-2</v>
      </c>
      <c r="CI28" s="927">
        <f t="shared" si="50"/>
        <v>9.5000000000000001E-2</v>
      </c>
      <c r="CJ28" s="936">
        <f t="shared" si="50"/>
        <v>3.5600000000000007E-2</v>
      </c>
      <c r="CK28" s="942"/>
      <c r="CL28" s="461"/>
      <c r="CM28" s="1164">
        <f t="shared" si="51"/>
        <v>6.5600000000000006E-2</v>
      </c>
      <c r="CN28" s="927">
        <f t="shared" si="52"/>
        <v>6.5000000000000002E-2</v>
      </c>
      <c r="CO28" s="927">
        <f t="shared" si="52"/>
        <v>0.02</v>
      </c>
      <c r="CP28" s="936">
        <f t="shared" si="52"/>
        <v>4.4999999999999998E-2</v>
      </c>
      <c r="CQ28" s="942"/>
      <c r="CR28" s="461"/>
      <c r="CS28" s="1164">
        <f t="shared" si="53"/>
        <v>5.5E-2</v>
      </c>
      <c r="CT28" s="927">
        <f t="shared" si="54"/>
        <v>0.05</v>
      </c>
      <c r="CU28" s="927">
        <f t="shared" si="54"/>
        <v>0.05</v>
      </c>
      <c r="CV28" s="936">
        <f t="shared" si="54"/>
        <v>0.05</v>
      </c>
      <c r="CW28" s="942"/>
      <c r="CX28" s="2259"/>
      <c r="CY28" s="1164">
        <f t="shared" si="55"/>
        <v>0.05</v>
      </c>
      <c r="CZ28" s="927">
        <f t="shared" si="56"/>
        <v>0.05</v>
      </c>
      <c r="DA28" s="927">
        <f t="shared" si="56"/>
        <v>0.05</v>
      </c>
      <c r="DB28" s="936">
        <f t="shared" si="56"/>
        <v>0.05</v>
      </c>
      <c r="DC28" s="942"/>
      <c r="DD28" s="2259"/>
      <c r="DE28" s="1164">
        <f t="shared" si="57"/>
        <v>0.05</v>
      </c>
      <c r="DF28" s="927">
        <f t="shared" si="58"/>
        <v>0.05</v>
      </c>
      <c r="DG28" s="927">
        <f t="shared" si="58"/>
        <v>0.05</v>
      </c>
      <c r="DH28" s="936">
        <f t="shared" si="58"/>
        <v>0.05</v>
      </c>
      <c r="DI28" s="942"/>
      <c r="DJ28" s="2259"/>
      <c r="DK28" s="2259"/>
      <c r="DL28" s="2370" t="s">
        <v>350</v>
      </c>
      <c r="DM28" s="2371"/>
      <c r="DN28" s="2371"/>
      <c r="DO28" s="2371"/>
      <c r="DP28" s="2371"/>
      <c r="DQ28" s="2371"/>
      <c r="DR28" s="2371"/>
      <c r="DS28" s="2371"/>
      <c r="DT28" s="2371"/>
      <c r="DU28" s="2371"/>
      <c r="DV28" s="2371"/>
      <c r="DW28" s="2371"/>
      <c r="DX28" s="2371"/>
      <c r="DY28" s="2371"/>
      <c r="DZ28" s="2371"/>
      <c r="EA28" s="2371"/>
      <c r="EB28" s="2371"/>
      <c r="EC28" s="2371"/>
      <c r="ED28" s="2371"/>
      <c r="EE28" s="2371"/>
      <c r="EF28" s="2371"/>
      <c r="EG28" s="2371"/>
      <c r="EH28" s="2371"/>
      <c r="EI28" s="2371"/>
      <c r="EJ28" s="2371"/>
      <c r="EK28" s="2371"/>
      <c r="EL28" s="2371"/>
      <c r="EM28" s="2371"/>
      <c r="EN28" s="2371"/>
    </row>
    <row r="29" spans="1:144" s="583" customFormat="1" ht="11.25" customHeight="1">
      <c r="A29" s="1625" t="s">
        <v>452</v>
      </c>
      <c r="B29" s="925"/>
      <c r="C29" s="934"/>
      <c r="D29" s="933"/>
      <c r="E29" s="934"/>
      <c r="F29" s="934"/>
      <c r="G29" s="934"/>
      <c r="H29" s="934"/>
      <c r="I29" s="934"/>
      <c r="J29" s="934"/>
      <c r="K29" s="934"/>
      <c r="L29" s="934"/>
      <c r="M29" s="934"/>
      <c r="N29" s="934"/>
      <c r="O29" s="934"/>
      <c r="P29" s="934"/>
      <c r="Q29" s="934"/>
      <c r="R29" s="935"/>
      <c r="S29" s="1164"/>
      <c r="T29" s="927"/>
      <c r="U29" s="927"/>
      <c r="V29" s="936"/>
      <c r="W29" s="934"/>
      <c r="X29" s="935"/>
      <c r="Y29" s="1164"/>
      <c r="Z29" s="927"/>
      <c r="AA29" s="927"/>
      <c r="AB29" s="936"/>
      <c r="AC29" s="934"/>
      <c r="AD29" s="935"/>
      <c r="AE29" s="1164"/>
      <c r="AF29" s="927"/>
      <c r="AG29" s="927"/>
      <c r="AH29" s="936"/>
      <c r="AI29" s="934"/>
      <c r="AJ29" s="935"/>
      <c r="AK29" s="1164"/>
      <c r="AL29" s="927"/>
      <c r="AM29" s="927"/>
      <c r="AN29" s="936"/>
      <c r="AO29" s="934"/>
      <c r="AP29" s="935"/>
      <c r="AQ29" s="1164"/>
      <c r="AR29" s="927"/>
      <c r="AS29" s="927"/>
      <c r="AT29" s="936"/>
      <c r="AU29" s="934"/>
      <c r="AV29" s="935"/>
      <c r="AW29" s="1164"/>
      <c r="AX29" s="927"/>
      <c r="AY29" s="927"/>
      <c r="AZ29" s="936"/>
      <c r="BA29" s="934"/>
      <c r="BB29" s="935"/>
      <c r="BC29" s="1164"/>
      <c r="BD29" s="927"/>
      <c r="BE29" s="927"/>
      <c r="BF29" s="936"/>
      <c r="BG29" s="934"/>
      <c r="BH29" s="935"/>
      <c r="BI29" s="1164"/>
      <c r="BJ29" s="927">
        <f t="shared" si="42"/>
        <v>-5.1432023304452915E-2</v>
      </c>
      <c r="BK29" s="927">
        <f t="shared" si="42"/>
        <v>-6.0590148863744669E-2</v>
      </c>
      <c r="BL29" s="936">
        <f t="shared" si="42"/>
        <v>-8.2392181481072371E-2</v>
      </c>
      <c r="BM29" s="942"/>
      <c r="BN29" s="935"/>
      <c r="BO29" s="1164">
        <f t="shared" si="43"/>
        <v>-3.3126236801615312E-2</v>
      </c>
      <c r="BP29" s="927">
        <f t="shared" si="44"/>
        <v>2.2909762657348925E-2</v>
      </c>
      <c r="BQ29" s="927">
        <f t="shared" si="44"/>
        <v>-5.5457627164266839E-2</v>
      </c>
      <c r="BR29" s="936">
        <f t="shared" si="44"/>
        <v>-1.8982190560972362E-2</v>
      </c>
      <c r="BS29" s="942"/>
      <c r="BT29" s="934"/>
      <c r="BU29" s="927">
        <f t="shared" si="45"/>
        <v>3.1234801900019229E-2</v>
      </c>
      <c r="BV29" s="927">
        <f t="shared" si="46"/>
        <v>1.7500000000000002E-2</v>
      </c>
      <c r="BW29" s="927">
        <f t="shared" si="46"/>
        <v>-1.7499999999999998E-2</v>
      </c>
      <c r="BX29" s="936">
        <f t="shared" si="46"/>
        <v>-3.59810190385575E-3</v>
      </c>
      <c r="BY29" s="942"/>
      <c r="BZ29" s="934"/>
      <c r="CA29" s="927">
        <f t="shared" si="47"/>
        <v>2.2367658234642648E-2</v>
      </c>
      <c r="CB29" s="927">
        <f t="shared" si="48"/>
        <v>-9.1534239861501596E-2</v>
      </c>
      <c r="CC29" s="927">
        <f t="shared" si="48"/>
        <v>-0.13550000000000001</v>
      </c>
      <c r="CD29" s="936">
        <f t="shared" si="48"/>
        <v>-7.4749999999999997E-2</v>
      </c>
      <c r="CE29" s="942"/>
      <c r="CF29" s="461"/>
      <c r="CG29" s="1164">
        <f t="shared" si="49"/>
        <v>-1.1330749999999995E-2</v>
      </c>
      <c r="CH29" s="927">
        <f t="shared" si="50"/>
        <v>1.4192500000000038E-3</v>
      </c>
      <c r="CI29" s="927">
        <f t="shared" si="50"/>
        <v>3.9399999999999998E-2</v>
      </c>
      <c r="CJ29" s="936">
        <f t="shared" si="50"/>
        <v>0.11840000000000001</v>
      </c>
      <c r="CK29" s="942"/>
      <c r="CL29" s="461"/>
      <c r="CM29" s="1164">
        <f t="shared" si="51"/>
        <v>0.09</v>
      </c>
      <c r="CN29" s="927">
        <f t="shared" si="52"/>
        <v>6.5000000000000002E-2</v>
      </c>
      <c r="CO29" s="927">
        <f t="shared" si="52"/>
        <v>1.4999999999999999E-2</v>
      </c>
      <c r="CP29" s="936">
        <f t="shared" si="52"/>
        <v>-3.5000000000000003E-2</v>
      </c>
      <c r="CQ29" s="942"/>
      <c r="CR29" s="461"/>
      <c r="CS29" s="1164">
        <f t="shared" si="53"/>
        <v>-5.0000000000000001E-3</v>
      </c>
      <c r="CT29" s="927">
        <f t="shared" si="54"/>
        <v>0.01</v>
      </c>
      <c r="CU29" s="927">
        <f t="shared" si="54"/>
        <v>0.01</v>
      </c>
      <c r="CV29" s="936">
        <f t="shared" si="54"/>
        <v>0.01</v>
      </c>
      <c r="CW29" s="942"/>
      <c r="CX29" s="2259"/>
      <c r="CY29" s="1164">
        <f t="shared" si="55"/>
        <v>5.0000000000000001E-3</v>
      </c>
      <c r="CZ29" s="927">
        <f t="shared" si="56"/>
        <v>0</v>
      </c>
      <c r="DA29" s="927">
        <f t="shared" si="56"/>
        <v>0</v>
      </c>
      <c r="DB29" s="936">
        <f t="shared" si="56"/>
        <v>0</v>
      </c>
      <c r="DC29" s="942"/>
      <c r="DD29" s="2259"/>
      <c r="DE29" s="1164">
        <f t="shared" si="57"/>
        <v>0</v>
      </c>
      <c r="DF29" s="927">
        <f t="shared" si="58"/>
        <v>0</v>
      </c>
      <c r="DG29" s="927">
        <f t="shared" si="58"/>
        <v>0</v>
      </c>
      <c r="DH29" s="936">
        <f t="shared" si="58"/>
        <v>0</v>
      </c>
      <c r="DI29" s="942"/>
      <c r="DJ29" s="2259"/>
      <c r="DK29" s="2259"/>
      <c r="DL29" s="2366" t="s">
        <v>502</v>
      </c>
      <c r="DM29" s="2367"/>
      <c r="DN29" s="2367"/>
      <c r="DO29" s="2367"/>
      <c r="DP29" s="2367"/>
      <c r="DQ29" s="2367"/>
      <c r="DR29" s="2367"/>
      <c r="DS29" s="2367"/>
      <c r="DT29" s="2367"/>
      <c r="DU29" s="2367"/>
      <c r="DV29" s="2367"/>
      <c r="DW29" s="2367"/>
      <c r="DX29" s="2367"/>
      <c r="DY29" s="2367"/>
      <c r="DZ29" s="2367"/>
      <c r="EA29" s="2367"/>
      <c r="EB29" s="2367"/>
      <c r="EC29" s="2367"/>
      <c r="ED29" s="2367"/>
      <c r="EE29" s="2367"/>
      <c r="EF29" s="2367"/>
      <c r="EG29" s="2367"/>
      <c r="EH29" s="2367"/>
      <c r="EI29" s="2367"/>
      <c r="EJ29" s="2367"/>
      <c r="EK29" s="2367"/>
      <c r="EL29" s="2367"/>
      <c r="EM29" s="2367"/>
      <c r="EN29" s="2367"/>
    </row>
    <row r="30" spans="1:144" s="583" customFormat="1" ht="11.25" customHeight="1">
      <c r="A30" s="924" t="s">
        <v>333</v>
      </c>
      <c r="B30" s="925"/>
      <c r="C30" s="934"/>
      <c r="D30" s="933"/>
      <c r="E30" s="934"/>
      <c r="F30" s="934"/>
      <c r="G30" s="934"/>
      <c r="H30" s="934"/>
      <c r="I30" s="934"/>
      <c r="J30" s="934"/>
      <c r="K30" s="934"/>
      <c r="L30" s="934"/>
      <c r="M30" s="934"/>
      <c r="N30" s="934"/>
      <c r="O30" s="934"/>
      <c r="P30" s="934"/>
      <c r="Q30" s="934"/>
      <c r="R30" s="935"/>
      <c r="S30" s="1164"/>
      <c r="T30" s="927"/>
      <c r="U30" s="927"/>
      <c r="V30" s="936"/>
      <c r="W30" s="934"/>
      <c r="X30" s="935"/>
      <c r="Y30" s="1164"/>
      <c r="Z30" s="927"/>
      <c r="AA30" s="927"/>
      <c r="AB30" s="936"/>
      <c r="AC30" s="934"/>
      <c r="AD30" s="935"/>
      <c r="AE30" s="1164"/>
      <c r="AF30" s="927">
        <f t="shared" ref="AF30:AH31" si="59">+AVERAGE(AE12:AF12)</f>
        <v>6.1499999999999999E-2</v>
      </c>
      <c r="AG30" s="927">
        <f t="shared" si="59"/>
        <v>4.2499999999999996E-2</v>
      </c>
      <c r="AH30" s="927">
        <f t="shared" si="59"/>
        <v>6.3293577981651333E-2</v>
      </c>
      <c r="AI30" s="934"/>
      <c r="AJ30" s="935"/>
      <c r="AK30" s="1164">
        <f>+AVERAGE(AK12,AH12)</f>
        <v>0.14879357798165133</v>
      </c>
      <c r="AL30" s="927">
        <f t="shared" ref="AL30:AN31" si="60">+AVERAGE(AK12:AL12)</f>
        <v>0.16600000000000001</v>
      </c>
      <c r="AM30" s="927">
        <f t="shared" si="60"/>
        <v>0.35850000000000004</v>
      </c>
      <c r="AN30" s="936">
        <f t="shared" si="60"/>
        <v>0.52270168067226896</v>
      </c>
      <c r="AO30" s="934"/>
      <c r="AP30" s="935"/>
      <c r="AQ30" s="1164">
        <f>+AVERAGE(AQ12,AN12)</f>
        <v>0.99570168067226894</v>
      </c>
      <c r="AR30" s="927">
        <f t="shared" ref="AR30:AT31" si="61">+AVERAGE(AQ12:AR12)</f>
        <v>0.90800000000000003</v>
      </c>
      <c r="AS30" s="927">
        <f t="shared" si="61"/>
        <v>0.57399999999999995</v>
      </c>
      <c r="AT30" s="936">
        <f t="shared" si="61"/>
        <v>0.53449999999999998</v>
      </c>
      <c r="AU30" s="934"/>
      <c r="AV30" s="935"/>
      <c r="AW30" s="1164">
        <f>+AVERAGE(AW12,AT12)</f>
        <v>0.2495</v>
      </c>
      <c r="AX30" s="927">
        <f t="shared" ref="AX30:AZ31" si="62">+AVERAGE(AW12:AX12)</f>
        <v>0.27500000000000002</v>
      </c>
      <c r="AY30" s="927">
        <f t="shared" si="62"/>
        <v>0.255</v>
      </c>
      <c r="AZ30" s="936">
        <f t="shared" si="62"/>
        <v>0.14250000000000002</v>
      </c>
      <c r="BA30" s="934"/>
      <c r="BB30" s="935"/>
      <c r="BC30" s="1164">
        <f>+AVERAGE(BC12,AZ12)</f>
        <v>0.22999999999999998</v>
      </c>
      <c r="BD30" s="927">
        <f t="shared" ref="BD30:BF31" si="63">+AVERAGE(BC12:BD12)</f>
        <v>0.16799999999999998</v>
      </c>
      <c r="BE30" s="927">
        <f t="shared" si="63"/>
        <v>0.379</v>
      </c>
      <c r="BF30" s="936">
        <f t="shared" si="63"/>
        <v>0.44633333333333342</v>
      </c>
      <c r="BG30" s="934"/>
      <c r="BH30" s="935"/>
      <c r="BI30" s="1164">
        <f>+AVERAGE(BI12,BF12)</f>
        <v>9.9833333333333441E-2</v>
      </c>
      <c r="BJ30" s="927">
        <f t="shared" si="42"/>
        <v>0.21650000000000003</v>
      </c>
      <c r="BK30" s="927">
        <f t="shared" si="42"/>
        <v>6.4500000000000002E-2</v>
      </c>
      <c r="BL30" s="936">
        <f t="shared" si="42"/>
        <v>-4.8500000000000015E-2</v>
      </c>
      <c r="BM30" s="942"/>
      <c r="BN30" s="935"/>
      <c r="BO30" s="1164">
        <f t="shared" si="43"/>
        <v>0.124</v>
      </c>
      <c r="BP30" s="927">
        <f t="shared" si="44"/>
        <v>6.8500000000000005E-2</v>
      </c>
      <c r="BQ30" s="927">
        <f t="shared" si="44"/>
        <v>0.14450000000000002</v>
      </c>
      <c r="BR30" s="936">
        <f t="shared" si="44"/>
        <v>4.250000000000001E-2</v>
      </c>
      <c r="BS30" s="942"/>
      <c r="BT30" s="934"/>
      <c r="BU30" s="927">
        <f t="shared" si="45"/>
        <v>-9.0999999999999998E-2</v>
      </c>
      <c r="BV30" s="927">
        <f t="shared" si="46"/>
        <v>-6.0999999999999999E-2</v>
      </c>
      <c r="BW30" s="927">
        <f t="shared" si="46"/>
        <v>-5.3499999999999999E-2</v>
      </c>
      <c r="BX30" s="936">
        <f t="shared" si="46"/>
        <v>0.14549999999999999</v>
      </c>
      <c r="BY30" s="942"/>
      <c r="BZ30" s="934"/>
      <c r="CA30" s="927">
        <f t="shared" si="47"/>
        <v>0.1595</v>
      </c>
      <c r="CB30" s="927">
        <f t="shared" si="48"/>
        <v>-4.3337662337662335E-2</v>
      </c>
      <c r="CC30" s="927">
        <f t="shared" si="48"/>
        <v>-3.8376623376623342E-3</v>
      </c>
      <c r="CD30" s="936">
        <f t="shared" si="48"/>
        <v>-6.0299999999999999E-2</v>
      </c>
      <c r="CE30" s="942"/>
      <c r="CF30" s="461"/>
      <c r="CG30" s="1164">
        <f t="shared" si="49"/>
        <v>-8.6300000000000002E-2</v>
      </c>
      <c r="CH30" s="927">
        <f t="shared" si="50"/>
        <v>0.23050000000000001</v>
      </c>
      <c r="CI30" s="927">
        <f t="shared" si="50"/>
        <v>0.16749999999999998</v>
      </c>
      <c r="CJ30" s="936">
        <f t="shared" si="50"/>
        <v>9.5000000000000015E-3</v>
      </c>
      <c r="CK30" s="942"/>
      <c r="CL30" s="461"/>
      <c r="CM30" s="1164">
        <f t="shared" si="51"/>
        <v>7.3000000000000009E-2</v>
      </c>
      <c r="CN30" s="927">
        <f t="shared" si="52"/>
        <v>-4.4999999999999998E-2</v>
      </c>
      <c r="CO30" s="927">
        <f t="shared" si="52"/>
        <v>-1.9999999999999997E-2</v>
      </c>
      <c r="CP30" s="936">
        <f t="shared" si="52"/>
        <v>1.4999999999999999E-2</v>
      </c>
      <c r="CQ30" s="942"/>
      <c r="CR30" s="461"/>
      <c r="CS30" s="1164">
        <f t="shared" si="53"/>
        <v>-7.0000000000000007E-2</v>
      </c>
      <c r="CT30" s="927">
        <f t="shared" si="54"/>
        <v>-9.999999999999995E-3</v>
      </c>
      <c r="CU30" s="927">
        <f t="shared" si="54"/>
        <v>-2.4999999999999994E-2</v>
      </c>
      <c r="CV30" s="936">
        <f t="shared" si="54"/>
        <v>-3.4999999999999996E-2</v>
      </c>
      <c r="CW30" s="942"/>
      <c r="CX30" s="2259"/>
      <c r="CY30" s="1164">
        <f t="shared" si="55"/>
        <v>0.04</v>
      </c>
      <c r="CZ30" s="927">
        <f t="shared" si="56"/>
        <v>-4.4999999999999998E-2</v>
      </c>
      <c r="DA30" s="927">
        <f t="shared" si="56"/>
        <v>-1.9999999999999997E-2</v>
      </c>
      <c r="DB30" s="936">
        <f t="shared" si="56"/>
        <v>1.4999999999999999E-2</v>
      </c>
      <c r="DC30" s="942"/>
      <c r="DD30" s="2259"/>
      <c r="DE30" s="1164">
        <f t="shared" si="57"/>
        <v>-7.0000000000000007E-2</v>
      </c>
      <c r="DF30" s="927">
        <f t="shared" si="58"/>
        <v>-9.999999999999995E-3</v>
      </c>
      <c r="DG30" s="927">
        <f t="shared" si="58"/>
        <v>-2.4999999999999994E-2</v>
      </c>
      <c r="DH30" s="936">
        <f t="shared" si="58"/>
        <v>-3.4999999999999996E-2</v>
      </c>
      <c r="DI30" s="942"/>
      <c r="DJ30" s="2259"/>
      <c r="DK30" s="2259"/>
      <c r="DL30" s="1702" t="s">
        <v>582</v>
      </c>
      <c r="DM30" s="1952"/>
      <c r="DN30" s="1952"/>
      <c r="DO30" s="1952"/>
      <c r="DP30" s="1952"/>
      <c r="DQ30" s="1952"/>
      <c r="DR30" s="1952"/>
      <c r="DS30" s="1952"/>
      <c r="DT30" s="1952"/>
      <c r="DU30" s="1952"/>
      <c r="DV30" s="1952"/>
      <c r="DW30" s="1952"/>
      <c r="DX30" s="1952"/>
      <c r="DY30" s="1952"/>
      <c r="DZ30" s="1952"/>
      <c r="EA30" s="1952"/>
      <c r="EB30" s="1952"/>
      <c r="EC30" s="1952"/>
      <c r="ED30" s="1952"/>
      <c r="EE30" s="1952"/>
      <c r="EF30" s="1952"/>
      <c r="EG30" s="1952"/>
      <c r="EH30" s="1952"/>
      <c r="EI30" s="1952"/>
      <c r="EJ30" s="1952"/>
      <c r="EK30" s="1952"/>
      <c r="EL30" s="1952"/>
      <c r="EM30" s="1952"/>
      <c r="EN30" s="1952"/>
    </row>
    <row r="31" spans="1:144" ht="11.25" customHeight="1">
      <c r="A31" s="958" t="s">
        <v>29</v>
      </c>
      <c r="B31" s="959"/>
      <c r="C31" s="960"/>
      <c r="D31" s="959"/>
      <c r="E31" s="960"/>
      <c r="F31" s="960"/>
      <c r="G31" s="960"/>
      <c r="H31" s="960"/>
      <c r="I31" s="960"/>
      <c r="J31" s="960"/>
      <c r="K31" s="960"/>
      <c r="L31" s="960"/>
      <c r="M31" s="960"/>
      <c r="N31" s="960"/>
      <c r="O31" s="960"/>
      <c r="P31" s="960"/>
      <c r="Q31" s="960"/>
      <c r="R31" s="961"/>
      <c r="S31" s="1165"/>
      <c r="T31" s="962"/>
      <c r="U31" s="962"/>
      <c r="V31" s="962"/>
      <c r="W31" s="960"/>
      <c r="X31" s="961"/>
      <c r="Y31" s="1165"/>
      <c r="Z31" s="962"/>
      <c r="AA31" s="962"/>
      <c r="AB31" s="962"/>
      <c r="AC31" s="960"/>
      <c r="AD31" s="961"/>
      <c r="AE31" s="1165"/>
      <c r="AF31" s="962">
        <f t="shared" si="59"/>
        <v>0.122</v>
      </c>
      <c r="AG31" s="962">
        <f t="shared" si="59"/>
        <v>6.9500000000000006E-2</v>
      </c>
      <c r="AH31" s="962">
        <f t="shared" si="59"/>
        <v>-4.2499999999999996E-2</v>
      </c>
      <c r="AI31" s="960"/>
      <c r="AJ31" s="961"/>
      <c r="AK31" s="1165">
        <f>+AVERAGE(AK13,AH13)</f>
        <v>7.4999999999999997E-3</v>
      </c>
      <c r="AL31" s="962">
        <f t="shared" si="60"/>
        <v>-3.3000000000000002E-2</v>
      </c>
      <c r="AM31" s="962">
        <f t="shared" si="60"/>
        <v>1.5000000000000013E-3</v>
      </c>
      <c r="AN31" s="962">
        <f t="shared" si="60"/>
        <v>8.6999999999999994E-2</v>
      </c>
      <c r="AO31" s="960"/>
      <c r="AP31" s="961"/>
      <c r="AQ31" s="1165">
        <f>+AVERAGE(AQ13,AN13)</f>
        <v>9.1999999999999998E-2</v>
      </c>
      <c r="AR31" s="962">
        <f t="shared" si="61"/>
        <v>0.16200000000000001</v>
      </c>
      <c r="AS31" s="962">
        <f t="shared" si="61"/>
        <v>0.187</v>
      </c>
      <c r="AT31" s="962">
        <f t="shared" si="61"/>
        <v>0.17199999999999999</v>
      </c>
      <c r="AU31" s="960"/>
      <c r="AV31" s="961"/>
      <c r="AW31" s="1165">
        <f>+AVERAGE(AW13,AT13)</f>
        <v>0.10750000000000001</v>
      </c>
      <c r="AX31" s="962">
        <f t="shared" si="62"/>
        <v>0.06</v>
      </c>
      <c r="AY31" s="962">
        <f t="shared" si="62"/>
        <v>9.1999999999999998E-2</v>
      </c>
      <c r="AZ31" s="962">
        <f t="shared" si="62"/>
        <v>0.11549999999999999</v>
      </c>
      <c r="BA31" s="960"/>
      <c r="BB31" s="961"/>
      <c r="BC31" s="1165">
        <f>+AVERAGE(BC13,AZ13)</f>
        <v>0.1295</v>
      </c>
      <c r="BD31" s="962">
        <f t="shared" si="63"/>
        <v>0.1205</v>
      </c>
      <c r="BE31" s="962">
        <f t="shared" si="63"/>
        <v>0.121</v>
      </c>
      <c r="BF31" s="962">
        <f t="shared" si="63"/>
        <v>0.12</v>
      </c>
      <c r="BG31" s="960"/>
      <c r="BH31" s="961"/>
      <c r="BI31" s="1165">
        <f>+AVERAGE(BI13,BF13)</f>
        <v>4.5499999999999999E-2</v>
      </c>
      <c r="BJ31" s="962">
        <f t="shared" si="42"/>
        <v>4.2000000000000003E-2</v>
      </c>
      <c r="BK31" s="962">
        <f t="shared" si="42"/>
        <v>3.5500000000000004E-2</v>
      </c>
      <c r="BL31" s="962">
        <f t="shared" si="42"/>
        <v>1.9E-2</v>
      </c>
      <c r="BM31" s="960"/>
      <c r="BN31" s="961"/>
      <c r="BO31" s="1165">
        <f t="shared" si="43"/>
        <v>6.4000000000000001E-2</v>
      </c>
      <c r="BP31" s="962">
        <f t="shared" si="44"/>
        <v>2.1000000000000001E-2</v>
      </c>
      <c r="BQ31" s="962">
        <f t="shared" si="44"/>
        <v>-3.6000000000000004E-2</v>
      </c>
      <c r="BR31" s="962">
        <f t="shared" si="44"/>
        <v>-2.6499999999999999E-2</v>
      </c>
      <c r="BS31" s="960"/>
      <c r="BT31" s="960"/>
      <c r="BU31" s="962">
        <f t="shared" si="45"/>
        <v>-1.7499999999999998E-2</v>
      </c>
      <c r="BV31" s="962">
        <f t="shared" si="46"/>
        <v>-1.15E-2</v>
      </c>
      <c r="BW31" s="962">
        <f t="shared" si="46"/>
        <v>4.4000000000000004E-2</v>
      </c>
      <c r="BX31" s="962">
        <f t="shared" si="46"/>
        <v>5.3000000000000005E-2</v>
      </c>
      <c r="BY31" s="960"/>
      <c r="BZ31" s="960"/>
      <c r="CA31" s="962">
        <f t="shared" si="47"/>
        <v>4.0475954738330919E-2</v>
      </c>
      <c r="CB31" s="962">
        <f t="shared" si="48"/>
        <v>-1.8205863443487222E-2</v>
      </c>
      <c r="CC31" s="962">
        <f t="shared" si="48"/>
        <v>-5.7958894677652563E-2</v>
      </c>
      <c r="CD31" s="962">
        <f t="shared" si="48"/>
        <v>-2.3054786455354959E-2</v>
      </c>
      <c r="CE31" s="960"/>
      <c r="CF31" s="969"/>
      <c r="CG31" s="1165">
        <f t="shared" si="49"/>
        <v>-1.5162206496547731E-2</v>
      </c>
      <c r="CH31" s="962">
        <f t="shared" si="50"/>
        <v>3.4226883608251199E-2</v>
      </c>
      <c r="CI31" s="962">
        <f t="shared" si="50"/>
        <v>5.486233216355714E-2</v>
      </c>
      <c r="CJ31" s="962">
        <f t="shared" si="50"/>
        <v>3.6906282075727465E-2</v>
      </c>
      <c r="CK31" s="960"/>
      <c r="CL31" s="969"/>
      <c r="CM31" s="1165">
        <f t="shared" si="51"/>
        <v>3.7188033030823936E-2</v>
      </c>
      <c r="CN31" s="962">
        <f t="shared" si="52"/>
        <v>1.5359137508818076E-2</v>
      </c>
      <c r="CO31" s="962">
        <f t="shared" si="52"/>
        <v>3.5315530142999152E-3</v>
      </c>
      <c r="CP31" s="962">
        <f t="shared" si="52"/>
        <v>8.3900046842040575E-3</v>
      </c>
      <c r="CQ31" s="960"/>
      <c r="CR31" s="969"/>
      <c r="CS31" s="1165">
        <f t="shared" si="53"/>
        <v>1.1877131625233767E-2</v>
      </c>
      <c r="CT31" s="962">
        <f t="shared" si="54"/>
        <v>2.6100012871469569E-2</v>
      </c>
      <c r="CU31" s="962">
        <f t="shared" si="54"/>
        <v>2.4934931646595548E-2</v>
      </c>
      <c r="CV31" s="962">
        <f t="shared" si="54"/>
        <v>2.285547356242261E-2</v>
      </c>
      <c r="CW31" s="960"/>
      <c r="CX31" s="1632"/>
      <c r="CY31" s="1165">
        <f t="shared" si="55"/>
        <v>2.8809346495520291E-2</v>
      </c>
      <c r="CZ31" s="962">
        <f t="shared" si="56"/>
        <v>1.8477259458556494E-2</v>
      </c>
      <c r="DA31" s="962">
        <f t="shared" si="56"/>
        <v>2.2348500637225821E-2</v>
      </c>
      <c r="DB31" s="962">
        <f t="shared" si="56"/>
        <v>2.6884639097712548E-2</v>
      </c>
      <c r="DC31" s="960"/>
      <c r="DD31" s="1632"/>
      <c r="DE31" s="1165">
        <f t="shared" si="57"/>
        <v>1.76567195218994E-2</v>
      </c>
      <c r="DF31" s="962">
        <f t="shared" si="58"/>
        <v>2.4237617425166613E-2</v>
      </c>
      <c r="DG31" s="962">
        <f t="shared" si="58"/>
        <v>2.359561354320916E-2</v>
      </c>
      <c r="DH31" s="962">
        <f t="shared" si="58"/>
        <v>2.1563004445435796E-2</v>
      </c>
      <c r="DI31" s="960"/>
      <c r="DJ31" s="1632"/>
      <c r="DK31" s="1632"/>
      <c r="DL31" s="2366" t="s">
        <v>351</v>
      </c>
      <c r="DM31" s="2367"/>
      <c r="DN31" s="2367"/>
      <c r="DO31" s="2367"/>
      <c r="DP31" s="2367"/>
      <c r="DQ31" s="2367"/>
      <c r="DR31" s="2367"/>
      <c r="DS31" s="2367"/>
      <c r="DT31" s="2367"/>
      <c r="DU31" s="2367"/>
      <c r="DV31" s="2367"/>
      <c r="DW31" s="2367"/>
      <c r="DX31" s="2367"/>
      <c r="DY31" s="2367"/>
      <c r="DZ31" s="2367"/>
      <c r="EA31" s="2367"/>
      <c r="EB31" s="2367"/>
      <c r="EC31" s="2367"/>
      <c r="ED31" s="2367"/>
      <c r="EE31" s="2367"/>
      <c r="EF31" s="2367"/>
      <c r="EG31" s="2367"/>
      <c r="EH31" s="2367"/>
      <c r="EI31" s="2367"/>
      <c r="EJ31" s="2367"/>
      <c r="EK31" s="2367"/>
      <c r="EL31" s="2367"/>
      <c r="EM31" s="2367"/>
      <c r="EN31" s="2367"/>
    </row>
    <row r="32" spans="1:144" ht="11.25" customHeight="1">
      <c r="A32" s="457"/>
      <c r="B32" s="457"/>
      <c r="C32" s="457"/>
      <c r="D32" s="457"/>
      <c r="E32" s="909"/>
      <c r="F32" s="909"/>
      <c r="G32" s="909"/>
      <c r="H32" s="909"/>
      <c r="I32" s="909"/>
      <c r="J32" s="909"/>
      <c r="K32" s="909"/>
      <c r="L32" s="909"/>
      <c r="M32" s="909"/>
      <c r="N32" s="909"/>
      <c r="O32" s="909"/>
      <c r="P32" s="909"/>
      <c r="Q32" s="909"/>
      <c r="R32" s="909"/>
      <c r="S32" s="458"/>
      <c r="T32" s="458"/>
      <c r="U32" s="458"/>
      <c r="V32" s="458"/>
      <c r="W32" s="909"/>
      <c r="X32" s="909"/>
      <c r="Y32" s="458"/>
      <c r="Z32" s="458"/>
      <c r="AA32" s="458"/>
      <c r="AB32" s="458"/>
      <c r="AC32" s="909"/>
      <c r="AD32" s="909"/>
      <c r="AE32" s="458"/>
      <c r="AF32" s="458"/>
      <c r="AG32" s="458"/>
      <c r="AH32" s="458"/>
      <c r="AI32" s="909"/>
      <c r="AJ32" s="909"/>
      <c r="AK32" s="458"/>
      <c r="AL32" s="458"/>
      <c r="AM32" s="458"/>
      <c r="AN32" s="458"/>
      <c r="AO32" s="909"/>
      <c r="AP32" s="909"/>
      <c r="AQ32" s="459"/>
      <c r="AR32" s="459"/>
      <c r="AS32" s="459"/>
      <c r="AT32" s="459"/>
      <c r="AU32" s="909"/>
      <c r="AV32" s="909"/>
      <c r="AW32" s="459"/>
      <c r="AX32" s="459"/>
      <c r="AY32" s="459"/>
      <c r="AZ32" s="459"/>
      <c r="BA32" s="909"/>
      <c r="BB32" s="909"/>
      <c r="BC32" s="458"/>
      <c r="BD32" s="458"/>
      <c r="BE32" s="460"/>
      <c r="BF32" s="460"/>
      <c r="BG32" s="909"/>
      <c r="BH32" s="909"/>
      <c r="BI32" s="458"/>
      <c r="BJ32" s="458"/>
      <c r="BK32" s="460"/>
      <c r="BL32" s="460"/>
      <c r="BM32" s="909"/>
      <c r="BN32" s="909"/>
      <c r="BO32" s="458"/>
      <c r="BP32" s="909"/>
      <c r="BQ32" s="909"/>
      <c r="BR32" s="909"/>
      <c r="BS32" s="909"/>
      <c r="BT32" s="909"/>
      <c r="BU32" s="909"/>
      <c r="BV32" s="909"/>
      <c r="BW32" s="909"/>
      <c r="BX32" s="909"/>
      <c r="BY32" s="909"/>
      <c r="BZ32" s="909"/>
      <c r="CA32" s="909"/>
      <c r="CB32" s="909"/>
      <c r="CC32" s="909"/>
      <c r="CD32" s="909"/>
      <c r="CE32" s="909"/>
      <c r="CF32" s="957"/>
      <c r="CG32" s="909"/>
      <c r="CH32" s="909"/>
      <c r="CI32" s="909"/>
      <c r="CJ32" s="909"/>
      <c r="CK32" s="909"/>
      <c r="CL32" s="957"/>
      <c r="CM32" s="909"/>
      <c r="CN32" s="909"/>
      <c r="CO32" s="909"/>
      <c r="CP32" s="909"/>
      <c r="CQ32" s="909"/>
      <c r="CR32" s="957"/>
      <c r="CS32" s="909"/>
      <c r="CT32" s="909"/>
      <c r="CU32" s="909"/>
      <c r="CV32" s="909"/>
      <c r="CW32" s="909"/>
      <c r="CX32" s="1384"/>
      <c r="CY32" s="909"/>
      <c r="CZ32" s="909"/>
      <c r="DA32" s="909"/>
      <c r="DB32" s="909"/>
      <c r="DC32" s="909"/>
      <c r="DD32" s="1384"/>
      <c r="DE32" s="909"/>
      <c r="DF32" s="909"/>
      <c r="DG32" s="909"/>
      <c r="DH32" s="909"/>
      <c r="DI32" s="909"/>
      <c r="DJ32" s="1384"/>
      <c r="DK32" s="1384"/>
      <c r="DL32" s="2368"/>
      <c r="DM32" s="2365"/>
      <c r="DN32" s="2365"/>
      <c r="DO32" s="2365"/>
      <c r="DP32" s="2365"/>
      <c r="DQ32" s="2365"/>
      <c r="DR32" s="2365"/>
      <c r="DS32" s="2365"/>
      <c r="DT32" s="2365"/>
      <c r="DU32" s="2365"/>
      <c r="DV32" s="2365"/>
      <c r="DW32" s="2365"/>
      <c r="DX32" s="2365"/>
      <c r="DY32" s="2365"/>
      <c r="DZ32" s="2365"/>
      <c r="EA32" s="2365"/>
      <c r="EB32" s="2365"/>
      <c r="EC32" s="2365"/>
      <c r="ED32" s="2365"/>
      <c r="EE32" s="2365"/>
      <c r="EF32" s="2365"/>
      <c r="EG32" s="2365"/>
      <c r="EH32" s="2365"/>
      <c r="EI32" s="2365"/>
      <c r="EJ32" s="2365"/>
      <c r="EK32" s="2365"/>
      <c r="EL32" s="2365"/>
      <c r="EM32" s="2365"/>
      <c r="EN32" s="2365"/>
    </row>
    <row r="33" spans="1:144" ht="11.25" customHeight="1">
      <c r="A33" s="951" t="s">
        <v>249</v>
      </c>
      <c r="B33" s="952"/>
      <c r="C33" s="952"/>
      <c r="D33" s="952"/>
      <c r="E33" s="953"/>
      <c r="F33" s="953"/>
      <c r="G33" s="953"/>
      <c r="H33" s="953"/>
      <c r="I33" s="953"/>
      <c r="J33" s="953"/>
      <c r="K33" s="953"/>
      <c r="L33" s="953"/>
      <c r="M33" s="953"/>
      <c r="N33" s="953"/>
      <c r="O33" s="953"/>
      <c r="P33" s="953"/>
      <c r="Q33" s="953"/>
      <c r="R33" s="954"/>
      <c r="S33" s="956"/>
      <c r="T33" s="954"/>
      <c r="U33" s="954"/>
      <c r="V33" s="954"/>
      <c r="W33" s="953"/>
      <c r="X33" s="954"/>
      <c r="Y33" s="956"/>
      <c r="Z33" s="954"/>
      <c r="AA33" s="954"/>
      <c r="AB33" s="954"/>
      <c r="AC33" s="953"/>
      <c r="AD33" s="954"/>
      <c r="AE33" s="956"/>
      <c r="AF33" s="954"/>
      <c r="AG33" s="954"/>
      <c r="AH33" s="954"/>
      <c r="AI33" s="953"/>
      <c r="AJ33" s="954"/>
      <c r="AK33" s="956"/>
      <c r="AL33" s="954"/>
      <c r="AM33" s="954"/>
      <c r="AN33" s="954"/>
      <c r="AO33" s="953"/>
      <c r="AP33" s="954"/>
      <c r="AQ33" s="956"/>
      <c r="AR33" s="954"/>
      <c r="AS33" s="954"/>
      <c r="AT33" s="954"/>
      <c r="AU33" s="953"/>
      <c r="AV33" s="954"/>
      <c r="AW33" s="956"/>
      <c r="AX33" s="954"/>
      <c r="AY33" s="954"/>
      <c r="AZ33" s="955"/>
      <c r="BA33" s="953"/>
      <c r="BB33" s="954"/>
      <c r="BC33" s="956"/>
      <c r="BD33" s="954"/>
      <c r="BE33" s="954"/>
      <c r="BF33" s="955"/>
      <c r="BG33" s="953"/>
      <c r="BH33" s="954"/>
      <c r="BI33" s="956"/>
      <c r="BJ33" s="954"/>
      <c r="BK33" s="954"/>
      <c r="BL33" s="955"/>
      <c r="BM33" s="953"/>
      <c r="BN33" s="953"/>
      <c r="BO33" s="956"/>
      <c r="BP33" s="954"/>
      <c r="BQ33" s="954"/>
      <c r="BR33" s="955"/>
      <c r="BS33" s="953"/>
      <c r="BT33" s="953"/>
      <c r="BU33" s="956"/>
      <c r="BV33" s="954"/>
      <c r="BW33" s="954"/>
      <c r="BX33" s="955"/>
      <c r="BY33" s="953"/>
      <c r="BZ33" s="953"/>
      <c r="CA33" s="956"/>
      <c r="CB33" s="954"/>
      <c r="CC33" s="954"/>
      <c r="CD33" s="955"/>
      <c r="CE33" s="953"/>
      <c r="CF33" s="949"/>
      <c r="CG33" s="956"/>
      <c r="CH33" s="954"/>
      <c r="CI33" s="954"/>
      <c r="CJ33" s="955"/>
      <c r="CK33" s="953"/>
      <c r="CL33" s="949"/>
      <c r="CM33" s="956"/>
      <c r="CN33" s="954"/>
      <c r="CO33" s="954"/>
      <c r="CP33" s="955"/>
      <c r="CQ33" s="953"/>
      <c r="CR33" s="949"/>
      <c r="CS33" s="956"/>
      <c r="CT33" s="954"/>
      <c r="CU33" s="954"/>
      <c r="CV33" s="955"/>
      <c r="CW33" s="953"/>
      <c r="CX33" s="1384"/>
      <c r="CY33" s="956"/>
      <c r="CZ33" s="954"/>
      <c r="DA33" s="954"/>
      <c r="DB33" s="955"/>
      <c r="DC33" s="953"/>
      <c r="DD33" s="1384"/>
      <c r="DE33" s="956"/>
      <c r="DF33" s="954"/>
      <c r="DG33" s="954"/>
      <c r="DH33" s="955"/>
      <c r="DI33" s="953"/>
      <c r="DJ33" s="1384"/>
      <c r="DK33" s="1384"/>
      <c r="DL33" s="2369"/>
      <c r="DM33" s="2365"/>
      <c r="DN33" s="2365"/>
      <c r="DO33" s="2365"/>
      <c r="DP33" s="2365"/>
      <c r="DQ33" s="2365"/>
      <c r="DR33" s="2365"/>
      <c r="DS33" s="2365"/>
      <c r="DT33" s="2365"/>
      <c r="DU33" s="2365"/>
      <c r="DV33" s="2365"/>
      <c r="DW33" s="2365"/>
      <c r="DX33" s="2365"/>
      <c r="DY33" s="2365"/>
      <c r="DZ33" s="2365"/>
      <c r="EA33" s="2365"/>
      <c r="EB33" s="2365"/>
      <c r="EC33" s="2365"/>
      <c r="ED33" s="2365"/>
      <c r="EE33" s="2365"/>
      <c r="EF33" s="2365"/>
      <c r="EG33" s="2365"/>
      <c r="EH33" s="2365"/>
      <c r="EI33" s="2365"/>
      <c r="EJ33" s="2365"/>
      <c r="EK33" s="2365"/>
      <c r="EL33" s="2365"/>
      <c r="EM33" s="2365"/>
      <c r="EN33" s="2365"/>
    </row>
    <row r="34" spans="1:144" s="583" customFormat="1" ht="11.25" customHeight="1">
      <c r="A34" s="924" t="str">
        <f>A18</f>
        <v>BSI</v>
      </c>
      <c r="B34" s="925"/>
      <c r="C34" s="934"/>
      <c r="D34" s="933"/>
      <c r="E34" s="934"/>
      <c r="F34" s="934"/>
      <c r="G34" s="934"/>
      <c r="H34" s="934"/>
      <c r="I34" s="934"/>
      <c r="J34" s="934"/>
      <c r="K34" s="934"/>
      <c r="L34" s="934"/>
      <c r="M34" s="934"/>
      <c r="N34" s="934"/>
      <c r="O34" s="934"/>
      <c r="P34" s="934"/>
      <c r="Q34" s="934"/>
      <c r="R34" s="935"/>
      <c r="S34" s="1164"/>
      <c r="T34" s="927"/>
      <c r="U34" s="927"/>
      <c r="V34" s="936"/>
      <c r="W34" s="934"/>
      <c r="X34" s="935"/>
      <c r="Y34" s="1164"/>
      <c r="Z34" s="927"/>
      <c r="AA34" s="927"/>
      <c r="AB34" s="936"/>
      <c r="AC34" s="934"/>
      <c r="AD34" s="935"/>
      <c r="AE34" s="1164"/>
      <c r="AF34" s="927"/>
      <c r="AG34" s="927"/>
      <c r="AH34" s="936"/>
      <c r="AI34" s="937">
        <f>RevBuild!AI56</f>
        <v>3.6367269457488263E-2</v>
      </c>
      <c r="AJ34" s="938"/>
      <c r="AK34" s="928">
        <f>RevBuild!AK56</f>
        <v>-7.5054229934924083E-2</v>
      </c>
      <c r="AL34" s="929">
        <f>RevBuild!AL56</f>
        <v>-7.3927392739273928E-2</v>
      </c>
      <c r="AM34" s="929">
        <f>RevBuild!AM56</f>
        <v>-1.6680923866552608E-2</v>
      </c>
      <c r="AN34" s="930">
        <f>RevBuild!AN56</f>
        <v>9.9413298565840955E-2</v>
      </c>
      <c r="AO34" s="937">
        <f>RevBuild!AO56</f>
        <v>-1.2196257331719579E-2</v>
      </c>
      <c r="AP34" s="938"/>
      <c r="AQ34" s="928">
        <f>RevBuild!AQ56</f>
        <v>7.8264758497316636E-2</v>
      </c>
      <c r="AR34" s="929">
        <f>RevBuild!AR56</f>
        <v>-1.9063406547865726E-2</v>
      </c>
      <c r="AS34" s="929">
        <f>RevBuild!AS56</f>
        <v>-6.2798092209856923E-2</v>
      </c>
      <c r="AT34" s="930">
        <f>RevBuild!AT56</f>
        <v>-2.9751588677065278E-2</v>
      </c>
      <c r="AU34" s="937">
        <f>RevBuild!AU56</f>
        <v>-1.2421191305166085E-2</v>
      </c>
      <c r="AV34" s="938"/>
      <c r="AW34" s="919">
        <f>RevBuild!AW56</f>
        <v>2.4587014982712256E-2</v>
      </c>
      <c r="AX34" s="929">
        <f>RevBuild!AX56</f>
        <v>0.12109512109512111</v>
      </c>
      <c r="AY34" s="929">
        <f>RevBuild!AY56</f>
        <v>9.2254733218588639E-2</v>
      </c>
      <c r="AZ34" s="930">
        <f>RevBuild!AZ56</f>
        <v>1.7976373908577287E-2</v>
      </c>
      <c r="BA34" s="937">
        <f>RevBuild!BA56</f>
        <v>6.097461431719859E-2</v>
      </c>
      <c r="BB34" s="938"/>
      <c r="BC34" s="928">
        <f>RevBuild!BC56</f>
        <v>-1.1018463371054199E-2</v>
      </c>
      <c r="BD34" s="929">
        <f>RevBuild!BD56</f>
        <v>-6.774278909764489E-2</v>
      </c>
      <c r="BE34" s="929">
        <f>RevBuild!BE56</f>
        <v>-7.1971616827166754E-2</v>
      </c>
      <c r="BF34" s="930">
        <f>RevBuild!BF56</f>
        <v>-1.9291161956034079E-2</v>
      </c>
      <c r="BG34" s="937">
        <f>RevBuild!BG56</f>
        <v>-4.2661347403641976E-2</v>
      </c>
      <c r="BH34" s="938"/>
      <c r="BI34" s="928">
        <f>RevBuild!BI56</f>
        <v>-1.7720179846601427E-2</v>
      </c>
      <c r="BJ34" s="929">
        <f>RevBuild!BJ56</f>
        <v>-9.82367758186398E-3</v>
      </c>
      <c r="BK34" s="929">
        <f>RevBuild!BK56</f>
        <v>1.7119100024455857E-3</v>
      </c>
      <c r="BL34" s="939">
        <f>RevBuild!BL56</f>
        <v>1.0371292263015967E-3</v>
      </c>
      <c r="BM34" s="940">
        <f>RevBuild!BM56</f>
        <v>-5.6419182522057503E-3</v>
      </c>
      <c r="BN34" s="940"/>
      <c r="BO34" s="928">
        <f>RevBuild!BO56</f>
        <v>-3.003003003003003E-3</v>
      </c>
      <c r="BP34" s="929">
        <f>RevBuild!BP56</f>
        <v>2.0161290322580645E-2</v>
      </c>
      <c r="BQ34" s="929">
        <f>RevBuild!BQ56</f>
        <v>-3.8967364831953241E-3</v>
      </c>
      <c r="BR34" s="939">
        <f>RevBuild!BR56</f>
        <v>-6.1252446183953035E-2</v>
      </c>
      <c r="BS34" s="940">
        <f>RevBuild!BS56</f>
        <v>-1.4916642293068149E-2</v>
      </c>
      <c r="BT34" s="940"/>
      <c r="BU34" s="929">
        <f>RevBuild!BU56</f>
        <v>-0.10459507489210461</v>
      </c>
      <c r="BV34" s="929">
        <f>RevBuild!BV56</f>
        <v>-0.10842230130486359</v>
      </c>
      <c r="BW34" s="929">
        <f>RevBuild!BW56</f>
        <v>-0.105</v>
      </c>
      <c r="BX34" s="939">
        <f>RevBuild!BX56</f>
        <v>-7.0126313577133226E-2</v>
      </c>
      <c r="BY34" s="940">
        <f>RevBuild!BY56</f>
        <v>-9.5145643032462354E-2</v>
      </c>
      <c r="BZ34" s="940"/>
      <c r="CA34" s="929">
        <f>RevBuild!CA56</f>
        <v>-7.6488549618322216E-3</v>
      </c>
      <c r="CB34" s="929">
        <f>RevBuild!CB56</f>
        <v>1.9661387220260007E-5</v>
      </c>
      <c r="CC34" s="929">
        <f>RevBuild!CC56</f>
        <v>2E-3</v>
      </c>
      <c r="CD34" s="939">
        <f>RevBuild!CD56</f>
        <v>-1.2999999999999999E-2</v>
      </c>
      <c r="CE34" s="940">
        <f>RevBuild!CE56</f>
        <v>-5.2999332140269313E-3</v>
      </c>
      <c r="CG34" s="928">
        <f>RevBuild!CG56</f>
        <v>-0.02</v>
      </c>
      <c r="CH34" s="929">
        <f>RevBuild!CH56</f>
        <v>-1.7999999999999999E-2</v>
      </c>
      <c r="CI34" s="929">
        <f>RevBuild!CI56</f>
        <v>2.4E-2</v>
      </c>
      <c r="CJ34" s="939">
        <f>RevBuild!CJ56</f>
        <v>5.1999999999999998E-2</v>
      </c>
      <c r="CK34" s="940">
        <f>RevBuild!CK56</f>
        <v>1.2232731334946935E-2</v>
      </c>
      <c r="CM34" s="928">
        <f>RevBuild!CM56</f>
        <v>6.6680741425468634E-2</v>
      </c>
      <c r="CN34" s="929">
        <f>RevBuild!CN56</f>
        <v>5.0067583566292144E-2</v>
      </c>
      <c r="CO34" s="929">
        <f>RevBuild!CO56</f>
        <v>2.4942821356928498E-2</v>
      </c>
      <c r="CP34" s="939">
        <f>RevBuild!CP56</f>
        <v>2.6288462675898794E-2</v>
      </c>
      <c r="CQ34" s="940">
        <f>RevBuild!CQ56</f>
        <v>4.0347749324725082E-2</v>
      </c>
      <c r="CS34" s="928">
        <f>RevBuild!CS56</f>
        <v>0</v>
      </c>
      <c r="CT34" s="929">
        <f>RevBuild!CT56</f>
        <v>0</v>
      </c>
      <c r="CU34" s="929">
        <f>RevBuild!CU56</f>
        <v>0</v>
      </c>
      <c r="CV34" s="939">
        <f>RevBuild!CV56</f>
        <v>0</v>
      </c>
      <c r="CW34" s="940">
        <f>RevBuild!CW56</f>
        <v>0</v>
      </c>
      <c r="CX34" s="1346"/>
      <c r="CY34" s="928">
        <f>RevBuild!CY56</f>
        <v>0</v>
      </c>
      <c r="CZ34" s="929">
        <f>RevBuild!CZ56</f>
        <v>0</v>
      </c>
      <c r="DA34" s="929">
        <f>RevBuild!DA56</f>
        <v>0</v>
      </c>
      <c r="DB34" s="939">
        <f>RevBuild!DB56</f>
        <v>0</v>
      </c>
      <c r="DC34" s="940">
        <f>RevBuild!DC56</f>
        <v>0</v>
      </c>
      <c r="DD34" s="1346"/>
      <c r="DE34" s="928">
        <f>RevBuild!DE56</f>
        <v>0</v>
      </c>
      <c r="DF34" s="929">
        <f>RevBuild!DF56</f>
        <v>0</v>
      </c>
      <c r="DG34" s="929">
        <f>RevBuild!DG56</f>
        <v>0</v>
      </c>
      <c r="DH34" s="939">
        <f>RevBuild!DH56</f>
        <v>0</v>
      </c>
      <c r="DI34" s="940">
        <f>RevBuild!DI56</f>
        <v>0</v>
      </c>
      <c r="DJ34" s="1346"/>
      <c r="DK34" s="1346"/>
      <c r="DL34" s="2190"/>
      <c r="DM34" s="2195"/>
      <c r="DN34" s="2195"/>
      <c r="DO34" s="2195"/>
      <c r="DP34" s="2195"/>
      <c r="DQ34" s="2195"/>
      <c r="DR34" s="2195"/>
      <c r="DS34" s="2195"/>
      <c r="DT34" s="2195"/>
      <c r="DU34" s="2195"/>
      <c r="DV34" s="2195"/>
      <c r="DW34" s="2195"/>
      <c r="DX34" s="2195"/>
      <c r="DY34" s="2195"/>
      <c r="DZ34" s="2195"/>
      <c r="EA34" s="2195"/>
      <c r="EB34" s="2195"/>
      <c r="EC34" s="2195"/>
      <c r="ED34" s="2195"/>
      <c r="EE34" s="2195"/>
      <c r="EF34" s="2200"/>
      <c r="EG34" s="2196"/>
      <c r="EH34" s="2194"/>
      <c r="EI34" s="2194"/>
      <c r="EJ34" s="2194"/>
      <c r="EK34" s="2194"/>
      <c r="EL34" s="2194"/>
    </row>
    <row r="35" spans="1:144" s="583" customFormat="1" ht="11.25" customHeight="1">
      <c r="A35" s="924" t="str">
        <f>A22</f>
        <v>BEST</v>
      </c>
      <c r="B35" s="925"/>
      <c r="C35" s="934"/>
      <c r="D35" s="933"/>
      <c r="E35" s="934"/>
      <c r="F35" s="934"/>
      <c r="G35" s="934"/>
      <c r="H35" s="934"/>
      <c r="I35" s="934"/>
      <c r="J35" s="934"/>
      <c r="K35" s="934"/>
      <c r="L35" s="934"/>
      <c r="M35" s="934"/>
      <c r="N35" s="934"/>
      <c r="O35" s="934"/>
      <c r="P35" s="934"/>
      <c r="Q35" s="934"/>
      <c r="R35" s="935"/>
      <c r="S35" s="1164"/>
      <c r="T35" s="927"/>
      <c r="U35" s="927"/>
      <c r="V35" s="936"/>
      <c r="W35" s="934"/>
      <c r="X35" s="935"/>
      <c r="Y35" s="1164"/>
      <c r="Z35" s="927"/>
      <c r="AA35" s="927"/>
      <c r="AB35" s="936"/>
      <c r="AC35" s="934"/>
      <c r="AD35" s="935"/>
      <c r="AE35" s="1164"/>
      <c r="AF35" s="927"/>
      <c r="AG35" s="927"/>
      <c r="AH35" s="936"/>
      <c r="AI35" s="937">
        <f>RevBuild!AI68</f>
        <v>8.2228116710875321E-2</v>
      </c>
      <c r="AJ35" s="938"/>
      <c r="AK35" s="928">
        <f>RevBuild!AK68</f>
        <v>-0.13131313131313133</v>
      </c>
      <c r="AL35" s="929">
        <f>RevBuild!AL68</f>
        <v>-0.16</v>
      </c>
      <c r="AM35" s="929">
        <f>RevBuild!AM68</f>
        <v>-6.8627450980392163E-2</v>
      </c>
      <c r="AN35" s="930">
        <f>RevBuild!AN68</f>
        <v>0.22018348623853207</v>
      </c>
      <c r="AO35" s="937">
        <f>RevBuild!AO68</f>
        <v>-3.6781609195402298E-2</v>
      </c>
      <c r="AP35" s="938"/>
      <c r="AQ35" s="928">
        <f>RevBuild!AQ68</f>
        <v>0.14814814814814814</v>
      </c>
      <c r="AR35" s="929">
        <f>RevBuild!AR68</f>
        <v>-8.7591240875912399E-2</v>
      </c>
      <c r="AS35" s="929">
        <f>RevBuild!AS68</f>
        <v>-0.1619718309859155</v>
      </c>
      <c r="AT35" s="930">
        <f>RevBuild!AT68</f>
        <v>-0.1092436974789916</v>
      </c>
      <c r="AU35" s="937">
        <f>RevBuild!AU68</f>
        <v>-8.193979933110368E-2</v>
      </c>
      <c r="AV35" s="938"/>
      <c r="AW35" s="928">
        <f>RevBuild!AW68</f>
        <v>-9.6618357487922718E-3</v>
      </c>
      <c r="AX35" s="929">
        <f>RevBuild!AX68</f>
        <v>0.17127071823204418</v>
      </c>
      <c r="AY35" s="929">
        <f>RevBuild!AY68</f>
        <v>0.10714285714285715</v>
      </c>
      <c r="AZ35" s="930">
        <f>RevBuild!AZ68</f>
        <v>-1.023890784982933E-2</v>
      </c>
      <c r="BA35" s="937">
        <f>RevBuild!BA68</f>
        <v>5.5248618784530384E-2</v>
      </c>
      <c r="BB35" s="938"/>
      <c r="BC35" s="928">
        <f>RevBuild!BC68</f>
        <v>-5.4166666666666669E-2</v>
      </c>
      <c r="BD35" s="929">
        <f>RevBuild!BD68</f>
        <v>-0.10676156583629892</v>
      </c>
      <c r="BE35" s="929">
        <f>RevBuild!BE68</f>
        <v>-0.19494584837545129</v>
      </c>
      <c r="BF35" s="930">
        <f>RevBuild!BF68</f>
        <v>-4.1666666666666664E-2</v>
      </c>
      <c r="BG35" s="937">
        <f>RevBuild!BG68</f>
        <v>-9.7883597883597878E-2</v>
      </c>
      <c r="BH35" s="938"/>
      <c r="BI35" s="928">
        <f>RevBuild!BI68</f>
        <v>6.6666666666666671E-3</v>
      </c>
      <c r="BJ35" s="929">
        <f>RevBuild!BJ68</f>
        <v>2.3076923076923075E-2</v>
      </c>
      <c r="BK35" s="929">
        <f>RevBuild!BK68</f>
        <v>4.0094339622641507E-2</v>
      </c>
      <c r="BL35" s="941">
        <f>RevBuild!BL68</f>
        <v>5.8201058201058191E-2</v>
      </c>
      <c r="BM35" s="937">
        <f>RevBuild!BM68</f>
        <v>3.450807635829662E-2</v>
      </c>
      <c r="BN35" s="937"/>
      <c r="BO35" s="928">
        <f>RevBuild!BO68</f>
        <v>4.1666666666666664E-2</v>
      </c>
      <c r="BP35" s="929">
        <f>RevBuild!BP68</f>
        <v>5.3908355795148244E-2</v>
      </c>
      <c r="BQ35" s="929">
        <f>RevBuild!BQ68</f>
        <v>3.0769230769230795E-3</v>
      </c>
      <c r="BR35" s="941">
        <f>RevBuild!BR68</f>
        <v>-7.0815450643776826E-2</v>
      </c>
      <c r="BS35" s="937">
        <f>RevBuild!BS68</f>
        <v>6.7842605156038952E-4</v>
      </c>
      <c r="BT35" s="937"/>
      <c r="BU35" s="929">
        <f>RevBuild!BU68</f>
        <v>-0.16091954022988486</v>
      </c>
      <c r="BV35" s="929">
        <f>RevBuild!BV68</f>
        <v>-0.16666666666666663</v>
      </c>
      <c r="BW35" s="929">
        <f>RevBuild!BW68</f>
        <v>-0.1515</v>
      </c>
      <c r="BX35" s="941">
        <f>RevBuild!BX68</f>
        <v>-0.15896185286103554</v>
      </c>
      <c r="BY35" s="937">
        <f>RevBuild!BY68</f>
        <v>-0.16395752895904861</v>
      </c>
      <c r="BZ35" s="937"/>
      <c r="CA35" s="929">
        <f>RevBuild!CA68</f>
        <v>-1.2909090909090979E-2</v>
      </c>
      <c r="CB35" s="929">
        <f>RevBuild!CB68</f>
        <v>0</v>
      </c>
      <c r="CC35" s="929">
        <f>RevBuild!CC68</f>
        <v>2E-3</v>
      </c>
      <c r="CD35" s="941">
        <f>RevBuild!CD68</f>
        <v>-1.2999999999999999E-2</v>
      </c>
      <c r="CE35" s="937">
        <f>RevBuild!CE68</f>
        <v>-5.2999332140269313E-3</v>
      </c>
      <c r="CG35" s="928">
        <f>RevBuild!CG68</f>
        <v>-0.02</v>
      </c>
      <c r="CH35" s="929">
        <f>RevBuild!CH68</f>
        <v>-1.7999999999999999E-2</v>
      </c>
      <c r="CI35" s="929">
        <f>RevBuild!CI68</f>
        <v>2.4E-2</v>
      </c>
      <c r="CJ35" s="941">
        <f>RevBuild!CJ68</f>
        <v>5.1999999999999998E-2</v>
      </c>
      <c r="CK35" s="937">
        <f>RevBuild!CK68</f>
        <v>1.2232731334946935E-2</v>
      </c>
      <c r="CM35" s="928">
        <f>RevBuild!CM68</f>
        <v>6.6680741425468634E-2</v>
      </c>
      <c r="CN35" s="929">
        <f>RevBuild!CN68</f>
        <v>5.0067583566292144E-2</v>
      </c>
      <c r="CO35" s="929">
        <f>RevBuild!CO68</f>
        <v>2.4942821356928498E-2</v>
      </c>
      <c r="CP35" s="941">
        <f>RevBuild!CP68</f>
        <v>2.6288462675898794E-2</v>
      </c>
      <c r="CQ35" s="937">
        <f>RevBuild!CQ68</f>
        <v>4.0347749324725082E-2</v>
      </c>
      <c r="CS35" s="928">
        <f>RevBuild!CS68</f>
        <v>0</v>
      </c>
      <c r="CT35" s="929">
        <f>RevBuild!CT68</f>
        <v>0</v>
      </c>
      <c r="CU35" s="929">
        <f>RevBuild!CU68</f>
        <v>0</v>
      </c>
      <c r="CV35" s="941">
        <f>RevBuild!CV68</f>
        <v>0</v>
      </c>
      <c r="CW35" s="937">
        <f>RevBuild!CW68</f>
        <v>0</v>
      </c>
      <c r="CX35" s="1346"/>
      <c r="CY35" s="928">
        <f>RevBuild!CY68</f>
        <v>0</v>
      </c>
      <c r="CZ35" s="929">
        <f>RevBuild!CZ68</f>
        <v>0</v>
      </c>
      <c r="DA35" s="929">
        <f>RevBuild!DA68</f>
        <v>0</v>
      </c>
      <c r="DB35" s="941">
        <f>RevBuild!DB68</f>
        <v>0</v>
      </c>
      <c r="DC35" s="937">
        <f>RevBuild!DC68</f>
        <v>0</v>
      </c>
      <c r="DD35" s="1346"/>
      <c r="DE35" s="928">
        <f>RevBuild!DE68</f>
        <v>0</v>
      </c>
      <c r="DF35" s="929">
        <f>RevBuild!DF68</f>
        <v>0</v>
      </c>
      <c r="DG35" s="929">
        <f>RevBuild!DG68</f>
        <v>0</v>
      </c>
      <c r="DH35" s="941">
        <f>RevBuild!DH68</f>
        <v>0</v>
      </c>
      <c r="DI35" s="937">
        <f>RevBuild!DI68</f>
        <v>0</v>
      </c>
      <c r="DJ35" s="1346"/>
      <c r="DK35" s="1346"/>
      <c r="DL35" s="2197"/>
      <c r="DM35" s="2198"/>
      <c r="DN35" s="2198"/>
      <c r="DO35" s="2198"/>
      <c r="DP35" s="2198"/>
      <c r="DQ35" s="2198"/>
      <c r="DR35" s="2198"/>
      <c r="DS35" s="2198"/>
      <c r="DT35" s="2198"/>
      <c r="DU35" s="2198"/>
      <c r="DV35" s="2198"/>
      <c r="DW35" s="2198"/>
      <c r="DX35" s="2198"/>
      <c r="DY35" s="2198"/>
      <c r="DZ35" s="2198"/>
      <c r="EA35" s="2198"/>
      <c r="EB35" s="2198"/>
      <c r="EC35" s="2198"/>
      <c r="ED35" s="2198"/>
      <c r="EE35" s="2198"/>
      <c r="EF35" s="2198"/>
      <c r="EG35" s="2196"/>
      <c r="EH35" s="2194"/>
      <c r="EI35" s="2194"/>
      <c r="EJ35" s="2194"/>
      <c r="EK35" s="2194"/>
      <c r="EL35" s="2194"/>
    </row>
    <row r="36" spans="1:144" ht="11.25" customHeight="1">
      <c r="A36" s="958" t="s">
        <v>29</v>
      </c>
      <c r="B36" s="959"/>
      <c r="C36" s="960"/>
      <c r="D36" s="959"/>
      <c r="E36" s="960"/>
      <c r="F36" s="960"/>
      <c r="G36" s="960"/>
      <c r="H36" s="960"/>
      <c r="I36" s="960"/>
      <c r="J36" s="960"/>
      <c r="K36" s="960"/>
      <c r="L36" s="960"/>
      <c r="M36" s="960"/>
      <c r="N36" s="960"/>
      <c r="O36" s="960"/>
      <c r="P36" s="960"/>
      <c r="Q36" s="960"/>
      <c r="R36" s="961"/>
      <c r="S36" s="1165"/>
      <c r="T36" s="962"/>
      <c r="U36" s="962"/>
      <c r="V36" s="962"/>
      <c r="W36" s="960"/>
      <c r="X36" s="961"/>
      <c r="Y36" s="1165"/>
      <c r="Z36" s="962"/>
      <c r="AA36" s="962"/>
      <c r="AB36" s="962"/>
      <c r="AC36" s="960"/>
      <c r="AD36" s="961"/>
      <c r="AE36" s="1165"/>
      <c r="AF36" s="962"/>
      <c r="AG36" s="962"/>
      <c r="AH36" s="962"/>
      <c r="AI36" s="963">
        <f>RevBuild!AI78</f>
        <v>3.8260364199922514E-2</v>
      </c>
      <c r="AJ36" s="964"/>
      <c r="AK36" s="1158">
        <f>RevBuild!AK78</f>
        <v>-7.8052874527905991E-2</v>
      </c>
      <c r="AL36" s="965">
        <f>RevBuild!AL78</f>
        <v>-7.8330658105939005E-2</v>
      </c>
      <c r="AM36" s="965">
        <f>RevBuild!AM78</f>
        <v>-1.900041305245766E-2</v>
      </c>
      <c r="AN36" s="965">
        <f>RevBuild!AN78</f>
        <v>0.1043781725888325</v>
      </c>
      <c r="AO36" s="963">
        <f>RevBuild!AO78</f>
        <v>-1.3277933339355072E-2</v>
      </c>
      <c r="AP36" s="964"/>
      <c r="AQ36" s="1158">
        <f>RevBuild!AQ78</f>
        <v>8.1127982646420821E-2</v>
      </c>
      <c r="AR36" s="965">
        <f>RevBuild!AR78</f>
        <v>-2.3366336633663366E-2</v>
      </c>
      <c r="AS36" s="965">
        <f>RevBuild!AS78</f>
        <v>-6.8276122218030935E-2</v>
      </c>
      <c r="AT36" s="965">
        <f>RevBuild!AT78</f>
        <v>-3.4934497816593878E-2</v>
      </c>
      <c r="AU36" s="963">
        <f>RevBuild!AU78</f>
        <v>-1.6240466576940334E-2</v>
      </c>
      <c r="AV36" s="964"/>
      <c r="AW36" s="1158">
        <f>RevBuild!AW78</f>
        <v>2.2326251350378107E-2</v>
      </c>
      <c r="AX36" s="965">
        <f>RevBuild!AX78</f>
        <v>0.12329677633765372</v>
      </c>
      <c r="AY36" s="965">
        <f>RevBuild!AY78</f>
        <v>9.2520954223081889E-2</v>
      </c>
      <c r="AZ36" s="965">
        <f>RevBuild!AZ78</f>
        <v>1.6582552271088683E-2</v>
      </c>
      <c r="BA36" s="963">
        <f>RevBuild!BA78</f>
        <v>6.0464403402559583E-2</v>
      </c>
      <c r="BB36" s="964"/>
      <c r="BC36" s="1158">
        <f>RevBuild!BC78</f>
        <v>-1.3725490196078433E-2</v>
      </c>
      <c r="BD36" s="965">
        <f>RevBuild!BD78</f>
        <v>-7.1535393818544374E-2</v>
      </c>
      <c r="BE36" s="965">
        <f>RevBuild!BE78</f>
        <v>-7.9588910133843213E-2</v>
      </c>
      <c r="BF36" s="965">
        <f>RevBuild!BF78</f>
        <v>-2.0837718375078907E-2</v>
      </c>
      <c r="BG36" s="963">
        <f>RevBuild!BG78</f>
        <v>-4.6497547980868185E-2</v>
      </c>
      <c r="BH36" s="964"/>
      <c r="BI36" s="1158">
        <f>RevBuild!BI78</f>
        <v>-1.4792899408284023E-2</v>
      </c>
      <c r="BJ36" s="965">
        <f>RevBuild!BJ78</f>
        <v>-8.0817684811029245E-3</v>
      </c>
      <c r="BK36" s="965">
        <f>RevBuild!BK78</f>
        <v>4.9129075480125062E-3</v>
      </c>
      <c r="BL36" s="966">
        <f>RevBuild!BL78</f>
        <v>9.6655712352600046E-4</v>
      </c>
      <c r="BM36" s="963">
        <f>RevBuild!BM78</f>
        <v>-2.9585798816568047E-3</v>
      </c>
      <c r="BN36" s="963"/>
      <c r="BO36" s="1158">
        <f>RevBuild!BO78</f>
        <v>5.0838840874428053E-4</v>
      </c>
      <c r="BP36" s="965">
        <f>RevBuild!BP78</f>
        <v>2.2642338975599034E-2</v>
      </c>
      <c r="BQ36" s="965">
        <f>RevBuild!BQ78</f>
        <v>-3.4168564920273349E-3</v>
      </c>
      <c r="BR36" s="966">
        <f>RevBuild!BR78</f>
        <v>-6.2307552979532686E-2</v>
      </c>
      <c r="BS36" s="963">
        <f>RevBuild!BS78</f>
        <v>-1.3808850712188755E-2</v>
      </c>
      <c r="BT36" s="963"/>
      <c r="BU36" s="965">
        <f>RevBuild!BU78</f>
        <v>-0.11045551097474628</v>
      </c>
      <c r="BV36" s="965">
        <f>RevBuild!BV78</f>
        <v>-0.11499781372977701</v>
      </c>
      <c r="BW36" s="965">
        <f>RevBuild!BW78</f>
        <v>-0.10909957122439257</v>
      </c>
      <c r="BX36" s="966">
        <f>RevBuild!BX78</f>
        <v>-7.7165354330708646E-2</v>
      </c>
      <c r="BY36" s="963">
        <f>RevBuild!BY78</f>
        <v>-0.10194040577146331</v>
      </c>
      <c r="BZ36" s="963"/>
      <c r="CA36" s="965">
        <f>RevBuild!CA78</f>
        <v>-8.9999999999999993E-3</v>
      </c>
      <c r="CB36" s="965">
        <f>RevBuild!CB78</f>
        <v>0</v>
      </c>
      <c r="CC36" s="965">
        <f>RevBuild!CC78</f>
        <v>2E-3</v>
      </c>
      <c r="CD36" s="966">
        <f>RevBuild!CD78</f>
        <v>-1.2999999999999999E-2</v>
      </c>
      <c r="CE36" s="963">
        <f>RevBuild!CE78</f>
        <v>-5.2999332140269313E-3</v>
      </c>
      <c r="CF36" s="967"/>
      <c r="CG36" s="1158">
        <f>RevBuild!CG78</f>
        <v>-0.02</v>
      </c>
      <c r="CH36" s="965">
        <f>RevBuild!CH78</f>
        <v>-1.7999999999999999E-2</v>
      </c>
      <c r="CI36" s="965">
        <f>RevBuild!CI78</f>
        <v>2.4E-2</v>
      </c>
      <c r="CJ36" s="966">
        <f>RevBuild!CJ78</f>
        <v>5.1999999999999998E-2</v>
      </c>
      <c r="CK36" s="963">
        <f>RevBuild!CK78</f>
        <v>1.2232731334946935E-2</v>
      </c>
      <c r="CL36" s="967"/>
      <c r="CM36" s="1158">
        <f>RevBuild!CM78</f>
        <v>6.6680741425468634E-2</v>
      </c>
      <c r="CN36" s="965">
        <f>RevBuild!CN78</f>
        <v>5.0067583566292144E-2</v>
      </c>
      <c r="CO36" s="965">
        <f>RevBuild!CO78</f>
        <v>2.4942821356928498E-2</v>
      </c>
      <c r="CP36" s="966">
        <f>RevBuild!CP78</f>
        <v>2.6288462675898794E-2</v>
      </c>
      <c r="CQ36" s="963">
        <f>RevBuild!CQ78</f>
        <v>4.0347749324725082E-2</v>
      </c>
      <c r="CR36" s="967"/>
      <c r="CS36" s="1158">
        <f>RevBuild!CS78</f>
        <v>0</v>
      </c>
      <c r="CT36" s="965">
        <f>RevBuild!CT78</f>
        <v>0</v>
      </c>
      <c r="CU36" s="965">
        <f>RevBuild!CU78</f>
        <v>0</v>
      </c>
      <c r="CV36" s="966">
        <f>RevBuild!CV78</f>
        <v>0</v>
      </c>
      <c r="CW36" s="963">
        <f>RevBuild!CW78</f>
        <v>0</v>
      </c>
      <c r="CX36" s="2261"/>
      <c r="CY36" s="1158">
        <f>RevBuild!CY78</f>
        <v>0</v>
      </c>
      <c r="CZ36" s="965">
        <f>RevBuild!CZ78</f>
        <v>0</v>
      </c>
      <c r="DA36" s="965">
        <f>RevBuild!DA78</f>
        <v>0</v>
      </c>
      <c r="DB36" s="966">
        <f>RevBuild!DB78</f>
        <v>0</v>
      </c>
      <c r="DC36" s="963">
        <f>RevBuild!DC78</f>
        <v>0</v>
      </c>
      <c r="DD36" s="2261"/>
      <c r="DE36" s="1158">
        <f>RevBuild!DE78</f>
        <v>0</v>
      </c>
      <c r="DF36" s="965">
        <f>RevBuild!DF78</f>
        <v>0</v>
      </c>
      <c r="DG36" s="965">
        <f>RevBuild!DG78</f>
        <v>0</v>
      </c>
      <c r="DH36" s="966">
        <f>RevBuild!DH78</f>
        <v>0</v>
      </c>
      <c r="DI36" s="963">
        <f>RevBuild!DI78</f>
        <v>0</v>
      </c>
      <c r="DJ36" s="2261"/>
      <c r="DK36" s="2261"/>
      <c r="DL36" s="2197"/>
      <c r="DM36" s="2198"/>
      <c r="DN36" s="2198"/>
      <c r="DO36" s="2198"/>
      <c r="DP36" s="2198"/>
      <c r="DQ36" s="2198"/>
      <c r="DR36" s="2198"/>
      <c r="DS36" s="2198"/>
      <c r="DT36" s="2198"/>
      <c r="DU36" s="2198"/>
      <c r="DV36" s="2198"/>
      <c r="DW36" s="2198"/>
      <c r="DX36" s="2198"/>
      <c r="DY36" s="2198"/>
      <c r="DZ36" s="2198"/>
      <c r="EA36" s="2198"/>
      <c r="EB36" s="2198"/>
      <c r="EC36" s="2198"/>
      <c r="ED36" s="2198"/>
      <c r="EE36" s="2198"/>
      <c r="EF36" s="2198"/>
      <c r="EG36" s="2196"/>
      <c r="EH36" s="2194"/>
      <c r="EI36" s="2194"/>
      <c r="EJ36" s="2194"/>
      <c r="EK36" s="638"/>
      <c r="EL36" s="638"/>
    </row>
    <row r="37" spans="1:144" ht="11.25" customHeight="1">
      <c r="R37" s="2"/>
      <c r="X37" s="2"/>
      <c r="AD37" s="2"/>
      <c r="AJ37" s="2"/>
      <c r="AP37" s="2"/>
      <c r="AV37" s="2"/>
      <c r="AY37" s="18"/>
      <c r="BB37" s="2"/>
      <c r="BC37" s="463"/>
      <c r="BD37" s="463"/>
      <c r="BE37" s="463"/>
      <c r="BF37" s="463"/>
      <c r="BG37" s="463"/>
      <c r="BH37" s="911"/>
      <c r="BI37" s="463"/>
      <c r="BJ37" s="463"/>
      <c r="BK37" s="772"/>
      <c r="BL37" s="772"/>
      <c r="BM37" s="773"/>
      <c r="BN37" s="910"/>
      <c r="BO37" s="463"/>
      <c r="BP37" s="974"/>
      <c r="BQ37" s="974"/>
      <c r="BR37" s="773"/>
      <c r="BS37" s="773"/>
      <c r="BT37" s="910"/>
      <c r="BU37" s="974"/>
      <c r="BV37" s="974"/>
      <c r="BW37" s="974"/>
      <c r="BX37" s="773"/>
      <c r="BY37" s="773"/>
      <c r="BZ37" s="910"/>
      <c r="CA37" s="974"/>
      <c r="CB37" s="974"/>
      <c r="CC37" s="974"/>
      <c r="CD37" s="773"/>
      <c r="CE37" s="773"/>
      <c r="CG37" s="974"/>
      <c r="CH37" s="974"/>
      <c r="CI37" s="974"/>
      <c r="CJ37" s="773"/>
      <c r="CK37" s="773"/>
      <c r="CM37" s="974"/>
      <c r="CN37" s="974"/>
      <c r="CO37" s="974"/>
      <c r="CP37" s="773"/>
      <c r="CQ37" s="773"/>
      <c r="CS37" s="974"/>
      <c r="CT37" s="974"/>
      <c r="CU37" s="974"/>
      <c r="CV37" s="773"/>
      <c r="CW37" s="773"/>
      <c r="CX37" s="2263"/>
      <c r="CY37" s="974"/>
      <c r="CZ37" s="974"/>
      <c r="DA37" s="974"/>
      <c r="DB37" s="773"/>
      <c r="DC37" s="773"/>
      <c r="DD37" s="2263"/>
      <c r="DE37" s="974"/>
      <c r="DF37" s="974"/>
      <c r="DG37" s="974"/>
      <c r="DH37" s="773"/>
      <c r="DI37" s="773"/>
      <c r="DJ37" s="2263"/>
      <c r="DK37" s="2263"/>
      <c r="DL37" s="2197"/>
      <c r="DM37" s="2198"/>
      <c r="DN37" s="2198"/>
      <c r="DO37" s="2198"/>
      <c r="DP37" s="2198"/>
      <c r="DQ37" s="2198"/>
      <c r="DR37" s="2198"/>
      <c r="DS37" s="2198"/>
      <c r="DT37" s="2198"/>
      <c r="DU37" s="2198"/>
      <c r="DV37" s="2198"/>
      <c r="DW37" s="2198"/>
      <c r="DX37" s="2198"/>
      <c r="DY37" s="2198"/>
      <c r="DZ37" s="2198"/>
      <c r="EA37" s="2198"/>
      <c r="EB37" s="2198"/>
      <c r="EC37" s="2198"/>
      <c r="ED37" s="2198"/>
      <c r="EE37" s="2198"/>
      <c r="EF37" s="2198"/>
      <c r="EG37" s="2196"/>
      <c r="EH37" s="2194"/>
      <c r="EI37" s="2194"/>
      <c r="EJ37" s="2194"/>
      <c r="EK37" s="638"/>
      <c r="EL37" s="638"/>
    </row>
    <row r="38" spans="1:144" ht="11.25" customHeight="1">
      <c r="R38" s="2"/>
      <c r="X38" s="2"/>
      <c r="AD38" s="2"/>
      <c r="AJ38" s="2"/>
      <c r="AP38" s="2"/>
      <c r="AV38" s="2"/>
      <c r="AY38" s="18"/>
      <c r="BB38" s="2"/>
      <c r="BC38" s="463"/>
      <c r="BD38" s="463"/>
      <c r="BE38" s="463"/>
      <c r="BF38" s="463"/>
      <c r="BG38" s="463"/>
      <c r="BH38" s="911"/>
      <c r="BI38" s="463"/>
      <c r="BJ38" s="463"/>
      <c r="BK38" s="772"/>
      <c r="BL38" s="772"/>
      <c r="BM38" s="773"/>
      <c r="BN38" s="910"/>
      <c r="BO38" s="463"/>
      <c r="BP38" s="974"/>
      <c r="BQ38" s="773"/>
      <c r="BR38" s="773"/>
      <c r="BS38" s="773"/>
      <c r="BT38" s="910"/>
      <c r="BU38" s="974"/>
      <c r="BV38" s="974"/>
      <c r="BW38" s="773"/>
      <c r="BX38" s="773"/>
      <c r="BY38" s="773"/>
      <c r="BZ38" s="910"/>
      <c r="CA38" s="974"/>
      <c r="CB38" s="974"/>
      <c r="CC38" s="773"/>
      <c r="CD38" s="773"/>
      <c r="CE38" s="773"/>
      <c r="CG38" s="974"/>
      <c r="CH38" s="974"/>
      <c r="CI38" s="773"/>
      <c r="CJ38" s="773"/>
      <c r="CK38" s="773"/>
      <c r="CM38" s="974"/>
      <c r="CN38" s="974"/>
      <c r="CO38" s="773"/>
      <c r="CP38" s="773"/>
      <c r="CQ38" s="773"/>
      <c r="CS38" s="974"/>
      <c r="CT38" s="974"/>
      <c r="CU38" s="773"/>
      <c r="CV38" s="773"/>
      <c r="CW38" s="773"/>
      <c r="CX38" s="2263"/>
      <c r="CY38" s="974"/>
      <c r="CZ38" s="974"/>
      <c r="DA38" s="773"/>
      <c r="DB38" s="773"/>
      <c r="DC38" s="773"/>
      <c r="DD38" s="2263"/>
      <c r="DE38" s="974"/>
      <c r="DF38" s="974"/>
      <c r="DG38" s="773"/>
      <c r="DH38" s="773"/>
      <c r="DI38" s="773"/>
      <c r="DJ38" s="2263"/>
      <c r="DK38" s="2263"/>
      <c r="DL38" s="2197"/>
      <c r="DM38" s="2198"/>
      <c r="DN38" s="2198"/>
      <c r="DO38" s="2198"/>
      <c r="DP38" s="2198"/>
      <c r="DQ38" s="2198"/>
      <c r="DR38" s="2198"/>
      <c r="DS38" s="2198"/>
      <c r="DT38" s="2198"/>
      <c r="DU38" s="2198"/>
      <c r="DV38" s="2198"/>
      <c r="DW38" s="2198"/>
      <c r="DX38" s="2198"/>
      <c r="DY38" s="2198"/>
      <c r="DZ38" s="2198"/>
      <c r="EA38" s="2198"/>
      <c r="EB38" s="2198"/>
      <c r="EC38" s="2198"/>
      <c r="ED38" s="2198"/>
      <c r="EE38" s="2198"/>
      <c r="EF38" s="2198"/>
      <c r="EG38" s="2196"/>
      <c r="EH38" s="2194"/>
      <c r="EI38" s="2194"/>
      <c r="EJ38" s="2194"/>
      <c r="EK38" s="638"/>
      <c r="EL38" s="638"/>
    </row>
    <row r="39" spans="1:144" ht="11.25" customHeight="1">
      <c r="A39" s="951" t="s">
        <v>366</v>
      </c>
      <c r="B39" s="952"/>
      <c r="C39" s="952"/>
      <c r="D39" s="952"/>
      <c r="E39" s="953"/>
      <c r="F39" s="953"/>
      <c r="G39" s="953"/>
      <c r="H39" s="953"/>
      <c r="I39" s="953"/>
      <c r="J39" s="953"/>
      <c r="K39" s="953"/>
      <c r="L39" s="953"/>
      <c r="M39" s="953"/>
      <c r="N39" s="953"/>
      <c r="O39" s="953"/>
      <c r="P39" s="953"/>
      <c r="Q39" s="953"/>
      <c r="R39" s="954"/>
      <c r="S39" s="954"/>
      <c r="T39" s="954"/>
      <c r="U39" s="954"/>
      <c r="V39" s="954"/>
      <c r="W39" s="953"/>
      <c r="X39" s="954"/>
      <c r="Y39" s="954"/>
      <c r="Z39" s="954"/>
      <c r="AA39" s="954"/>
      <c r="AB39" s="954"/>
      <c r="AC39" s="953"/>
      <c r="AD39" s="954"/>
      <c r="AE39" s="954"/>
      <c r="AF39" s="954"/>
      <c r="AG39" s="954"/>
      <c r="AH39" s="954"/>
      <c r="AI39" s="953"/>
      <c r="AJ39" s="954"/>
      <c r="AK39" s="954"/>
      <c r="AL39" s="954"/>
      <c r="AM39" s="954"/>
      <c r="AN39" s="954"/>
      <c r="AO39" s="953"/>
      <c r="AP39" s="954"/>
      <c r="AQ39" s="954"/>
      <c r="AR39" s="954"/>
      <c r="AS39" s="954"/>
      <c r="AT39" s="954"/>
      <c r="AU39" s="953"/>
      <c r="AV39" s="954"/>
      <c r="AW39" s="954"/>
      <c r="AX39" s="954"/>
      <c r="AY39" s="954"/>
      <c r="AZ39" s="955"/>
      <c r="BA39" s="953"/>
      <c r="BB39" s="954"/>
      <c r="BC39" s="954"/>
      <c r="BD39" s="954"/>
      <c r="BE39" s="954"/>
      <c r="BF39" s="955"/>
      <c r="BG39" s="953"/>
      <c r="BH39" s="954"/>
      <c r="BI39" s="954"/>
      <c r="BJ39" s="954"/>
      <c r="BK39" s="954"/>
      <c r="BL39" s="955"/>
      <c r="BM39" s="953"/>
      <c r="BN39" s="953"/>
      <c r="BO39" s="954"/>
      <c r="BP39" s="955"/>
      <c r="BQ39" s="953"/>
      <c r="BR39" s="953"/>
      <c r="BS39" s="953"/>
      <c r="BT39" s="953"/>
      <c r="BU39" s="956"/>
      <c r="BV39" s="955"/>
      <c r="BW39" s="953"/>
      <c r="BX39" s="953"/>
      <c r="BY39" s="953"/>
      <c r="BZ39" s="953"/>
      <c r="CA39" s="956"/>
      <c r="CB39" s="955"/>
      <c r="CC39" s="953"/>
      <c r="CD39" s="953"/>
      <c r="CE39" s="953"/>
      <c r="CF39" s="949"/>
      <c r="CG39" s="956"/>
      <c r="CH39" s="955"/>
      <c r="CI39" s="953"/>
      <c r="CJ39" s="953"/>
      <c r="CK39" s="953"/>
      <c r="CL39" s="949"/>
      <c r="CM39" s="956"/>
      <c r="CN39" s="955"/>
      <c r="CO39" s="953"/>
      <c r="CP39" s="953"/>
      <c r="CQ39" s="953"/>
      <c r="CR39" s="949"/>
      <c r="CS39" s="956"/>
      <c r="CT39" s="955"/>
      <c r="CU39" s="953"/>
      <c r="CV39" s="953"/>
      <c r="CW39" s="953"/>
      <c r="CX39" s="1384"/>
      <c r="CY39" s="956"/>
      <c r="CZ39" s="955"/>
      <c r="DA39" s="953"/>
      <c r="DB39" s="953"/>
      <c r="DC39" s="953"/>
      <c r="DD39" s="1384"/>
      <c r="DE39" s="956"/>
      <c r="DF39" s="955"/>
      <c r="DG39" s="953"/>
      <c r="DH39" s="953"/>
      <c r="DI39" s="953"/>
      <c r="DJ39" s="1384"/>
      <c r="DK39" s="1384"/>
      <c r="DL39" s="2192"/>
      <c r="DM39" s="2192"/>
      <c r="DN39" s="2192"/>
      <c r="DO39" s="2192"/>
      <c r="DP39" s="2192"/>
      <c r="DQ39" s="2192"/>
      <c r="DR39" s="2192"/>
      <c r="DS39" s="2192"/>
      <c r="DT39" s="2192"/>
      <c r="DU39" s="2192"/>
      <c r="DV39" s="2192"/>
      <c r="DW39" s="2192"/>
      <c r="DX39" s="2192"/>
      <c r="DY39" s="2192"/>
      <c r="DZ39" s="2192"/>
      <c r="EA39" s="2192"/>
      <c r="EB39" s="2192"/>
      <c r="EC39" s="2192"/>
      <c r="ED39" s="2192"/>
      <c r="EE39" s="2192"/>
      <c r="EF39" s="2192"/>
      <c r="EG39" s="2196"/>
      <c r="EH39" s="2194"/>
      <c r="EI39" s="2194"/>
      <c r="EJ39" s="2194"/>
      <c r="EK39" s="638"/>
      <c r="EL39" s="638"/>
    </row>
    <row r="40" spans="1:144" s="583" customFormat="1" ht="11.25" customHeight="1">
      <c r="A40" s="915" t="s">
        <v>334</v>
      </c>
      <c r="B40" s="916"/>
      <c r="C40" s="917"/>
      <c r="D40" s="918"/>
      <c r="E40" s="917"/>
      <c r="F40" s="918"/>
      <c r="G40" s="917"/>
      <c r="H40" s="918"/>
      <c r="I40" s="917"/>
      <c r="J40" s="918"/>
      <c r="K40" s="917"/>
      <c r="L40" s="918"/>
      <c r="M40" s="917"/>
      <c r="N40" s="918"/>
      <c r="O40" s="917"/>
      <c r="P40" s="918"/>
      <c r="Q40" s="917"/>
      <c r="R40" s="918"/>
      <c r="S40" s="919" t="str">
        <f>RevBuild!S307</f>
        <v>ND</v>
      </c>
      <c r="T40" s="920" t="str">
        <f>RevBuild!T307</f>
        <v>ND</v>
      </c>
      <c r="U40" s="920">
        <f>RevBuild!U307</f>
        <v>0.221</v>
      </c>
      <c r="V40" s="921">
        <f>RevBuild!V307</f>
        <v>0.27</v>
      </c>
      <c r="W40" s="922">
        <f>RevBuild!W307</f>
        <v>0.17080050395832935</v>
      </c>
      <c r="X40" s="920"/>
      <c r="Y40" s="919">
        <f>IS!Y62</f>
        <v>1.1879058783840772</v>
      </c>
      <c r="Z40" s="920">
        <f>IS!Z62</f>
        <v>1.3719634166973518</v>
      </c>
      <c r="AA40" s="920">
        <f>IS!AA62</f>
        <v>1.3053304090779059</v>
      </c>
      <c r="AB40" s="921">
        <f>IS!AB62</f>
        <v>1.5420239631336403</v>
      </c>
      <c r="AC40" s="922">
        <f>IS!AC62</f>
        <v>1.3687917876989864</v>
      </c>
      <c r="AD40" s="920"/>
      <c r="AE40" s="919">
        <f>IS!AE62</f>
        <v>0.14823452316706498</v>
      </c>
      <c r="AF40" s="920">
        <f>IS!AF62</f>
        <v>0.30694548170276326</v>
      </c>
      <c r="AG40" s="920">
        <f>IS!AG62</f>
        <v>1.4063534083390561E-3</v>
      </c>
      <c r="AH40" s="921">
        <f>IS!AH62</f>
        <v>-8.5746108909914964E-2</v>
      </c>
      <c r="AI40" s="922">
        <f>IS!AI62</f>
        <v>7.2355676094536747E-2</v>
      </c>
      <c r="AJ40" s="920"/>
      <c r="AK40" s="919">
        <f>IS!AK62</f>
        <v>-3.273185060847672E-2</v>
      </c>
      <c r="AL40" s="920">
        <f>IS!AL62</f>
        <v>-0.1894060995184591</v>
      </c>
      <c r="AM40" s="920">
        <f>IS!AM62</f>
        <v>9.5002065262288049E-2</v>
      </c>
      <c r="AN40" s="921">
        <f>IS!AN62</f>
        <v>0.16243654822335052</v>
      </c>
      <c r="AO40" s="922">
        <f>IS!AO62</f>
        <v>6.6841297082469442E-3</v>
      </c>
      <c r="AP40" s="920"/>
      <c r="AQ40" s="919">
        <f>IS!AQ62</f>
        <v>0.20477223427331892</v>
      </c>
      <c r="AR40" s="920">
        <f>IS!AR62</f>
        <v>0.19168316831683163</v>
      </c>
      <c r="AS40" s="920">
        <f>IS!AS62</f>
        <v>0.17012448132780089</v>
      </c>
      <c r="AT40" s="921">
        <f>IS!AT62</f>
        <v>0.13564410480349332</v>
      </c>
      <c r="AU40" s="922">
        <f>IS!AU62</f>
        <v>0.17083894122925081</v>
      </c>
      <c r="AV40" s="920"/>
      <c r="AW40" s="919">
        <f>IS!AW62</f>
        <v>0.28555995678790058</v>
      </c>
      <c r="AX40" s="920">
        <f>IS!AX62</f>
        <v>0.33333333333333348</v>
      </c>
      <c r="AY40" s="920">
        <f>IS!AY62</f>
        <v>0.34880722114764673</v>
      </c>
      <c r="AZ40" s="920">
        <f>IS!AZ62</f>
        <v>0.1417928382600333</v>
      </c>
      <c r="BA40" s="922">
        <f>IS!BA62</f>
        <v>0.26576749176182068</v>
      </c>
      <c r="BB40" s="920"/>
      <c r="BC40" s="919">
        <f>IS!BC62</f>
        <v>0.13613445378151257</v>
      </c>
      <c r="BD40" s="920">
        <f>IS!BD62</f>
        <v>4.8604187437687019E-2</v>
      </c>
      <c r="BE40" s="920">
        <f>IS!BE62</f>
        <v>7.0267686424474229E-2</v>
      </c>
      <c r="BF40" s="920">
        <f>IS!BF62</f>
        <v>8.8823405598821736E-2</v>
      </c>
      <c r="BG40" s="922">
        <f>IS!BG62</f>
        <v>8.457952412665759E-2</v>
      </c>
      <c r="BH40" s="920"/>
      <c r="BI40" s="919">
        <f>IS!BI62</f>
        <v>-3.0078895463510835E-2</v>
      </c>
      <c r="BJ40" s="920">
        <f>IS!BJ62</f>
        <v>8.1293082956976459E-2</v>
      </c>
      <c r="BK40" s="920">
        <f>IS!BK62</f>
        <v>-1.9651630192050074E-2</v>
      </c>
      <c r="BL40" s="921">
        <f>IS!BL62</f>
        <v>6.7272375797409634E-2</v>
      </c>
      <c r="BM40" s="922">
        <f>IS!BM62</f>
        <v>2.6794685720665345E-2</v>
      </c>
      <c r="BN40" s="920"/>
      <c r="BO40" s="919">
        <f>IS!BO62</f>
        <v>7.7020843924758609E-2</v>
      </c>
      <c r="BP40" s="920">
        <f>IS!BP62</f>
        <v>5.4957133435917793E-3</v>
      </c>
      <c r="BQ40" s="920">
        <f>IS!BQ62</f>
        <v>-4.3735763097949909E-2</v>
      </c>
      <c r="BR40" s="921">
        <f>IS!BR62</f>
        <v>-7.9876833906900813E-2</v>
      </c>
      <c r="BS40" s="922">
        <f>IS!BS62</f>
        <v>-1.6581493965423522E-2</v>
      </c>
      <c r="BT40" s="920"/>
      <c r="BU40" s="919">
        <f>IS!BU62</f>
        <v>-0.16568326646211951</v>
      </c>
      <c r="BV40" s="920">
        <f>IS!BV62</f>
        <v>-0.13423699169217307</v>
      </c>
      <c r="BW40" s="920">
        <f>IS!BW62</f>
        <v>-5.6455454978561193E-2</v>
      </c>
      <c r="BX40" s="921">
        <f>IS!BX62</f>
        <v>-5.8661417322835141E-2</v>
      </c>
      <c r="BY40" s="922">
        <f>IS!BY62</f>
        <v>-0.10232738128144181</v>
      </c>
      <c r="BZ40" s="920"/>
      <c r="CA40" s="919">
        <f>IS!CA62</f>
        <v>6.195190947666207E-2</v>
      </c>
      <c r="CB40" s="920">
        <f>IS!CB62</f>
        <v>-6.1363636363636287E-2</v>
      </c>
      <c r="CC40" s="920">
        <f>IS!CC62</f>
        <v>-5.554152991668837E-3</v>
      </c>
      <c r="CD40" s="921">
        <f>IS!CD62</f>
        <v>-1.6520284399832441E-2</v>
      </c>
      <c r="CE40" s="922">
        <f>IS!CE62</f>
        <v>-7.6979923635914771E-3</v>
      </c>
      <c r="CF40" s="923"/>
      <c r="CG40" s="919">
        <f>IS!CG62</f>
        <v>2.5306339904102026E-2</v>
      </c>
      <c r="CH40" s="920">
        <f>IS!CH62</f>
        <v>0.11622276029055678</v>
      </c>
      <c r="CI40" s="920">
        <f>IS!CI62</f>
        <v>0.10586443259710587</v>
      </c>
      <c r="CJ40" s="921">
        <f>IS!CJ62</f>
        <v>0.12800340208377681</v>
      </c>
      <c r="CK40" s="922">
        <f>IS!CK62</f>
        <v>9.5947371687457261E-2</v>
      </c>
      <c r="CL40" s="923"/>
      <c r="CM40" s="919">
        <f>IS!CM62</f>
        <v>0.1007461473722191</v>
      </c>
      <c r="CN40" s="920">
        <f>IS!CN62</f>
        <v>4.6720452637177834E-2</v>
      </c>
      <c r="CO40" s="920">
        <f>IS!CO62</f>
        <v>3.5353058314642638E-2</v>
      </c>
      <c r="CP40" s="921">
        <f>IS!CP62</f>
        <v>5.1437722496280758E-2</v>
      </c>
      <c r="CQ40" s="922">
        <f>IS!CQ62</f>
        <v>5.710912957068226E-2</v>
      </c>
      <c r="CR40" s="923"/>
      <c r="CS40" s="919">
        <f>IS!CS62</f>
        <v>1.7384490839773559E-2</v>
      </c>
      <c r="CT40" s="920">
        <f>IS!CT62</f>
        <v>3.4815534903165579E-2</v>
      </c>
      <c r="CU40" s="920">
        <f>IS!CU62</f>
        <v>1.5054328390025518E-2</v>
      </c>
      <c r="CV40" s="921">
        <f>IS!CV62</f>
        <v>4.8584586290812526E-2</v>
      </c>
      <c r="CW40" s="922">
        <f>IS!CW62</f>
        <v>3.0199366305397435E-2</v>
      </c>
      <c r="CX40" s="2264"/>
      <c r="CY40" s="919">
        <f>IS!CY62</f>
        <v>2.696207425622088E-2</v>
      </c>
      <c r="CZ40" s="920">
        <f>IS!CZ62</f>
        <v>9.992444660892108E-3</v>
      </c>
      <c r="DA40" s="920">
        <f>IS!DA62</f>
        <v>3.4704556613559534E-2</v>
      </c>
      <c r="DB40" s="921">
        <f>IS!DB62</f>
        <v>1.9064721581865562E-2</v>
      </c>
      <c r="DC40" s="922">
        <f>IS!DC62</f>
        <v>2.2437736885952742E-2</v>
      </c>
      <c r="DD40" s="2264"/>
      <c r="DE40" s="919">
        <f>IS!DE62</f>
        <v>1.6248717461933238E-2</v>
      </c>
      <c r="DF40" s="920">
        <f>IS!DF62</f>
        <v>3.2226517388399989E-2</v>
      </c>
      <c r="DG40" s="920">
        <f>IS!DG62</f>
        <v>1.496470969801833E-2</v>
      </c>
      <c r="DH40" s="921">
        <f>IS!DH62</f>
        <v>2.8161299192853262E-2</v>
      </c>
      <c r="DI40" s="922">
        <f>IS!DI62</f>
        <v>2.3238785807826456E-2</v>
      </c>
      <c r="DJ40" s="2264"/>
      <c r="DK40" s="2264"/>
      <c r="DL40" s="2192"/>
      <c r="DM40" s="2192"/>
      <c r="DN40" s="2192"/>
      <c r="DO40" s="2192"/>
      <c r="DP40" s="2192"/>
      <c r="DQ40" s="2192"/>
      <c r="DR40" s="2192"/>
      <c r="DS40" s="2192"/>
      <c r="DT40" s="2192"/>
      <c r="DU40" s="2192"/>
      <c r="DV40" s="2192"/>
      <c r="DW40" s="2192"/>
      <c r="DX40" s="2192"/>
      <c r="DY40" s="2192"/>
      <c r="DZ40" s="2192"/>
      <c r="EA40" s="2192"/>
      <c r="EB40" s="2192"/>
      <c r="EC40" s="2192"/>
      <c r="ED40" s="2192"/>
      <c r="EE40" s="2192"/>
      <c r="EF40" s="2192"/>
      <c r="EG40" s="2196"/>
      <c r="EH40" s="2194"/>
      <c r="EI40" s="2194"/>
      <c r="EJ40" s="2194"/>
      <c r="EK40" s="2194"/>
      <c r="EL40" s="2194"/>
    </row>
    <row r="41" spans="1:144" s="583" customFormat="1" ht="11.25" customHeight="1">
      <c r="A41" s="924" t="s">
        <v>335</v>
      </c>
      <c r="B41" s="925"/>
      <c r="C41" s="926"/>
      <c r="D41" s="927"/>
      <c r="E41" s="926"/>
      <c r="F41" s="927"/>
      <c r="G41" s="926"/>
      <c r="H41" s="927"/>
      <c r="I41" s="926"/>
      <c r="J41" s="927"/>
      <c r="K41" s="926"/>
      <c r="L41" s="927"/>
      <c r="M41" s="926"/>
      <c r="N41" s="927"/>
      <c r="O41" s="926"/>
      <c r="P41" s="927"/>
      <c r="Q41" s="926"/>
      <c r="R41" s="927"/>
      <c r="S41" s="928" t="str">
        <f>RevBuild!S309</f>
        <v>ND</v>
      </c>
      <c r="T41" s="929" t="str">
        <f>RevBuild!T309</f>
        <v>ND</v>
      </c>
      <c r="U41" s="929">
        <f>RevBuild!U309</f>
        <v>2.2999999999999993E-2</v>
      </c>
      <c r="V41" s="930">
        <f>RevBuild!V309</f>
        <v>5.0000000000000017E-2</v>
      </c>
      <c r="W41" s="931">
        <f>RevBuild!W309</f>
        <v>4.298152063247308E-3</v>
      </c>
      <c r="X41" s="929"/>
      <c r="Y41" s="928">
        <f>RevBuild!Y309</f>
        <v>5.9000000000000011E-2</v>
      </c>
      <c r="Z41" s="929">
        <f>RevBuild!Z309</f>
        <v>3.999999999999998E-2</v>
      </c>
      <c r="AA41" s="929">
        <f>RevBuild!AA309</f>
        <v>4.9999999999999989E-2</v>
      </c>
      <c r="AB41" s="930">
        <f>RevBuild!AB309</f>
        <v>8.9999999999999969E-2</v>
      </c>
      <c r="AC41" s="931">
        <f>RevBuild!AC309</f>
        <v>7.0000000000000007E-2</v>
      </c>
      <c r="AD41" s="929"/>
      <c r="AE41" s="928">
        <f>RevBuild!AE78</f>
        <v>9.8234523167065199E-2</v>
      </c>
      <c r="AF41" s="929">
        <f>RevBuild!AF78</f>
        <v>0.11294548170276325</v>
      </c>
      <c r="AG41" s="929">
        <f>RevBuild!AG78</f>
        <v>5.6406353408338834E-2</v>
      </c>
      <c r="AH41" s="930" t="str">
        <f>RevBuild!AH78</f>
        <v>ND</v>
      </c>
      <c r="AI41" s="931">
        <f>RevBuild!AI78</f>
        <v>3.8260364199922514E-2</v>
      </c>
      <c r="AJ41" s="929"/>
      <c r="AK41" s="928">
        <f>RevBuild!AK78</f>
        <v>-7.8052874527905991E-2</v>
      </c>
      <c r="AL41" s="929">
        <f>RevBuild!AL78</f>
        <v>-7.8330658105939005E-2</v>
      </c>
      <c r="AM41" s="929">
        <f>RevBuild!AM78</f>
        <v>-1.900041305245766E-2</v>
      </c>
      <c r="AN41" s="930">
        <f>RevBuild!AN78</f>
        <v>0.1043781725888325</v>
      </c>
      <c r="AO41" s="931">
        <f>RevBuild!AO78</f>
        <v>-1.3277933339355072E-2</v>
      </c>
      <c r="AP41" s="929"/>
      <c r="AQ41" s="928">
        <f>RevBuild!AQ78</f>
        <v>8.1127982646420821E-2</v>
      </c>
      <c r="AR41" s="929">
        <f>RevBuild!AR78</f>
        <v>-2.3366336633663366E-2</v>
      </c>
      <c r="AS41" s="929">
        <f>RevBuild!AS78</f>
        <v>-6.8276122218030935E-2</v>
      </c>
      <c r="AT41" s="930">
        <f>RevBuild!AT78</f>
        <v>-3.4934497816593878E-2</v>
      </c>
      <c r="AU41" s="931">
        <f>RevBuild!AU78</f>
        <v>-1.6240466576940334E-2</v>
      </c>
      <c r="AV41" s="929"/>
      <c r="AW41" s="928">
        <f>RevBuild!AW78</f>
        <v>2.2326251350378107E-2</v>
      </c>
      <c r="AX41" s="929">
        <f>RevBuild!AX78</f>
        <v>0.12329677633765372</v>
      </c>
      <c r="AY41" s="929">
        <f>RevBuild!AY78</f>
        <v>9.2520954223081889E-2</v>
      </c>
      <c r="AZ41" s="929">
        <f>RevBuild!AZ78</f>
        <v>1.6582552271088683E-2</v>
      </c>
      <c r="BA41" s="931">
        <f>RevBuild!BA78</f>
        <v>6.0464403402559583E-2</v>
      </c>
      <c r="BB41" s="929"/>
      <c r="BC41" s="928">
        <f>RevBuild!BC78</f>
        <v>-1.3725490196078433E-2</v>
      </c>
      <c r="BD41" s="929">
        <f>RevBuild!BD78</f>
        <v>-7.1535393818544374E-2</v>
      </c>
      <c r="BE41" s="929">
        <f>RevBuild!BE78</f>
        <v>-7.9588910133843213E-2</v>
      </c>
      <c r="BF41" s="929">
        <f>RevBuild!BF78</f>
        <v>-2.0837718375078907E-2</v>
      </c>
      <c r="BG41" s="931">
        <f>RevBuild!BG78</f>
        <v>-4.6497547980868185E-2</v>
      </c>
      <c r="BH41" s="929"/>
      <c r="BI41" s="928">
        <f>RevBuild!BI78</f>
        <v>-1.4792899408284023E-2</v>
      </c>
      <c r="BJ41" s="929">
        <f>RevBuild!BJ78</f>
        <v>-8.0817684811029245E-3</v>
      </c>
      <c r="BK41" s="929">
        <f>RevBuild!BK78</f>
        <v>4.9129075480125062E-3</v>
      </c>
      <c r="BL41" s="930">
        <f>RevBuild!BL78</f>
        <v>9.6655712352600046E-4</v>
      </c>
      <c r="BM41" s="931">
        <f>RevBuild!BM78</f>
        <v>-2.9585798816568047E-3</v>
      </c>
      <c r="BN41" s="929"/>
      <c r="BO41" s="928">
        <f>RevBuild!BO78</f>
        <v>5.0838840874428053E-4</v>
      </c>
      <c r="BP41" s="929">
        <f>RevBuild!BP78</f>
        <v>2.2642338975599034E-2</v>
      </c>
      <c r="BQ41" s="929">
        <f>RevBuild!BQ78</f>
        <v>-3.4168564920273349E-3</v>
      </c>
      <c r="BR41" s="930">
        <f>RevBuild!BR78</f>
        <v>-6.2307552979532686E-2</v>
      </c>
      <c r="BS41" s="931">
        <f>RevBuild!BS78</f>
        <v>-1.3808850712188755E-2</v>
      </c>
      <c r="BT41" s="929"/>
      <c r="BU41" s="928">
        <f>RevBuild!BU78</f>
        <v>-0.11045551097474628</v>
      </c>
      <c r="BV41" s="929">
        <f>RevBuild!BV78</f>
        <v>-0.11499781372977701</v>
      </c>
      <c r="BW41" s="929">
        <f>RevBuild!BW78</f>
        <v>-0.10909957122439257</v>
      </c>
      <c r="BX41" s="930">
        <f>RevBuild!BX78</f>
        <v>-7.7165354330708646E-2</v>
      </c>
      <c r="BY41" s="931">
        <f>RevBuild!BY78</f>
        <v>-0.10194040577146331</v>
      </c>
      <c r="BZ41" s="929"/>
      <c r="CA41" s="928">
        <f>RevBuild!CA78</f>
        <v>-8.9999999999999993E-3</v>
      </c>
      <c r="CB41" s="929">
        <f>RevBuild!CB78</f>
        <v>0</v>
      </c>
      <c r="CC41" s="929">
        <f>RevBuild!CC78</f>
        <v>2E-3</v>
      </c>
      <c r="CD41" s="930">
        <f>RevBuild!CD78</f>
        <v>-1.2999999999999999E-2</v>
      </c>
      <c r="CE41" s="931">
        <f>RevBuild!CE78</f>
        <v>-5.2999332140269313E-3</v>
      </c>
      <c r="CF41" s="932"/>
      <c r="CG41" s="928">
        <f>RevBuild!CG78</f>
        <v>-0.02</v>
      </c>
      <c r="CH41" s="929">
        <f>RevBuild!CH78</f>
        <v>-1.7999999999999999E-2</v>
      </c>
      <c r="CI41" s="929">
        <f>RevBuild!CI78</f>
        <v>2.4E-2</v>
      </c>
      <c r="CJ41" s="930">
        <f>RevBuild!CJ78</f>
        <v>5.1999999999999998E-2</v>
      </c>
      <c r="CK41" s="931">
        <f>RevBuild!CK78</f>
        <v>1.2232731334946935E-2</v>
      </c>
      <c r="CL41" s="932"/>
      <c r="CM41" s="928">
        <f>RevBuild!CM78</f>
        <v>6.6680741425468634E-2</v>
      </c>
      <c r="CN41" s="929">
        <f>RevBuild!CN78</f>
        <v>5.0067583566292144E-2</v>
      </c>
      <c r="CO41" s="929">
        <f>RevBuild!CO78</f>
        <v>2.4942821356928498E-2</v>
      </c>
      <c r="CP41" s="930">
        <f>RevBuild!CP78</f>
        <v>2.6288462675898794E-2</v>
      </c>
      <c r="CQ41" s="931">
        <f>RevBuild!CQ78</f>
        <v>4.0347749324725082E-2</v>
      </c>
      <c r="CR41" s="932"/>
      <c r="CS41" s="928">
        <f>RevBuild!CS78</f>
        <v>0</v>
      </c>
      <c r="CT41" s="929">
        <f>RevBuild!CT78</f>
        <v>0</v>
      </c>
      <c r="CU41" s="929">
        <f>RevBuild!CU78</f>
        <v>0</v>
      </c>
      <c r="CV41" s="930">
        <f>RevBuild!CV78</f>
        <v>0</v>
      </c>
      <c r="CW41" s="931">
        <f>RevBuild!CW78</f>
        <v>0</v>
      </c>
      <c r="CX41" s="2264"/>
      <c r="CY41" s="928">
        <f>RevBuild!CY78</f>
        <v>0</v>
      </c>
      <c r="CZ41" s="929">
        <f>RevBuild!CZ78</f>
        <v>0</v>
      </c>
      <c r="DA41" s="929">
        <f>RevBuild!DA78</f>
        <v>0</v>
      </c>
      <c r="DB41" s="930">
        <f>RevBuild!DB78</f>
        <v>0</v>
      </c>
      <c r="DC41" s="931">
        <f>RevBuild!DC78</f>
        <v>0</v>
      </c>
      <c r="DD41" s="2264"/>
      <c r="DE41" s="928">
        <f>RevBuild!DE78</f>
        <v>0</v>
      </c>
      <c r="DF41" s="929">
        <f>RevBuild!DF78</f>
        <v>0</v>
      </c>
      <c r="DG41" s="929">
        <f>RevBuild!DG78</f>
        <v>0</v>
      </c>
      <c r="DH41" s="930">
        <f>RevBuild!DH78</f>
        <v>0</v>
      </c>
      <c r="DI41" s="931">
        <f>RevBuild!DI78</f>
        <v>0</v>
      </c>
      <c r="DJ41" s="2264"/>
      <c r="DK41" s="2264"/>
      <c r="DL41" s="2199"/>
      <c r="DM41" s="2201"/>
      <c r="DN41" s="2201"/>
      <c r="DO41" s="2201"/>
      <c r="DP41" s="2201"/>
      <c r="DQ41" s="2201"/>
      <c r="DR41" s="2201"/>
      <c r="DS41" s="2201"/>
      <c r="DT41" s="2201"/>
      <c r="DU41" s="2201"/>
      <c r="DV41" s="2201"/>
      <c r="DW41" s="2201"/>
      <c r="DX41" s="2201"/>
      <c r="DY41" s="2201"/>
      <c r="DZ41" s="2192"/>
      <c r="EA41" s="2192"/>
      <c r="EB41" s="2192"/>
      <c r="EC41" s="2192"/>
      <c r="ED41" s="2192"/>
      <c r="EE41" s="2192"/>
      <c r="EF41" s="2192"/>
      <c r="EG41" s="2196"/>
      <c r="EH41" s="2194"/>
      <c r="EI41" s="2194"/>
      <c r="EJ41" s="2194"/>
      <c r="EK41" s="2194"/>
      <c r="EL41" s="2194"/>
    </row>
    <row r="42" spans="1:144" s="583" customFormat="1" ht="11.25" customHeight="1">
      <c r="A42" s="924" t="s">
        <v>131</v>
      </c>
      <c r="B42" s="925"/>
      <c r="C42" s="926"/>
      <c r="D42" s="1164"/>
      <c r="E42" s="926"/>
      <c r="F42" s="927"/>
      <c r="G42" s="926"/>
      <c r="H42" s="927"/>
      <c r="I42" s="926"/>
      <c r="J42" s="927"/>
      <c r="K42" s="926"/>
      <c r="L42" s="927"/>
      <c r="M42" s="926"/>
      <c r="N42" s="927"/>
      <c r="O42" s="926"/>
      <c r="P42" s="927"/>
      <c r="Q42" s="926"/>
      <c r="R42" s="927"/>
      <c r="S42" s="1164" t="str">
        <f>IF(ISERROR(S40-S41-S43),"NM",S40-S41-S43)</f>
        <v>NM</v>
      </c>
      <c r="T42" s="927" t="str">
        <f>IF(ISERROR(T40-T41-T43),"NM",T40-T41-T43)</f>
        <v>NM</v>
      </c>
      <c r="U42" s="927">
        <f>IF(ISERROR(U40-U41-U43),"NM",U40-U41-U43)</f>
        <v>0</v>
      </c>
      <c r="V42" s="936">
        <f>IF(ISERROR(V40-V41-V43),"NM",V40-V41-V43)</f>
        <v>0</v>
      </c>
      <c r="W42" s="926">
        <f>IF(ISERROR(W40-W41-W43),"NM",W40-W41-W43)</f>
        <v>3.6502351895082052E-2</v>
      </c>
      <c r="X42" s="927"/>
      <c r="Y42" s="1164">
        <f t="shared" ref="Y42:AG42" si="64">Y40-Y41-Y43</f>
        <v>1.0229058783840772</v>
      </c>
      <c r="Z42" s="927">
        <f t="shared" si="64"/>
        <v>1.1619634166973518</v>
      </c>
      <c r="AA42" s="927">
        <f t="shared" si="64"/>
        <v>1.0553304090779059</v>
      </c>
      <c r="AB42" s="936">
        <f t="shared" si="64"/>
        <v>1.1920239631336405</v>
      </c>
      <c r="AC42" s="926">
        <f t="shared" si="64"/>
        <v>1.1437917876989863</v>
      </c>
      <c r="AD42" s="927"/>
      <c r="AE42" s="1164">
        <f t="shared" si="64"/>
        <v>-2.2204460492503131E-16</v>
      </c>
      <c r="AF42" s="927">
        <f t="shared" si="64"/>
        <v>0</v>
      </c>
      <c r="AG42" s="927">
        <f t="shared" si="64"/>
        <v>2.2204460492503131E-16</v>
      </c>
      <c r="AH42" s="936" t="str">
        <f>IF(ISERROR(AH40-AH41-AH43),"NM",AH40-AH41-AH43)</f>
        <v>NM</v>
      </c>
      <c r="AI42" s="926">
        <f t="shared" ref="AI42:AO42" si="65">AI40-AI41-AI43</f>
        <v>1.6760105124073027E-4</v>
      </c>
      <c r="AJ42" s="927"/>
      <c r="AK42" s="1164">
        <f t="shared" si="65"/>
        <v>3.2102391942927244E-4</v>
      </c>
      <c r="AL42" s="927">
        <f t="shared" si="65"/>
        <v>-7.5441412520096951E-5</v>
      </c>
      <c r="AM42" s="927">
        <f t="shared" si="65"/>
        <v>2.4783147457019261E-6</v>
      </c>
      <c r="AN42" s="936">
        <f t="shared" si="65"/>
        <v>-1.9416243654819809E-3</v>
      </c>
      <c r="AO42" s="926">
        <f t="shared" si="65"/>
        <v>-3.7936952397985696E-5</v>
      </c>
      <c r="AP42" s="927"/>
      <c r="AQ42" s="1164">
        <f t="shared" ref="AQ42:BE42" si="66">AQ40-AQ41-AQ43</f>
        <v>-3.5574837310189955E-4</v>
      </c>
      <c r="AR42" s="927">
        <f t="shared" si="66"/>
        <v>1.504950495049498E-2</v>
      </c>
      <c r="AS42" s="927">
        <f t="shared" si="66"/>
        <v>6.4400603545831825E-2</v>
      </c>
      <c r="AT42" s="936">
        <f t="shared" si="66"/>
        <v>5.7860262008718744E-4</v>
      </c>
      <c r="AU42" s="926">
        <f t="shared" si="66"/>
        <v>6.0079407806191143E-2</v>
      </c>
      <c r="AV42" s="927"/>
      <c r="AW42" s="1164">
        <f t="shared" si="66"/>
        <v>0.21823370543752246</v>
      </c>
      <c r="AX42" s="927">
        <f t="shared" si="66"/>
        <v>0.13503655699567974</v>
      </c>
      <c r="AY42" s="927">
        <f t="shared" si="66"/>
        <v>0.14728626692456487</v>
      </c>
      <c r="AZ42" s="927">
        <f t="shared" si="66"/>
        <v>3.2102859889446278E-3</v>
      </c>
      <c r="BA42" s="926">
        <f t="shared" si="66"/>
        <v>0.11330308835926109</v>
      </c>
      <c r="BB42" s="927"/>
      <c r="BC42" s="1164">
        <f t="shared" si="66"/>
        <v>1.2859943977590993E-2</v>
      </c>
      <c r="BD42" s="927">
        <f t="shared" si="66"/>
        <v>1.6139581256231397E-2</v>
      </c>
      <c r="BE42" s="927">
        <f t="shared" si="66"/>
        <v>1.1856596558317445E-2</v>
      </c>
      <c r="BF42" s="927">
        <f>BF40-BF41-BF43</f>
        <v>7.6611239739006465E-3</v>
      </c>
      <c r="BG42" s="926">
        <f>BG40-BG41-BG43</f>
        <v>1.2077072107525788E-2</v>
      </c>
      <c r="BH42" s="927"/>
      <c r="BI42" s="1164">
        <f>BI40-BI41-BI43</f>
        <v>-4.285996055226813E-3</v>
      </c>
      <c r="BJ42" s="927">
        <f>BJ40-BJ41-BJ43</f>
        <v>-5.6251485619206176E-3</v>
      </c>
      <c r="BK42" s="927">
        <f>BK40-BK41-BK43</f>
        <v>-5.6453774006257756E-4</v>
      </c>
      <c r="BL42" s="927">
        <f>BL40-BL41-BL43</f>
        <v>4.3058186738836324E-3</v>
      </c>
      <c r="BM42" s="926">
        <f>BM40-BM41-BM43</f>
        <v>-2.2467343976778492E-3</v>
      </c>
      <c r="BN42" s="927"/>
      <c r="BO42" s="1164">
        <f>BO40-BO41-BO43</f>
        <v>1.0512455516014318E-2</v>
      </c>
      <c r="BP42" s="927">
        <f>BP40-BP41-BP43</f>
        <v>6.8533743679927463E-3</v>
      </c>
      <c r="BQ42" s="927">
        <f>BQ40-BQ41-BQ43</f>
        <v>7.6810933940774234E-3</v>
      </c>
      <c r="BR42" s="936">
        <f>BR40-BR41-BR43</f>
        <v>-1.2569280927368125E-2</v>
      </c>
      <c r="BS42" s="926">
        <f>BS40-BS41-BS43</f>
        <v>1.2273567467652336E-3</v>
      </c>
      <c r="BT42" s="927"/>
      <c r="BU42" s="1164">
        <f>BU40-BU41-BU43</f>
        <v>-2.522775548737323E-2</v>
      </c>
      <c r="BV42" s="927">
        <f>BV40-BV41-BV43</f>
        <v>-2.6239177962396061E-2</v>
      </c>
      <c r="BW42" s="927">
        <f>BW40-BW41-BW43</f>
        <v>-2.8355883754168629E-2</v>
      </c>
      <c r="BX42" s="936">
        <f>BX40-BX41-BX43</f>
        <v>-6.4960629921264959E-3</v>
      </c>
      <c r="BY42" s="926">
        <f>BY40-BY41-BY43</f>
        <v>-2.1386975509978503E-2</v>
      </c>
      <c r="BZ42" s="927"/>
      <c r="CA42" s="1164">
        <f>CA40-CA41-CA43</f>
        <v>1.5000000000000221E-2</v>
      </c>
      <c r="CB42" s="927">
        <f>CB40-CB41-CB43</f>
        <v>3.1E-2</v>
      </c>
      <c r="CC42" s="927">
        <f>CC40-CC41-CC43</f>
        <v>1.6E-2</v>
      </c>
      <c r="CD42" s="936">
        <f>CD40-CD41-CD43</f>
        <v>1.9035135519208636E-2</v>
      </c>
      <c r="CE42" s="926">
        <f>CE40-CE41-CE43</f>
        <v>2.0113338577083223E-2</v>
      </c>
      <c r="CF42" s="932"/>
      <c r="CG42" s="1164">
        <f>CG40-CG41-CG43</f>
        <v>5.3075332978156413E-2</v>
      </c>
      <c r="CH42" s="927">
        <f>CH40-CH41-CH43</f>
        <v>5.7999999999999996E-2</v>
      </c>
      <c r="CI42" s="927">
        <f>CI40-CI41-CI43</f>
        <v>4.8362528560548367E-2</v>
      </c>
      <c r="CJ42" s="936">
        <f>CJ40-CJ41-CJ43</f>
        <v>3.5692741968879407E-2</v>
      </c>
      <c r="CK42" s="926">
        <f>CK40-CK41-CK43</f>
        <v>4.7847495529054533E-2</v>
      </c>
      <c r="CL42" s="932"/>
      <c r="CM42" s="1164">
        <f>CM40-CM41-CM43</f>
        <v>0</v>
      </c>
      <c r="CN42" s="927">
        <f>CN40-CN41-CN43</f>
        <v>0</v>
      </c>
      <c r="CO42" s="927">
        <f>CO40-CO41-CO43</f>
        <v>0</v>
      </c>
      <c r="CP42" s="936">
        <f>CP40-CP41-CP43</f>
        <v>1.8779487409687989E-2</v>
      </c>
      <c r="CQ42" s="926">
        <f>CQ40-CQ41-CQ43</f>
        <v>5.6111106025478075E-3</v>
      </c>
      <c r="CR42" s="932"/>
      <c r="CS42" s="1164">
        <f>CS40-CS41-CS43</f>
        <v>0</v>
      </c>
      <c r="CT42" s="927">
        <f>CT40-CT41-CT43</f>
        <v>0</v>
      </c>
      <c r="CU42" s="927">
        <f>CU40-CU41-CU43</f>
        <v>0</v>
      </c>
      <c r="CV42" s="936">
        <f>CV40-CV41-CV43</f>
        <v>1.7927967555992828E-2</v>
      </c>
      <c r="CW42" s="926">
        <f>CW40-CW41-CW43</f>
        <v>5.4525073661840402E-3</v>
      </c>
      <c r="CX42" s="2265"/>
      <c r="CY42" s="1164">
        <f>CY40-CY41-CY43</f>
        <v>0</v>
      </c>
      <c r="CZ42" s="927">
        <f>CZ40-CZ41-CZ43</f>
        <v>0</v>
      </c>
      <c r="DA42" s="927">
        <f>DA40-DA41-DA43</f>
        <v>0</v>
      </c>
      <c r="DB42" s="936">
        <f>DB40-DB41-DB43</f>
        <v>0</v>
      </c>
      <c r="DC42" s="926">
        <f>DC40-DC41-DC43</f>
        <v>-2.2204460492503131E-16</v>
      </c>
      <c r="DD42" s="2265"/>
      <c r="DE42" s="1164">
        <f>DE40-DE41-DE43</f>
        <v>0</v>
      </c>
      <c r="DF42" s="927">
        <f>DF40-DF41-DF43</f>
        <v>0</v>
      </c>
      <c r="DG42" s="927">
        <f>DG40-DG41-DG43</f>
        <v>0</v>
      </c>
      <c r="DH42" s="936">
        <f>DH40-DH41-DH43</f>
        <v>0</v>
      </c>
      <c r="DI42" s="926">
        <f>DI40-DI41-DI43</f>
        <v>0</v>
      </c>
      <c r="DJ42" s="2265"/>
      <c r="DK42" s="2265"/>
      <c r="DL42" s="2190"/>
      <c r="DM42" s="2191"/>
      <c r="DN42" s="2191"/>
      <c r="DO42" s="2191"/>
      <c r="DP42" s="2191"/>
      <c r="DQ42" s="2191"/>
      <c r="DR42" s="2191"/>
      <c r="DS42" s="2191"/>
      <c r="DT42" s="2191"/>
      <c r="DU42" s="2191"/>
      <c r="DV42" s="2191"/>
      <c r="DW42" s="2191"/>
      <c r="DX42" s="2191"/>
      <c r="DY42" s="2191"/>
      <c r="DZ42" s="2192"/>
      <c r="EA42" s="2192"/>
      <c r="EB42" s="2192"/>
      <c r="EC42" s="2192"/>
      <c r="ED42" s="2192"/>
      <c r="EE42" s="2192"/>
      <c r="EF42" s="2192"/>
      <c r="EG42" s="2196"/>
      <c r="EH42" s="2194"/>
      <c r="EI42" s="2194"/>
      <c r="EJ42" s="2194"/>
      <c r="EK42" s="2194"/>
      <c r="EL42" s="2194"/>
    </row>
    <row r="43" spans="1:144" ht="11.25" customHeight="1">
      <c r="A43" s="1364" t="s">
        <v>336</v>
      </c>
      <c r="B43" s="1365"/>
      <c r="C43" s="971"/>
      <c r="D43" s="962"/>
      <c r="E43" s="971"/>
      <c r="F43" s="972"/>
      <c r="G43" s="971"/>
      <c r="H43" s="972"/>
      <c r="I43" s="971"/>
      <c r="J43" s="972"/>
      <c r="K43" s="971"/>
      <c r="L43" s="972"/>
      <c r="M43" s="971"/>
      <c r="N43" s="972"/>
      <c r="O43" s="971"/>
      <c r="P43" s="972"/>
      <c r="Q43" s="971"/>
      <c r="R43" s="972"/>
      <c r="S43" s="1366">
        <f t="shared" ref="S43:AO43" si="67">S13</f>
        <v>0.04</v>
      </c>
      <c r="T43" s="961">
        <f t="shared" si="67"/>
        <v>9.6000000000000002E-2</v>
      </c>
      <c r="U43" s="961">
        <f t="shared" si="67"/>
        <v>0.19800000000000001</v>
      </c>
      <c r="V43" s="1367">
        <f t="shared" si="67"/>
        <v>0.22</v>
      </c>
      <c r="W43" s="960">
        <f t="shared" si="67"/>
        <v>0.13</v>
      </c>
      <c r="X43" s="961"/>
      <c r="Y43" s="1366">
        <f t="shared" si="67"/>
        <v>0.106</v>
      </c>
      <c r="Z43" s="961">
        <f t="shared" si="67"/>
        <v>0.17</v>
      </c>
      <c r="AA43" s="961">
        <f t="shared" si="67"/>
        <v>0.2</v>
      </c>
      <c r="AB43" s="1367">
        <f t="shared" si="67"/>
        <v>0.26</v>
      </c>
      <c r="AC43" s="960">
        <f t="shared" si="67"/>
        <v>0.155</v>
      </c>
      <c r="AD43" s="961"/>
      <c r="AE43" s="1366">
        <f t="shared" si="67"/>
        <v>0.05</v>
      </c>
      <c r="AF43" s="961">
        <f t="shared" si="67"/>
        <v>0.19400000000000001</v>
      </c>
      <c r="AG43" s="961">
        <f t="shared" si="67"/>
        <v>-5.5E-2</v>
      </c>
      <c r="AH43" s="1367">
        <f t="shared" si="67"/>
        <v>-0.03</v>
      </c>
      <c r="AI43" s="960">
        <f t="shared" si="67"/>
        <v>3.3927710843373503E-2</v>
      </c>
      <c r="AJ43" s="961"/>
      <c r="AK43" s="1366">
        <f t="shared" si="67"/>
        <v>4.4999999999999998E-2</v>
      </c>
      <c r="AL43" s="961">
        <f t="shared" si="67"/>
        <v>-0.111</v>
      </c>
      <c r="AM43" s="961">
        <f t="shared" si="67"/>
        <v>0.114</v>
      </c>
      <c r="AN43" s="1367">
        <f t="shared" si="67"/>
        <v>0.06</v>
      </c>
      <c r="AO43" s="960">
        <f t="shared" si="67"/>
        <v>0.02</v>
      </c>
      <c r="AP43" s="961"/>
      <c r="AQ43" s="1366">
        <f t="shared" ref="AQ43:BA43" si="68">AQ13</f>
        <v>0.124</v>
      </c>
      <c r="AR43" s="961">
        <f t="shared" si="68"/>
        <v>0.2</v>
      </c>
      <c r="AS43" s="961">
        <f t="shared" si="68"/>
        <v>0.17399999999999999</v>
      </c>
      <c r="AT43" s="1367">
        <f t="shared" si="68"/>
        <v>0.17</v>
      </c>
      <c r="AU43" s="960">
        <f t="shared" si="68"/>
        <v>0.127</v>
      </c>
      <c r="AV43" s="961"/>
      <c r="AW43" s="1366">
        <f t="shared" si="68"/>
        <v>4.4999999999999998E-2</v>
      </c>
      <c r="AX43" s="961">
        <f t="shared" si="68"/>
        <v>7.4999999999999997E-2</v>
      </c>
      <c r="AY43" s="961">
        <f t="shared" si="68"/>
        <v>0.109</v>
      </c>
      <c r="AZ43" s="961">
        <f t="shared" si="68"/>
        <v>0.122</v>
      </c>
      <c r="BA43" s="960">
        <f t="shared" si="68"/>
        <v>9.1999999999999998E-2</v>
      </c>
      <c r="BB43" s="961"/>
      <c r="BC43" s="1366">
        <f t="shared" ref="BC43:BL43" si="69">BC13</f>
        <v>0.13700000000000001</v>
      </c>
      <c r="BD43" s="961">
        <f t="shared" si="69"/>
        <v>0.104</v>
      </c>
      <c r="BE43" s="961">
        <f t="shared" si="69"/>
        <v>0.13800000000000001</v>
      </c>
      <c r="BF43" s="961">
        <f t="shared" si="69"/>
        <v>0.10199999999999999</v>
      </c>
      <c r="BG43" s="960">
        <f t="shared" si="69"/>
        <v>0.11899999999999999</v>
      </c>
      <c r="BH43" s="961"/>
      <c r="BI43" s="1366">
        <f t="shared" si="69"/>
        <v>-1.0999999999999999E-2</v>
      </c>
      <c r="BJ43" s="961">
        <f t="shared" si="69"/>
        <v>9.5000000000000001E-2</v>
      </c>
      <c r="BK43" s="961">
        <f t="shared" si="69"/>
        <v>-2.4E-2</v>
      </c>
      <c r="BL43" s="961">
        <f t="shared" si="69"/>
        <v>6.2E-2</v>
      </c>
      <c r="BM43" s="960">
        <f>BM13</f>
        <v>3.2000000000000001E-2</v>
      </c>
      <c r="BN43" s="961"/>
      <c r="BO43" s="1366">
        <f>BO13</f>
        <v>6.6000000000000003E-2</v>
      </c>
      <c r="BP43" s="961">
        <f>BP13</f>
        <v>-2.4E-2</v>
      </c>
      <c r="BQ43" s="961">
        <f>BQ13</f>
        <v>-4.8000000000000001E-2</v>
      </c>
      <c r="BR43" s="961">
        <f>BR13</f>
        <v>-5.0000000000000001E-3</v>
      </c>
      <c r="BS43" s="960">
        <f>BS13</f>
        <v>-4.0000000000000001E-3</v>
      </c>
      <c r="BT43" s="972"/>
      <c r="BU43" s="1366">
        <f>BU13</f>
        <v>-0.03</v>
      </c>
      <c r="BV43" s="961">
        <f>BV13</f>
        <v>7.0000000000000001E-3</v>
      </c>
      <c r="BW43" s="961">
        <f>BW13</f>
        <v>8.1000000000000003E-2</v>
      </c>
      <c r="BX43" s="961">
        <f>BX13</f>
        <v>2.5000000000000001E-2</v>
      </c>
      <c r="BY43" s="960">
        <f>BY13</f>
        <v>2.1000000000000001E-2</v>
      </c>
      <c r="BZ43" s="972"/>
      <c r="CA43" s="1366">
        <f>CA13</f>
        <v>5.5951909476661843E-2</v>
      </c>
      <c r="CB43" s="961">
        <f>CB13</f>
        <v>-9.2363636363636287E-2</v>
      </c>
      <c r="CC43" s="961">
        <f>CC13</f>
        <v>-2.3554152991668839E-2</v>
      </c>
      <c r="CD43" s="961">
        <f>CD13</f>
        <v>-2.255541991904108E-2</v>
      </c>
      <c r="CE43" s="960">
        <f>CE13</f>
        <v>-2.2511397726647769E-2</v>
      </c>
      <c r="CF43" s="967"/>
      <c r="CG43" s="1366">
        <f>CG13</f>
        <v>-7.7689930740543825E-3</v>
      </c>
      <c r="CH43" s="961">
        <f>CH13</f>
        <v>7.6222760290556774E-2</v>
      </c>
      <c r="CI43" s="961">
        <f>CI13</f>
        <v>3.3501904036557513E-2</v>
      </c>
      <c r="CJ43" s="961">
        <f>CJ13</f>
        <v>4.0310660114897409E-2</v>
      </c>
      <c r="CK43" s="960">
        <f>CK13</f>
        <v>3.58671448234558E-2</v>
      </c>
      <c r="CL43" s="967"/>
      <c r="CM43" s="1366">
        <f>CM13</f>
        <v>3.4065405946750463E-2</v>
      </c>
      <c r="CN43" s="961">
        <f>CN13</f>
        <v>-3.34713092911431E-3</v>
      </c>
      <c r="CO43" s="961">
        <f>CO13</f>
        <v>1.041023695771414E-2</v>
      </c>
      <c r="CP43" s="961">
        <f>CP13</f>
        <v>6.3697724106939746E-3</v>
      </c>
      <c r="CQ43" s="960">
        <f>CQ13</f>
        <v>1.115026964340937E-2</v>
      </c>
      <c r="CR43" s="967"/>
      <c r="CS43" s="1366">
        <f>CS13</f>
        <v>1.7384490839773559E-2</v>
      </c>
      <c r="CT43" s="961">
        <f>CT13</f>
        <v>3.4815534903165579E-2</v>
      </c>
      <c r="CU43" s="961">
        <f>CU13</f>
        <v>1.5054328390025518E-2</v>
      </c>
      <c r="CV43" s="961">
        <f>CV13</f>
        <v>3.0656618734819698E-2</v>
      </c>
      <c r="CW43" s="960">
        <f>CW13</f>
        <v>2.4746858939213395E-2</v>
      </c>
      <c r="CX43" s="1632"/>
      <c r="CY43" s="1366">
        <f>CY13</f>
        <v>2.696207425622088E-2</v>
      </c>
      <c r="CZ43" s="961">
        <f>CZ13</f>
        <v>9.992444660892108E-3</v>
      </c>
      <c r="DA43" s="961">
        <f>DA13</f>
        <v>3.4704556613559534E-2</v>
      </c>
      <c r="DB43" s="961">
        <f>DB13</f>
        <v>1.9064721581865562E-2</v>
      </c>
      <c r="DC43" s="960">
        <f>DC13</f>
        <v>2.2437736885952964E-2</v>
      </c>
      <c r="DD43" s="1632"/>
      <c r="DE43" s="1366">
        <f>DE13</f>
        <v>1.6248717461933238E-2</v>
      </c>
      <c r="DF43" s="961">
        <f>DF13</f>
        <v>3.2226517388399989E-2</v>
      </c>
      <c r="DG43" s="961">
        <f>DG13</f>
        <v>1.496470969801833E-2</v>
      </c>
      <c r="DH43" s="961">
        <f>DH13</f>
        <v>2.8161299192853262E-2</v>
      </c>
      <c r="DI43" s="960">
        <f>DI13</f>
        <v>2.3238785807826456E-2</v>
      </c>
      <c r="DJ43" s="1632"/>
      <c r="DK43" s="1632"/>
      <c r="DL43" s="2190"/>
      <c r="DM43" s="2195"/>
      <c r="DN43" s="2195"/>
      <c r="DO43" s="2195"/>
      <c r="DP43" s="2195"/>
      <c r="DQ43" s="2195"/>
      <c r="DR43" s="2195"/>
      <c r="DS43" s="2195"/>
      <c r="DT43" s="2195"/>
      <c r="DU43" s="2195"/>
      <c r="DV43" s="2195"/>
      <c r="DW43" s="2195"/>
      <c r="DX43" s="2195"/>
      <c r="DY43" s="2195"/>
      <c r="DZ43" s="2195"/>
      <c r="EA43" s="2195"/>
      <c r="EB43" s="2195"/>
      <c r="EC43" s="2195"/>
      <c r="ED43" s="2195"/>
      <c r="EE43" s="2195"/>
      <c r="EF43" s="2200"/>
      <c r="EG43" s="2196"/>
      <c r="EH43" s="2194"/>
      <c r="EI43" s="2194"/>
      <c r="EJ43" s="2194"/>
      <c r="EK43" s="638"/>
      <c r="EL43" s="638"/>
    </row>
    <row r="44" spans="1:144" ht="11.25" customHeight="1">
      <c r="AW44" s="463"/>
      <c r="AX44" s="463"/>
      <c r="AY44" s="463"/>
      <c r="AZ44" s="463"/>
      <c r="BA44" s="463"/>
      <c r="BB44" s="463"/>
      <c r="BC44" s="463"/>
      <c r="BD44" s="463"/>
      <c r="BE44" s="463"/>
      <c r="BF44" s="463"/>
      <c r="BG44" s="463"/>
      <c r="BH44" s="463"/>
      <c r="BI44" s="463"/>
      <c r="BJ44" s="463"/>
      <c r="BK44" s="463"/>
      <c r="BL44" s="463"/>
      <c r="BT44" s="2"/>
      <c r="CG44" s="461"/>
      <c r="CH44" s="462"/>
      <c r="CI44" s="462"/>
      <c r="CM44" s="461"/>
      <c r="CN44" s="462"/>
      <c r="CO44" s="462"/>
      <c r="CS44" s="461"/>
      <c r="CT44" s="462"/>
      <c r="CU44" s="462"/>
      <c r="CY44" s="461"/>
      <c r="CZ44" s="462"/>
      <c r="DA44" s="462"/>
      <c r="DE44" s="461"/>
      <c r="DF44" s="462"/>
      <c r="DG44" s="462"/>
      <c r="DL44" s="2197"/>
      <c r="DM44" s="2198"/>
      <c r="DN44" s="2198"/>
      <c r="DO44" s="2198"/>
      <c r="DP44" s="2198"/>
      <c r="DQ44" s="2198"/>
      <c r="DR44" s="2198"/>
      <c r="DS44" s="2198"/>
      <c r="DT44" s="2198"/>
      <c r="DU44" s="2198"/>
      <c r="DV44" s="2198"/>
      <c r="DW44" s="2198"/>
      <c r="DX44" s="2198"/>
      <c r="DY44" s="2198"/>
      <c r="DZ44" s="2198"/>
      <c r="EA44" s="2198"/>
      <c r="EB44" s="2198"/>
      <c r="EC44" s="2198"/>
      <c r="ED44" s="2198"/>
      <c r="EE44" s="2198"/>
      <c r="EF44" s="2198"/>
      <c r="EG44" s="2196"/>
      <c r="EH44" s="2194"/>
      <c r="EI44" s="2194"/>
      <c r="EJ44" s="2194"/>
      <c r="EK44" s="638"/>
      <c r="EL44" s="638"/>
    </row>
    <row r="45" spans="1:144" ht="11.25" customHeight="1">
      <c r="A45" s="476" t="s">
        <v>393</v>
      </c>
      <c r="B45" s="952"/>
      <c r="C45" s="952"/>
      <c r="D45" s="952"/>
      <c r="E45" s="953"/>
      <c r="F45" s="953"/>
      <c r="G45" s="953"/>
      <c r="H45" s="953"/>
      <c r="I45" s="953"/>
      <c r="J45" s="953"/>
      <c r="K45" s="953"/>
      <c r="L45" s="953"/>
      <c r="M45" s="953"/>
      <c r="N45" s="953"/>
      <c r="O45" s="953"/>
      <c r="P45" s="953"/>
      <c r="Q45" s="953"/>
      <c r="R45" s="954"/>
      <c r="S45" s="954"/>
      <c r="T45" s="954"/>
      <c r="U45" s="954"/>
      <c r="V45" s="954"/>
      <c r="W45" s="953"/>
      <c r="X45" s="954"/>
      <c r="Y45" s="954"/>
      <c r="Z45" s="954"/>
      <c r="AA45" s="954"/>
      <c r="AB45" s="954"/>
      <c r="AC45" s="953"/>
      <c r="AD45" s="954"/>
      <c r="AE45" s="954"/>
      <c r="AF45" s="954"/>
      <c r="AG45" s="954"/>
      <c r="AH45" s="954"/>
      <c r="AI45" s="953"/>
      <c r="AJ45" s="954"/>
      <c r="AK45" s="954"/>
      <c r="AL45" s="954"/>
      <c r="AM45" s="954"/>
      <c r="AN45" s="954"/>
      <c r="AO45" s="953"/>
      <c r="AP45" s="954"/>
      <c r="AQ45" s="954"/>
      <c r="AR45" s="954"/>
      <c r="AS45" s="954"/>
      <c r="AT45" s="954"/>
      <c r="AU45" s="953"/>
      <c r="AV45" s="954"/>
      <c r="AW45" s="954"/>
      <c r="AX45" s="954"/>
      <c r="AY45" s="954"/>
      <c r="AZ45" s="955"/>
      <c r="BA45" s="953"/>
      <c r="BB45" s="954"/>
      <c r="BC45" s="954"/>
      <c r="BD45" s="954"/>
      <c r="BE45" s="954"/>
      <c r="BF45" s="955"/>
      <c r="BG45" s="953"/>
      <c r="BH45" s="954"/>
      <c r="BI45" s="954"/>
      <c r="BJ45" s="954"/>
      <c r="BK45" s="954"/>
      <c r="BL45" s="955"/>
      <c r="BM45" s="953"/>
      <c r="BN45" s="953"/>
      <c r="BO45" s="956"/>
      <c r="BP45" s="955"/>
      <c r="BQ45" s="953"/>
      <c r="BR45" s="953"/>
      <c r="BS45" s="953"/>
      <c r="BT45" s="953"/>
      <c r="BU45" s="956"/>
      <c r="BV45" s="955"/>
      <c r="BW45" s="953"/>
      <c r="BX45" s="953"/>
      <c r="BY45" s="953"/>
      <c r="BZ45" s="953"/>
      <c r="CA45" s="956"/>
      <c r="CB45" s="955"/>
      <c r="CC45" s="953"/>
      <c r="CD45" s="953"/>
      <c r="CE45" s="953"/>
      <c r="CF45" s="949"/>
      <c r="CG45" s="956"/>
      <c r="CH45" s="955"/>
      <c r="CI45" s="953"/>
      <c r="CJ45" s="953"/>
      <c r="CK45" s="953"/>
      <c r="CL45" s="949"/>
      <c r="CM45" s="956"/>
      <c r="CN45" s="955"/>
      <c r="CO45" s="953"/>
      <c r="CP45" s="953"/>
      <c r="CQ45" s="953"/>
      <c r="CR45" s="949"/>
      <c r="CS45" s="956"/>
      <c r="CT45" s="955"/>
      <c r="CU45" s="953"/>
      <c r="CV45" s="953"/>
      <c r="CW45" s="953"/>
      <c r="CX45" s="1384"/>
      <c r="CY45" s="956"/>
      <c r="CZ45" s="955"/>
      <c r="DA45" s="953"/>
      <c r="DB45" s="953"/>
      <c r="DC45" s="953"/>
      <c r="DD45" s="1384"/>
      <c r="DE45" s="956"/>
      <c r="DF45" s="955"/>
      <c r="DG45" s="953"/>
      <c r="DH45" s="953"/>
      <c r="DI45" s="953"/>
      <c r="DJ45" s="1384"/>
      <c r="DK45" s="1384"/>
      <c r="DL45" s="2197"/>
      <c r="DM45" s="2198"/>
      <c r="DN45" s="2198"/>
      <c r="DO45" s="2198"/>
      <c r="DP45" s="2198"/>
      <c r="DQ45" s="2198"/>
      <c r="DR45" s="2198"/>
      <c r="DS45" s="2198"/>
      <c r="DT45" s="2198"/>
      <c r="DU45" s="2198"/>
      <c r="DV45" s="2198"/>
      <c r="DW45" s="2198"/>
      <c r="DX45" s="2198"/>
      <c r="DY45" s="2198"/>
      <c r="DZ45" s="2198"/>
      <c r="EA45" s="2198"/>
      <c r="EB45" s="2198"/>
      <c r="EC45" s="2198"/>
      <c r="ED45" s="2198"/>
      <c r="EE45" s="2198"/>
      <c r="EF45" s="2198"/>
      <c r="EG45" s="2196"/>
      <c r="EH45" s="2194"/>
      <c r="EI45" s="2194"/>
      <c r="EJ45" s="2194"/>
      <c r="EK45" s="638"/>
      <c r="EL45" s="638"/>
    </row>
    <row r="46" spans="1:144" ht="11.25" customHeight="1">
      <c r="A46" s="1411" t="s">
        <v>394</v>
      </c>
      <c r="B46" s="1341"/>
      <c r="C46" s="1413"/>
      <c r="D46" s="1403"/>
      <c r="E46" s="1413">
        <f>RevBuild!C75*RevBuild!E80</f>
        <v>0</v>
      </c>
      <c r="F46" s="1413"/>
      <c r="G46" s="1413">
        <f>RevBuild!E75*RevBuild!G80</f>
        <v>0</v>
      </c>
      <c r="H46" s="1413"/>
      <c r="I46" s="1413">
        <f>RevBuild!G75*RevBuild!I80</f>
        <v>0</v>
      </c>
      <c r="J46" s="1413"/>
      <c r="K46" s="1413">
        <f>RevBuild!I75*RevBuild!K80</f>
        <v>0</v>
      </c>
      <c r="L46" s="1413"/>
      <c r="M46" s="1413">
        <f>RevBuild!K75*RevBuild!M80</f>
        <v>0</v>
      </c>
      <c r="N46" s="1413"/>
      <c r="O46" s="1413">
        <f>RevBuild!M75*RevBuild!O80</f>
        <v>0</v>
      </c>
      <c r="P46" s="1413"/>
      <c r="Q46" s="1413">
        <f>RevBuild!O75*RevBuild!Q80</f>
        <v>0</v>
      </c>
      <c r="R46" s="1402"/>
      <c r="S46" s="1412"/>
      <c r="T46" s="1404"/>
      <c r="U46" s="1404"/>
      <c r="V46" s="1404"/>
      <c r="W46" s="1413">
        <f>RevBuild!Q75*RevBuild!W80</f>
        <v>0</v>
      </c>
      <c r="X46" s="1402"/>
      <c r="Y46" s="1412">
        <f>RevBuild!S75*RevBuild!Y80</f>
        <v>0</v>
      </c>
      <c r="Z46" s="1404">
        <f>RevBuild!T75*RevBuild!Z80</f>
        <v>0</v>
      </c>
      <c r="AA46" s="1404">
        <f>RevBuild!U75*RevBuild!AA80</f>
        <v>0</v>
      </c>
      <c r="AB46" s="1404">
        <f>RevBuild!V75*RevBuild!AB80</f>
        <v>0</v>
      </c>
      <c r="AC46" s="1413">
        <f>RevBuild!W75*RevBuild!AC80</f>
        <v>0</v>
      </c>
      <c r="AD46" s="1402"/>
      <c r="AE46" s="1412">
        <f>RevBuild!Y75*RevBuild!AE80</f>
        <v>10.376800000000001</v>
      </c>
      <c r="AF46" s="1404">
        <f>RevBuild!Z75*RevBuild!AF80</f>
        <v>46.238347999999995</v>
      </c>
      <c r="AG46" s="1404">
        <f>RevBuild!AA75*RevBuild!AG80</f>
        <v>-13.296799999999999</v>
      </c>
      <c r="AH46" s="1404">
        <f>RevBuild!AB75*RevBuild!AH80</f>
        <v>-10.342860000000002</v>
      </c>
      <c r="AI46" s="1413">
        <f>RevBuild!AC75*RevBuild!AI80</f>
        <v>35.0269686746988</v>
      </c>
      <c r="AJ46" s="1402"/>
      <c r="AK46" s="1412">
        <f>RevBuild!AE75*RevBuild!AK80</f>
        <v>10.723500000000001</v>
      </c>
      <c r="AL46" s="1404">
        <f>RevBuild!AF75*RevBuild!AL80</f>
        <v>-34.576500000000003</v>
      </c>
      <c r="AM46" s="1404">
        <f>RevBuild!AG75*RevBuild!AM80</f>
        <v>27.599399999999999</v>
      </c>
      <c r="AN46" s="1404">
        <f>RevBuild!AH75*RevBuild!AN80</f>
        <v>18.911999999999995</v>
      </c>
      <c r="AO46" s="1413">
        <f>RevBuild!AI75*RevBuild!AO80</f>
        <v>22.141999999999999</v>
      </c>
      <c r="AP46" s="1402"/>
      <c r="AQ46" s="1412">
        <f>RevBuild!AK75*RevBuild!AQ80</f>
        <v>28.582000000000001</v>
      </c>
      <c r="AR46" s="1404">
        <f>RevBuild!AL75*RevBuild!AR80</f>
        <v>50.5</v>
      </c>
      <c r="AS46" s="1404">
        <f>RevBuild!AM75*RevBuild!AS80</f>
        <v>46.127400000000002</v>
      </c>
      <c r="AT46" s="1404">
        <f>RevBuild!AN75*RevBuild!AT80</f>
        <v>62.288000000000011</v>
      </c>
      <c r="AU46" s="1413">
        <f>RevBuild!AO75*RevBuild!AU80</f>
        <v>141.54150000000001</v>
      </c>
      <c r="AV46" s="1402"/>
      <c r="AW46" s="1412">
        <f>RevBuild!AQ75*RevBuild!AW80</f>
        <v>12.496499999999999</v>
      </c>
      <c r="AX46" s="1404">
        <f>RevBuild!AR75*RevBuild!AX80</f>
        <v>22.567499999999999</v>
      </c>
      <c r="AY46" s="1404">
        <f>RevBuild!AS75*RevBuild!AY80</f>
        <v>33.811799999999998</v>
      </c>
      <c r="AZ46" s="1404">
        <f>RevBuild!AT75*RevBuild!AZ80</f>
        <v>50.76420000000001</v>
      </c>
      <c r="BA46" s="1413">
        <f>RevBuild!AU75*RevBuild!BA80</f>
        <v>120.05080000000001</v>
      </c>
      <c r="BB46" s="1402"/>
      <c r="BC46" s="1412">
        <f>RevBuild!AW75*RevBuild!BC80</f>
        <v>48.909000000000006</v>
      </c>
      <c r="BD46" s="1404">
        <f>RevBuild!AX75*RevBuild!BD80</f>
        <v>41.724799999999995</v>
      </c>
      <c r="BE46" s="1404">
        <f>RevBuild!AY75*RevBuild!BE80</f>
        <v>57.739200000000004</v>
      </c>
      <c r="BF46" s="1404">
        <f>RevBuild!AZ75*RevBuild!BF80</f>
        <v>48.460200000000007</v>
      </c>
      <c r="BG46" s="1413">
        <f>RevBuild!BA75*RevBuild!BG80</f>
        <v>196.55230000000003</v>
      </c>
      <c r="BH46" s="1402"/>
      <c r="BI46" s="1412">
        <f>RevBuild!BC75*RevBuild!BI80</f>
        <v>-4.4615999999999998</v>
      </c>
      <c r="BJ46" s="1404">
        <f>RevBuild!BD75*RevBuild!BJ80</f>
        <v>39.966499999999996</v>
      </c>
      <c r="BK46" s="1404">
        <f>RevBuild!BE75*RevBuild!BK80</f>
        <v>-10.747199999999999</v>
      </c>
      <c r="BL46" s="1431">
        <f>RevBuild!BF75*RevBuild!BL80</f>
        <v>32.072599999999994</v>
      </c>
      <c r="BM46" s="1413">
        <f>RevBuild!BG75*RevBuild!BM80</f>
        <v>57.324799999999996</v>
      </c>
      <c r="BN46" s="1413"/>
      <c r="BO46" s="1404">
        <f>RevBuild!BI75*RevBuild!BO80</f>
        <v>25.964400000000001</v>
      </c>
      <c r="BP46" s="1404">
        <f>RevBuild!BJ75*RevBuild!BP80</f>
        <v>-10.9176</v>
      </c>
      <c r="BQ46" s="1404">
        <f>RevBuild!BK75*RevBuild!BQ80</f>
        <v>-21.071999999999999</v>
      </c>
      <c r="BR46" s="1431">
        <f>RevBuild!BL75*RevBuild!BR80</f>
        <v>-2.7605</v>
      </c>
      <c r="BS46" s="1413">
        <f>RevBuild!BM75*RevBuild!BS80</f>
        <v>-7.3576000000000006</v>
      </c>
      <c r="BT46" s="1413"/>
      <c r="BU46" s="1404">
        <f>RevBuild!BO75*RevBuild!BU80</f>
        <v>-12.710999999999999</v>
      </c>
      <c r="BV46" s="1404">
        <f>RevBuild!BP75*RevBuild!BV80</f>
        <v>3.2018</v>
      </c>
      <c r="BW46" s="1404">
        <f>RevBuild!BQ75*RevBuild!BW80</f>
        <v>34.003799999999998</v>
      </c>
      <c r="BX46" s="1431">
        <f>RevBuild!BR75*RevBuild!BX80</f>
        <v>12.700000000000003</v>
      </c>
      <c r="BY46" s="1413">
        <f>RevBuild!BS75*RevBuild!BY80</f>
        <v>37.986900000000006</v>
      </c>
      <c r="BZ46" s="1413"/>
      <c r="CA46" s="1404">
        <f>RevBuild!BU75*RevBuild!CA80</f>
        <v>19.778999999999961</v>
      </c>
      <c r="CB46" s="1404">
        <f>RevBuild!BV75*RevBuild!CB80</f>
        <v>-36.575999999999972</v>
      </c>
      <c r="CC46" s="1404">
        <f>RevBuild!BW75*RevBuild!CC80</f>
        <v>-9.3298000000000272</v>
      </c>
      <c r="CD46" s="1431">
        <f>RevBuild!BX75*RevBuild!CD80</f>
        <v>-10.786387156713763</v>
      </c>
      <c r="CE46" s="1413">
        <f>RevBuild!BY75*RevBuild!CE80</f>
        <v>-36.554392227855274</v>
      </c>
      <c r="CF46" s="1414"/>
      <c r="CG46" s="1412">
        <f>RevBuild!CA75*RevBuild!CG80</f>
        <v>-2.9164800000000151</v>
      </c>
      <c r="CH46" s="1404">
        <f>RevBuild!CB75*RevBuild!CH80</f>
        <v>28.331999999999955</v>
      </c>
      <c r="CI46" s="1404">
        <f>RevBuild!CC75*RevBuild!CI80</f>
        <v>13.196400000000004</v>
      </c>
      <c r="CJ46" s="1431">
        <f>RevBuild!CD75*RevBuild!CJ80</f>
        <v>18.958103452036244</v>
      </c>
      <c r="CK46" s="1413">
        <f>RevBuild!CE75*RevBuild!CK80</f>
        <v>57.79273045403432</v>
      </c>
      <c r="CL46" s="1414"/>
      <c r="CM46" s="1412">
        <f>RevBuild!CG75*RevBuild!CM80</f>
        <v>13.111774748904253</v>
      </c>
      <c r="CN46" s="1404">
        <f>RevBuild!CH75*RevBuild!CN80</f>
        <v>-1.3887246224895271</v>
      </c>
      <c r="CO46" s="1404">
        <f>RevBuild!CI75*RevBuild!CO80</f>
        <v>4.534699218780279</v>
      </c>
      <c r="CP46" s="1431">
        <f>RevBuild!CJ75*RevBuild!CP80</f>
        <v>3.3789330631233292</v>
      </c>
      <c r="CQ46" s="1413">
        <f>RevBuild!CK75*RevBuild!CQ80</f>
        <v>19.689856446999684</v>
      </c>
      <c r="CR46" s="1414"/>
      <c r="CS46" s="1412">
        <f>RevBuild!CM75*RevBuild!CS80</f>
        <v>7.3654122654931351</v>
      </c>
      <c r="CT46" s="1404">
        <f>RevBuild!CN75*RevBuild!CT80</f>
        <v>15.119840754603215</v>
      </c>
      <c r="CU46" s="1404">
        <f>RevBuild!CO75*RevBuild!CU80</f>
        <v>6.7894989756400452</v>
      </c>
      <c r="CV46" s="1431">
        <f>RevBuild!CP75*RevBuild!CV80</f>
        <v>17.099885215138084</v>
      </c>
      <c r="CW46" s="1413">
        <f>RevBuild!CQ75*RevBuild!CW80</f>
        <v>46.196174472624733</v>
      </c>
      <c r="CX46" s="1402"/>
      <c r="CY46" s="1412">
        <f>RevBuild!CS75*RevBuild!CY80</f>
        <v>11.621802707132682</v>
      </c>
      <c r="CZ46" s="1404">
        <f>RevBuild!CT75*RevBuild!CZ80</f>
        <v>4.4906461647384228</v>
      </c>
      <c r="DA46" s="1404">
        <f>RevBuild!CU75*RevBuild!DA80</f>
        <v>15.887374372750781</v>
      </c>
      <c r="DB46" s="1431">
        <f>RevBuild!CV75*RevBuild!DB80</f>
        <v>11.15071919348024</v>
      </c>
      <c r="DC46" s="1413">
        <f>RevBuild!CW75*RevBuild!DC80</f>
        <v>43.150542438102505</v>
      </c>
      <c r="DD46" s="1402"/>
      <c r="DE46" s="1412">
        <f>RevBuild!CY75*RevBuild!DE80</f>
        <v>7.1927288813602326</v>
      </c>
      <c r="DF46" s="1404">
        <f>RevBuild!CZ75*RevBuild!DF80</f>
        <v>14.627448752312338</v>
      </c>
      <c r="DG46" s="1404">
        <f>RevBuild!DA75*RevBuild!DG80</f>
        <v>7.0884337906847987</v>
      </c>
      <c r="DH46" s="1431">
        <f>RevBuild!DB75*RevBuild!DH80</f>
        <v>16.785213352712606</v>
      </c>
      <c r="DI46" s="1413">
        <f>RevBuild!DC75*RevBuild!DI80</f>
        <v>45.693824777069878</v>
      </c>
      <c r="DJ46" s="1402"/>
      <c r="DK46" s="1402"/>
      <c r="DL46" s="2197"/>
      <c r="DM46" s="2198"/>
      <c r="DN46" s="2198"/>
      <c r="DO46" s="2198"/>
      <c r="DP46" s="2198"/>
      <c r="DQ46" s="2198"/>
      <c r="DR46" s="2198"/>
      <c r="DS46" s="2198"/>
      <c r="DT46" s="2198"/>
      <c r="DU46" s="2198"/>
      <c r="DV46" s="2198"/>
      <c r="DW46" s="2198"/>
      <c r="DX46" s="2198"/>
      <c r="DY46" s="2198"/>
      <c r="DZ46" s="2198"/>
      <c r="EA46" s="2198"/>
      <c r="EB46" s="2198"/>
      <c r="EC46" s="2198"/>
      <c r="ED46" s="2198"/>
      <c r="EE46" s="2198"/>
      <c r="EF46" s="2198"/>
      <c r="EG46" s="2196"/>
      <c r="EH46" s="2194"/>
      <c r="EI46" s="2194"/>
      <c r="EJ46" s="2194"/>
      <c r="EK46" s="638"/>
      <c r="EL46" s="638"/>
    </row>
    <row r="47" spans="1:144" ht="11.25" customHeight="1">
      <c r="A47" s="1417" t="s">
        <v>332</v>
      </c>
      <c r="B47" s="1418"/>
      <c r="C47" s="1429"/>
      <c r="D47" s="1423"/>
      <c r="E47" s="1429">
        <f>RevBuild!C53*RevBuild!E58</f>
        <v>0</v>
      </c>
      <c r="F47" s="1423"/>
      <c r="G47" s="1429">
        <f>RevBuild!E53*RevBuild!G58</f>
        <v>0</v>
      </c>
      <c r="H47" s="1423"/>
      <c r="I47" s="1429">
        <f>RevBuild!G53*RevBuild!I58</f>
        <v>0</v>
      </c>
      <c r="J47" s="1423"/>
      <c r="K47" s="1429">
        <f>RevBuild!I53*RevBuild!K58</f>
        <v>0</v>
      </c>
      <c r="L47" s="1423"/>
      <c r="M47" s="1429">
        <f>RevBuild!K53*RevBuild!M58</f>
        <v>0</v>
      </c>
      <c r="N47" s="1423"/>
      <c r="O47" s="1429">
        <f>RevBuild!M53*RevBuild!O58</f>
        <v>0</v>
      </c>
      <c r="P47" s="1423"/>
      <c r="Q47" s="1429">
        <f>RevBuild!O53*RevBuild!Q58</f>
        <v>0</v>
      </c>
      <c r="R47" s="1423"/>
      <c r="S47" s="1422"/>
      <c r="T47" s="1423"/>
      <c r="U47" s="1423"/>
      <c r="V47" s="1424"/>
      <c r="W47" s="1429">
        <f>RevBuild!Q53*RevBuild!W58</f>
        <v>0</v>
      </c>
      <c r="X47" s="1423"/>
      <c r="Y47" s="1422">
        <f>RevBuild!S53*RevBuild!Y58</f>
        <v>0</v>
      </c>
      <c r="Z47" s="1423">
        <f>RevBuild!T53*RevBuild!Z58</f>
        <v>0</v>
      </c>
      <c r="AA47" s="1423">
        <f>RevBuild!U53*RevBuild!AA58</f>
        <v>0</v>
      </c>
      <c r="AB47" s="1424">
        <f>RevBuild!V53*RevBuild!AB58</f>
        <v>0</v>
      </c>
      <c r="AC47" s="1429">
        <f>RevBuild!W53*RevBuild!AC58</f>
        <v>0</v>
      </c>
      <c r="AD47" s="1423"/>
      <c r="AE47" s="1422">
        <f>RevBuild!Y53*RevBuild!AE58</f>
        <v>0</v>
      </c>
      <c r="AF47" s="1423">
        <f>RevBuild!Z53*RevBuild!AF58</f>
        <v>0</v>
      </c>
      <c r="AG47" s="1423">
        <f>RevBuild!AA53*RevBuild!AG58</f>
        <v>0</v>
      </c>
      <c r="AH47" s="1424">
        <f>RevBuild!AB53*RevBuild!AH58</f>
        <v>0</v>
      </c>
      <c r="AI47" s="1429">
        <f>RevBuild!AC53*RevBuild!AI58</f>
        <v>37.033299999999997</v>
      </c>
      <c r="AJ47" s="1423"/>
      <c r="AK47" s="1422">
        <f>RevBuild!AE53*RevBuild!AK58</f>
        <v>-5.5320000000000009</v>
      </c>
      <c r="AL47" s="1423">
        <f>RevBuild!AF53*RevBuild!AL58</f>
        <v>-39.39</v>
      </c>
      <c r="AM47" s="1423">
        <f>RevBuild!AG53*RevBuild!AM58</f>
        <v>21.743400000000001</v>
      </c>
      <c r="AN47" s="1424">
        <f>RevBuild!AH53*RevBuild!AN58</f>
        <v>13.702315424610056</v>
      </c>
      <c r="AO47" s="1429">
        <f>RevBuild!AI53*RevBuild!AO58</f>
        <v>2.1481999999999997</v>
      </c>
      <c r="AP47" s="1423"/>
      <c r="AQ47" s="1422">
        <f>RevBuild!AK53*RevBuild!AQ58</f>
        <v>19.229599999999998</v>
      </c>
      <c r="AR47" s="1423">
        <f>RevBuild!AL53*RevBuild!AR58</f>
        <v>44.3992</v>
      </c>
      <c r="AS47" s="1423">
        <f>RevBuild!AM53*RevBuild!AS58</f>
        <v>37.488399999999999</v>
      </c>
      <c r="AT47" s="1424">
        <f>RevBuild!AN53*RevBuild!AT58</f>
        <v>51.930000000000007</v>
      </c>
      <c r="AU47" s="1429">
        <f>RevBuild!AO53*RevBuild!AU58</f>
        <v>114.77160000000001</v>
      </c>
      <c r="AV47" s="1423"/>
      <c r="AW47" s="1422">
        <f>RevBuild!AQ53*RevBuild!AW58</f>
        <v>8.5899000000000001</v>
      </c>
      <c r="AX47" s="1423">
        <f>RevBuild!AR53*RevBuild!AX58</f>
        <v>17.663799999999998</v>
      </c>
      <c r="AY47" s="1423">
        <f>RevBuild!AS53*RevBuild!AY58</f>
        <v>31.6645</v>
      </c>
      <c r="AZ47" s="1423">
        <f>RevBuild!AT53*RevBuild!AZ58</f>
        <v>47.896200000000007</v>
      </c>
      <c r="BA47" s="1429">
        <f>RevBuild!AU53*RevBuild!BA58</f>
        <v>105.35860000000001</v>
      </c>
      <c r="BB47" s="1423"/>
      <c r="BC47" s="1422">
        <f>RevBuild!AW53*RevBuild!BC58</f>
        <v>41.639200000000002</v>
      </c>
      <c r="BD47" s="1423">
        <f>RevBuild!AX53*RevBuild!BD58</f>
        <v>38.545799999999993</v>
      </c>
      <c r="BE47" s="1423">
        <f>RevBuild!AY53*RevBuild!BE58</f>
        <v>37.486999999999995</v>
      </c>
      <c r="BF47" s="1423">
        <f>RevBuild!AZ53*RevBuild!BF58</f>
        <v>40.426505164903361</v>
      </c>
      <c r="BG47" s="1429">
        <f>RevBuild!BA53*RevBuild!BG58</f>
        <v>158.51820000000001</v>
      </c>
      <c r="BH47" s="1423"/>
      <c r="BI47" s="1422">
        <f>RevBuild!BC53*RevBuild!BI58</f>
        <v>-3.7810000000000001</v>
      </c>
      <c r="BJ47" s="1423">
        <f>RevBuild!BD53*RevBuild!BJ58</f>
        <v>30.568999999999999</v>
      </c>
      <c r="BK47" s="1423">
        <f>RevBuild!BE53*RevBuild!BK58</f>
        <v>1.2266999999999999</v>
      </c>
      <c r="BL47" s="1424">
        <f>RevBuild!BF53*RevBuild!BL58</f>
        <v>28.443899999999996</v>
      </c>
      <c r="BM47" s="1429">
        <f>RevBuild!BG53*RevBuild!BM58</f>
        <v>56.647399999999998</v>
      </c>
      <c r="BN47" s="1423"/>
      <c r="BO47" s="1422">
        <f>RevBuild!BI53*RevBuild!BO58</f>
        <v>24.175800000000002</v>
      </c>
      <c r="BP47" s="1423">
        <f>RevBuild!BJ53*RevBuild!BP58</f>
        <v>-10.540000000000001</v>
      </c>
      <c r="BQ47" s="1423">
        <f>RevBuild!BK53*RevBuild!BQ58</f>
        <v>-29.1526</v>
      </c>
      <c r="BR47" s="1424">
        <f>RevBuild!BL53*RevBuild!BR58</f>
        <v>3.0660000000000003</v>
      </c>
      <c r="BS47" s="1429">
        <f>RevBuild!BM53*RevBuild!BS58</f>
        <v>-11.9665</v>
      </c>
      <c r="BT47" s="1423"/>
      <c r="BU47" s="1422">
        <f>RevBuild!BO53*RevBuild!BU58</f>
        <v>-14.180399999999999</v>
      </c>
      <c r="BV47" s="1423">
        <f>RevBuild!BP53*RevBuild!BV58</f>
        <v>2.5289999999999999</v>
      </c>
      <c r="BW47" s="1423">
        <f>RevBuild!BQ53*RevBuild!BW58</f>
        <v>35.656199999999998</v>
      </c>
      <c r="BX47" s="1424">
        <f>RevBuild!BR53*RevBuild!BX58</f>
        <v>0</v>
      </c>
      <c r="BY47" s="1429">
        <f>RevBuild!BS53*RevBuild!BY58</f>
        <v>-138.32980917334066</v>
      </c>
      <c r="BZ47" s="1423"/>
      <c r="CA47" s="1422">
        <f>RevBuild!BU53*RevBuild!CA58</f>
        <v>20.305</v>
      </c>
      <c r="CB47" s="1423">
        <f>RevBuild!BV53*RevBuild!CB58</f>
        <v>-31.859399999999997</v>
      </c>
      <c r="CC47" s="1423">
        <f>RevBuild!BW53*RevBuild!CC58</f>
        <v>-12.831000000000001</v>
      </c>
      <c r="CD47" s="1424">
        <f>RevBuild!BX53*RevBuild!CD58</f>
        <v>-1.317351253946462</v>
      </c>
      <c r="CE47" s="1429">
        <f>RevBuild!BY53*RevBuild!CE58</f>
        <v>-28.020309586345579</v>
      </c>
      <c r="CF47" s="1430"/>
      <c r="CG47" s="1422">
        <f>RevBuild!CA53*RevBuild!CG58</f>
        <v>-4.2047999999999996</v>
      </c>
      <c r="CH47" s="1423">
        <f>RevBuild!CB53*RevBuild!CH58</f>
        <v>15.210800000000001</v>
      </c>
      <c r="CI47" s="1423">
        <f>RevBuild!CC53*RevBuild!CI58</f>
        <v>15.183000000000002</v>
      </c>
      <c r="CJ47" s="1424">
        <f>RevBuild!CD53*RevBuild!CJ58</f>
        <v>14.789999999999996</v>
      </c>
      <c r="CK47" s="1429">
        <f>RevBuild!CE53*RevBuild!CK58</f>
        <v>41.184077829616264</v>
      </c>
      <c r="CL47" s="1430"/>
      <c r="CM47" s="1422">
        <f>RevBuild!CG53*RevBuild!CM58</f>
        <v>13.61883711200716</v>
      </c>
      <c r="CN47" s="1423">
        <f>RevBuild!CH53*RevBuild!CN58</f>
        <v>6.9134601131525404</v>
      </c>
      <c r="CO47" s="1423">
        <f>RevBuild!CI53*RevBuild!CO58</f>
        <v>3.3563572136897832</v>
      </c>
      <c r="CP47" s="1424">
        <f>RevBuild!CJ53*RevBuild!CP58</f>
        <v>5.5036364405392693</v>
      </c>
      <c r="CQ47" s="1429">
        <f>RevBuild!CK53*RevBuild!CQ58</f>
        <v>29.456143087468554</v>
      </c>
      <c r="CR47" s="1430"/>
      <c r="CS47" s="1422">
        <f>RevBuild!CM53*RevBuild!CS58</f>
        <v>11.382731547309621</v>
      </c>
      <c r="CT47" s="1423">
        <f>RevBuild!CN53*RevBuild!CT58</f>
        <v>11.726119488356487</v>
      </c>
      <c r="CU47" s="1423">
        <f>RevBuild!CO53*RevBuild!CU58</f>
        <v>12.956796687383626</v>
      </c>
      <c r="CV47" s="1424">
        <f>RevBuild!CP53*RevBuild!CV58</f>
        <v>14.826358746724097</v>
      </c>
      <c r="CW47" s="1429">
        <f>RevBuild!CQ53*RevBuild!CW58</f>
        <v>50.772825753570856</v>
      </c>
      <c r="CX47" s="2266"/>
      <c r="CY47" s="1422">
        <f>RevBuild!CS53*RevBuild!CY58</f>
        <v>10.514957614452019</v>
      </c>
      <c r="CZ47" s="1423">
        <f>RevBuild!CT53*RevBuild!CZ58</f>
        <v>10.975577650578989</v>
      </c>
      <c r="DA47" s="1423">
        <f>RevBuild!CU53*RevBuild!DA58</f>
        <v>12.429472729483219</v>
      </c>
      <c r="DB47" s="1424">
        <f>RevBuild!CV53*RevBuild!DB58</f>
        <v>13.857321974584217</v>
      </c>
      <c r="DC47" s="1429">
        <f>RevBuild!CW53*RevBuild!DC58</f>
        <v>47.777329969098439</v>
      </c>
      <c r="DD47" s="2266"/>
      <c r="DE47" s="1422">
        <f>RevBuild!CY53*RevBuild!DE58</f>
        <v>10.960493921343366</v>
      </c>
      <c r="DF47" s="1423">
        <f>RevBuild!CZ53*RevBuild!DF58</f>
        <v>11.435070862028693</v>
      </c>
      <c r="DG47" s="1423">
        <f>RevBuild!DA53*RevBuild!DG58</f>
        <v>12.954960100153629</v>
      </c>
      <c r="DH47" s="1424">
        <f>RevBuild!DB53*RevBuild!DH58</f>
        <v>14.434734231522842</v>
      </c>
      <c r="DI47" s="1429">
        <f>RevBuild!DC53*RevBuild!DI58</f>
        <v>49.785259115048532</v>
      </c>
      <c r="DJ47" s="2266"/>
      <c r="DK47" s="2266"/>
      <c r="DL47" s="2197"/>
      <c r="DM47" s="2198"/>
      <c r="DN47" s="2198"/>
      <c r="DO47" s="2198"/>
      <c r="DP47" s="2198"/>
      <c r="DQ47" s="2198"/>
      <c r="DR47" s="2198"/>
      <c r="DS47" s="2198"/>
      <c r="DT47" s="2198"/>
      <c r="DU47" s="2198"/>
      <c r="DV47" s="2198"/>
      <c r="DW47" s="2198"/>
      <c r="DX47" s="2198"/>
      <c r="DY47" s="2198"/>
      <c r="DZ47" s="2198"/>
      <c r="EA47" s="2198"/>
      <c r="EB47" s="2198"/>
      <c r="EC47" s="2198"/>
      <c r="ED47" s="2198"/>
      <c r="EE47" s="2198"/>
      <c r="EF47" s="2198"/>
      <c r="EG47" s="2196"/>
      <c r="EH47" s="2194"/>
      <c r="EI47" s="2194"/>
      <c r="EJ47" s="2194"/>
      <c r="EK47" s="638"/>
      <c r="EL47" s="638"/>
    </row>
    <row r="48" spans="1:144" ht="11.25" customHeight="1">
      <c r="A48" s="1354" t="s">
        <v>252</v>
      </c>
      <c r="B48" s="925"/>
      <c r="C48" s="1356"/>
      <c r="D48" s="1357"/>
      <c r="E48" s="1356"/>
      <c r="F48" s="1356"/>
      <c r="G48" s="1356"/>
      <c r="H48" s="1356"/>
      <c r="I48" s="1356"/>
      <c r="J48" s="1356"/>
      <c r="K48" s="1356"/>
      <c r="L48" s="1356"/>
      <c r="M48" s="1356"/>
      <c r="N48" s="1356"/>
      <c r="O48" s="1356"/>
      <c r="P48" s="1356"/>
      <c r="Q48" s="1356"/>
      <c r="R48" s="1358"/>
      <c r="S48" s="1359"/>
      <c r="T48" s="1360"/>
      <c r="U48" s="1360"/>
      <c r="V48" s="1361"/>
      <c r="W48" s="1356"/>
      <c r="X48" s="1358"/>
      <c r="Y48" s="1359">
        <f>RevBuild!S49*RevBuild!Y50</f>
        <v>0</v>
      </c>
      <c r="Z48" s="1360">
        <f>RevBuild!T49*RevBuild!Z50</f>
        <v>0</v>
      </c>
      <c r="AA48" s="1360">
        <f>RevBuild!U49*RevBuild!AA50</f>
        <v>0</v>
      </c>
      <c r="AB48" s="1362">
        <f>RevBuild!V49*RevBuild!AB50</f>
        <v>0</v>
      </c>
      <c r="AC48" s="1356">
        <f>RevBuild!W49*RevBuild!AC50</f>
        <v>0</v>
      </c>
      <c r="AD48" s="1358"/>
      <c r="AE48" s="1359">
        <f>RevBuild!Y49*RevBuild!AE50</f>
        <v>0</v>
      </c>
      <c r="AF48" s="1360">
        <f>RevBuild!Z49*RevBuild!AF50</f>
        <v>0</v>
      </c>
      <c r="AG48" s="1360">
        <f>RevBuild!AA49*RevBuild!AG50</f>
        <v>0</v>
      </c>
      <c r="AH48" s="1362">
        <f>RevBuild!AB49*RevBuild!AH50</f>
        <v>0</v>
      </c>
      <c r="AI48" s="1356">
        <f>RevBuild!AC49*RevBuild!AI50</f>
        <v>78.200000000000045</v>
      </c>
      <c r="AJ48" s="1358"/>
      <c r="AK48" s="1359">
        <f>RevBuild!AE49*RevBuild!AK50</f>
        <v>-0.10000000000002057</v>
      </c>
      <c r="AL48" s="1360">
        <f>RevBuild!AF49*RevBuild!AL50</f>
        <v>-58.299999999999969</v>
      </c>
      <c r="AM48" s="1360">
        <f>RevBuild!AG49*RevBuild!AM50</f>
        <v>20.700000000000006</v>
      </c>
      <c r="AN48" s="1362">
        <f>RevBuild!AH49*RevBuild!AN50</f>
        <v>33.300000000000118</v>
      </c>
      <c r="AO48" s="1356">
        <f>RevBuild!AI49*RevBuild!AO50</f>
        <v>-4.3999999999999844</v>
      </c>
      <c r="AP48" s="1358"/>
      <c r="AQ48" s="1359">
        <f>RevBuild!AK49*RevBuild!AQ50</f>
        <v>29.8</v>
      </c>
      <c r="AR48" s="1360">
        <f>RevBuild!AL49*RevBuild!AR50</f>
        <v>40.199999999999967</v>
      </c>
      <c r="AS48" s="1360">
        <f>RevBuild!AM49*RevBuild!AS50</f>
        <v>36.899999999999991</v>
      </c>
      <c r="AT48" s="1362">
        <f>RevBuild!AN49*RevBuild!AT50</f>
        <v>17.100000000000048</v>
      </c>
      <c r="AU48" s="1356">
        <f>RevBuild!AO49*RevBuild!AU50</f>
        <v>124.00000000000001</v>
      </c>
      <c r="AV48" s="1358"/>
      <c r="AW48" s="1359">
        <f>RevBuild!AQ49*RevBuild!AW50</f>
        <v>61.099999999999994</v>
      </c>
      <c r="AX48" s="1360">
        <f>RevBuild!AR49*RevBuild!AX50</f>
        <v>77.399999999999991</v>
      </c>
      <c r="AY48" s="1360">
        <f>RevBuild!AS49*RevBuild!AY50</f>
        <v>72.399999999999977</v>
      </c>
      <c r="AZ48" s="1362">
        <f>RevBuild!AT49*RevBuild!AZ50</f>
        <v>54.800000000000033</v>
      </c>
      <c r="BA48" s="1356">
        <f>RevBuild!AU49*RevBuild!BA50</f>
        <v>265.70000000000005</v>
      </c>
      <c r="BB48" s="1358"/>
      <c r="BC48" s="1359">
        <f>RevBuild!AW49*RevBuild!BC50</f>
        <v>33.600000000000044</v>
      </c>
      <c r="BD48" s="1360">
        <f>RevBuild!AX49*RevBuild!BD50</f>
        <v>19.400000000000038</v>
      </c>
      <c r="BE48" s="1360">
        <f>RevBuild!AY49*RevBuild!BE50</f>
        <v>26.999999999999975</v>
      </c>
      <c r="BF48" s="1362">
        <f>RevBuild!AZ49*RevBuild!BF50</f>
        <v>35.299999999999805</v>
      </c>
      <c r="BG48" s="1356">
        <f>RevBuild!BA49*RevBuild!BG50</f>
        <v>115.3</v>
      </c>
      <c r="BH48" s="1358"/>
      <c r="BI48" s="1359">
        <f>RevBuild!BC49*RevBuild!BI50</f>
        <v>10.699999999999992</v>
      </c>
      <c r="BJ48" s="1360">
        <f>RevBuild!BD49*RevBuild!BJ50</f>
        <v>16.200000000000014</v>
      </c>
      <c r="BK48" s="1360">
        <f>RevBuild!BE49*RevBuild!BK50</f>
        <v>-5.7999999999999527</v>
      </c>
      <c r="BL48" s="1362">
        <f>RevBuild!BF49*RevBuild!BL50</f>
        <v>9.7999999999999829</v>
      </c>
      <c r="BM48" s="1356">
        <f>RevBuild!BG49*RevBuild!BM50</f>
        <v>30.899999999999803</v>
      </c>
      <c r="BN48" s="1356"/>
      <c r="BO48" s="1359">
        <f>RevBuild!BI49*RevBuild!BO50</f>
        <v>-3.6000000000000152</v>
      </c>
      <c r="BP48" s="1360">
        <f>RevBuild!BJ49*RevBuild!BP50</f>
        <v>-4.6999999999999726</v>
      </c>
      <c r="BQ48" s="1360">
        <f>RevBuild!BK49*RevBuild!BQ50</f>
        <v>-34.800000000000004</v>
      </c>
      <c r="BR48" s="1362">
        <f>RevBuild!BL49*RevBuild!BR50</f>
        <v>-25.499999999999904</v>
      </c>
      <c r="BS48" s="1356">
        <f>RevBuild!BM49*RevBuild!BS50</f>
        <v>-68.599999999999866</v>
      </c>
      <c r="BT48" s="1356"/>
      <c r="BU48" s="1359">
        <f>RevBuild!BO49*RevBuild!BU50</f>
        <v>-67.399999999999963</v>
      </c>
      <c r="BV48" s="1360">
        <f>RevBuild!BP49*RevBuild!BV50</f>
        <v>-70.40000000000002</v>
      </c>
      <c r="BW48" s="1360">
        <f>RevBuild!BQ49*RevBuild!BW50</f>
        <v>-21.699999999999996</v>
      </c>
      <c r="BX48" s="1362">
        <f>RevBuild!BR49*RevBuild!BX50</f>
        <v>-37.300000000000061</v>
      </c>
      <c r="BY48" s="1356">
        <f>RevBuild!BS49*RevBuild!BY50</f>
        <v>-196.79999999999995</v>
      </c>
      <c r="BZ48" s="1356"/>
      <c r="CA48" s="1359">
        <f>RevBuild!BU49*RevBuild!CA50</f>
        <v>18.899999999999981</v>
      </c>
      <c r="CB48" s="1360">
        <f>RevBuild!BV49*RevBuild!CB50</f>
        <v>-27.599999999999955</v>
      </c>
      <c r="CC48" s="1360">
        <f>RevBuild!BW49*RevBuild!CC50</f>
        <v>-5.0000000000000124</v>
      </c>
      <c r="CD48" s="1362">
        <f>RevBuild!BX49*RevBuild!CD50</f>
        <v>-13.200000000000175</v>
      </c>
      <c r="CE48" s="1356">
        <f>RevBuild!BY49*RevBuild!CE50</f>
        <v>-26.900000000000137</v>
      </c>
      <c r="CF48" s="1363"/>
      <c r="CG48" s="1359">
        <f>RevBuild!CA49*RevBuild!CG50</f>
        <v>-14.499999999999993</v>
      </c>
      <c r="CH48" s="1360">
        <f>RevBuild!CB49*RevBuild!CH50</f>
        <v>18.599999999999987</v>
      </c>
      <c r="CI48" s="1360">
        <f>RevBuild!CC49*RevBuild!CI50</f>
        <v>15.299999999999971</v>
      </c>
      <c r="CJ48" s="1362">
        <f>RevBuild!CD49*RevBuild!CJ50</f>
        <v>0</v>
      </c>
      <c r="CK48" s="1356">
        <f>RevBuild!CE49*RevBuild!CK50</f>
        <v>0</v>
      </c>
      <c r="CL48" s="1363"/>
      <c r="CM48" s="1359">
        <f>RevBuild!CG49*RevBuild!CM50</f>
        <v>0</v>
      </c>
      <c r="CN48" s="1360">
        <f>RevBuild!CH49*RevBuild!CN50</f>
        <v>0</v>
      </c>
      <c r="CO48" s="1360">
        <f>RevBuild!CI49*RevBuild!CO50</f>
        <v>0</v>
      </c>
      <c r="CP48" s="1362">
        <f>RevBuild!CJ49*RevBuild!CP50</f>
        <v>0</v>
      </c>
      <c r="CQ48" s="1356">
        <f>RevBuild!CK49*RevBuild!CQ50</f>
        <v>0</v>
      </c>
      <c r="CR48" s="1363"/>
      <c r="CS48" s="1359">
        <f>RevBuild!CM49*RevBuild!CS50</f>
        <v>0</v>
      </c>
      <c r="CT48" s="1360">
        <f>RevBuild!CN49*RevBuild!CT50</f>
        <v>0</v>
      </c>
      <c r="CU48" s="1360">
        <f>RevBuild!CO49*RevBuild!CU50</f>
        <v>0</v>
      </c>
      <c r="CV48" s="1362">
        <f>RevBuild!CP49*RevBuild!CV50</f>
        <v>0</v>
      </c>
      <c r="CW48" s="1356">
        <f>RevBuild!CQ49*RevBuild!CW50</f>
        <v>0</v>
      </c>
      <c r="CX48" s="2267"/>
      <c r="CY48" s="1359">
        <f>RevBuild!CS49*RevBuild!CY50</f>
        <v>0</v>
      </c>
      <c r="CZ48" s="1360">
        <f>RevBuild!CT49*RevBuild!CZ50</f>
        <v>0</v>
      </c>
      <c r="DA48" s="1360">
        <f>RevBuild!CU49*RevBuild!DA50</f>
        <v>0</v>
      </c>
      <c r="DB48" s="1362">
        <f>RevBuild!CV49*RevBuild!DB50</f>
        <v>0</v>
      </c>
      <c r="DC48" s="1356">
        <f>RevBuild!CW49*RevBuild!DC50</f>
        <v>0</v>
      </c>
      <c r="DD48" s="2267"/>
      <c r="DE48" s="1359">
        <f>RevBuild!CY49*RevBuild!DE50</f>
        <v>0</v>
      </c>
      <c r="DF48" s="1360">
        <f>RevBuild!CZ49*RevBuild!DF50</f>
        <v>0</v>
      </c>
      <c r="DG48" s="1360">
        <f>RevBuild!DA49*RevBuild!DG50</f>
        <v>0</v>
      </c>
      <c r="DH48" s="1362">
        <f>RevBuild!DB49*RevBuild!DH50</f>
        <v>0</v>
      </c>
      <c r="DI48" s="1356">
        <f>RevBuild!DC49*RevBuild!DI50</f>
        <v>0</v>
      </c>
      <c r="DJ48" s="2267"/>
      <c r="DK48" s="2267"/>
      <c r="DL48" s="2197"/>
      <c r="DM48" s="2198"/>
      <c r="DN48" s="2198"/>
      <c r="DO48" s="2198"/>
      <c r="DP48" s="2198"/>
      <c r="DQ48" s="2198"/>
      <c r="DR48" s="2198"/>
      <c r="DS48" s="2198"/>
      <c r="DT48" s="2198"/>
      <c r="DU48" s="2198"/>
      <c r="DV48" s="2198"/>
      <c r="DW48" s="2198"/>
      <c r="DX48" s="2198"/>
      <c r="DY48" s="2198"/>
      <c r="DZ48" s="2198"/>
      <c r="EA48" s="2198"/>
      <c r="EB48" s="2198"/>
      <c r="EC48" s="2198"/>
      <c r="ED48" s="2198"/>
      <c r="EE48" s="2198"/>
      <c r="EF48" s="2198"/>
      <c r="EG48" s="2196"/>
      <c r="EH48" s="2194"/>
      <c r="EI48" s="2194"/>
      <c r="EJ48" s="2194"/>
      <c r="EK48" s="638"/>
      <c r="EL48" s="638"/>
    </row>
    <row r="49" spans="1:142" ht="11.25" customHeight="1">
      <c r="A49" s="1354" t="s">
        <v>253</v>
      </c>
      <c r="B49" s="925"/>
      <c r="C49" s="1356"/>
      <c r="D49" s="1357"/>
      <c r="E49" s="1356"/>
      <c r="F49" s="1356"/>
      <c r="G49" s="1356"/>
      <c r="H49" s="1356"/>
      <c r="I49" s="1356"/>
      <c r="J49" s="1356"/>
      <c r="K49" s="1356"/>
      <c r="L49" s="1356"/>
      <c r="M49" s="1356"/>
      <c r="N49" s="1356"/>
      <c r="O49" s="1356"/>
      <c r="P49" s="1356"/>
      <c r="Q49" s="1356"/>
      <c r="R49" s="1358"/>
      <c r="S49" s="1359"/>
      <c r="T49" s="1360"/>
      <c r="U49" s="1360"/>
      <c r="V49" s="1361"/>
      <c r="W49" s="1356"/>
      <c r="X49" s="1358"/>
      <c r="Y49" s="1359">
        <f>RevBuild!S51*RevBuild!Y52</f>
        <v>0</v>
      </c>
      <c r="Z49" s="1360">
        <f>RevBuild!T51*RevBuild!Z52</f>
        <v>0</v>
      </c>
      <c r="AA49" s="1360">
        <f>RevBuild!U51*RevBuild!AA52</f>
        <v>0</v>
      </c>
      <c r="AB49" s="1362">
        <f>RevBuild!V51*RevBuild!AB52</f>
        <v>0</v>
      </c>
      <c r="AC49" s="1356">
        <f>RevBuild!W51*RevBuild!AC52</f>
        <v>0</v>
      </c>
      <c r="AD49" s="1358"/>
      <c r="AE49" s="1359">
        <f>RevBuild!Y51*RevBuild!AE52</f>
        <v>0</v>
      </c>
      <c r="AF49" s="1360">
        <f>RevBuild!Z51*RevBuild!AF52</f>
        <v>0</v>
      </c>
      <c r="AG49" s="1360">
        <f>RevBuild!AA51*RevBuild!AG52</f>
        <v>0</v>
      </c>
      <c r="AH49" s="1362">
        <f>RevBuild!AB51*RevBuild!AH52</f>
        <v>0</v>
      </c>
      <c r="AI49" s="1356">
        <f>RevBuild!AC51*RevBuild!AI52</f>
        <v>-5.0000000000000338</v>
      </c>
      <c r="AJ49" s="1358"/>
      <c r="AK49" s="1359">
        <f>RevBuild!AE51*RevBuild!AK52</f>
        <v>-6.8000000000000043</v>
      </c>
      <c r="AL49" s="1360">
        <f>RevBuild!AF51*RevBuild!AL52</f>
        <v>-3.3999999999999964</v>
      </c>
      <c r="AM49" s="1360">
        <f>RevBuild!AG51*RevBuild!AM52</f>
        <v>-2.8999999999999981</v>
      </c>
      <c r="AN49" s="1362">
        <f>RevBuild!AH51*RevBuild!AN52</f>
        <v>6.1000000000000121</v>
      </c>
      <c r="AO49" s="1356">
        <f>RevBuild!AI51*RevBuild!AO52</f>
        <v>-6.9999999999999742</v>
      </c>
      <c r="AP49" s="1358"/>
      <c r="AQ49" s="1359">
        <f>RevBuild!AK51*RevBuild!AQ52</f>
        <v>6.9000000000000021</v>
      </c>
      <c r="AR49" s="1360">
        <f>RevBuild!AL51*RevBuild!AR52</f>
        <v>3.400000000000003</v>
      </c>
      <c r="AS49" s="1360">
        <f>RevBuild!AM51*RevBuild!AS52</f>
        <v>1.9999999999999969</v>
      </c>
      <c r="AT49" s="1362">
        <f>RevBuild!AN51*RevBuild!AT52</f>
        <v>26.099999999999998</v>
      </c>
      <c r="AU49" s="1356">
        <f>RevBuild!AO51*RevBuild!AU52</f>
        <v>38.400000000000027</v>
      </c>
      <c r="AV49" s="1358"/>
      <c r="AW49" s="1359">
        <f>RevBuild!AQ51*RevBuild!AW52</f>
        <v>14.399999999999999</v>
      </c>
      <c r="AX49" s="1360">
        <f>RevBuild!AR51*RevBuild!AX52</f>
        <v>15.600000000000001</v>
      </c>
      <c r="AY49" s="1360">
        <f>RevBuild!AS51*RevBuild!AY52</f>
        <v>31.7</v>
      </c>
      <c r="AZ49" s="1362">
        <f>RevBuild!AT51*RevBuild!AZ52</f>
        <v>1.5999999999999761</v>
      </c>
      <c r="BA49" s="1356">
        <f>RevBuild!AU51*RevBuild!BA52</f>
        <v>63.299999999999976</v>
      </c>
      <c r="BB49" s="1358"/>
      <c r="BC49" s="1359">
        <f>RevBuild!AW51*RevBuild!BC52</f>
        <v>8.7000000000000064</v>
      </c>
      <c r="BD49" s="1360">
        <f>RevBuild!AX51*RevBuild!BD52</f>
        <v>-0.29999999999999827</v>
      </c>
      <c r="BE49" s="1360">
        <f>RevBuild!AY51*RevBuild!BE52</f>
        <v>-12.700000000000005</v>
      </c>
      <c r="BF49" s="1362">
        <f>RevBuild!AZ51*RevBuild!BF52</f>
        <v>1.0000000000000115</v>
      </c>
      <c r="BG49" s="1356">
        <f>RevBuild!BA51*RevBuild!BG52</f>
        <v>-3.3000000000000118</v>
      </c>
      <c r="BH49" s="1358"/>
      <c r="BI49" s="1359">
        <f>RevBuild!BC51*RevBuild!BI52</f>
        <v>-22.500000000000004</v>
      </c>
      <c r="BJ49" s="1360">
        <f>RevBuild!BD51*RevBuild!BJ52</f>
        <v>8.3999999999999897</v>
      </c>
      <c r="BK49" s="1360">
        <f>RevBuild!BE51*RevBuild!BK52</f>
        <v>7.5000000000000071</v>
      </c>
      <c r="BL49" s="1362">
        <f>RevBuild!BF51*RevBuild!BL52</f>
        <v>19.099999999999994</v>
      </c>
      <c r="BM49" s="1356">
        <f>RevBuild!BG51*RevBuild!BM52</f>
        <v>12.499999999999979</v>
      </c>
      <c r="BN49" s="1356"/>
      <c r="BO49" s="1359">
        <f>RevBuild!BI51*RevBuild!BO52</f>
        <v>31.200000000000003</v>
      </c>
      <c r="BP49" s="1360">
        <f>RevBuild!BJ51*RevBuild!BP52</f>
        <v>4.6000000000000005</v>
      </c>
      <c r="BQ49" s="1360">
        <f>RevBuild!BK51*RevBuild!BQ52</f>
        <v>7.5999999999999943</v>
      </c>
      <c r="BR49" s="1362">
        <f>RevBuild!BL51*RevBuild!BR52</f>
        <v>-9.6999999999999797</v>
      </c>
      <c r="BS49" s="1356">
        <f>RevBuild!BM51*RevBuild!BS52</f>
        <v>33.700000000000074</v>
      </c>
      <c r="BT49" s="1356"/>
      <c r="BU49" s="1359">
        <f>RevBuild!BO51*RevBuild!BU52</f>
        <v>0.99999999999999245</v>
      </c>
      <c r="BV49" s="1360">
        <f>RevBuild!BP51*RevBuild!BV52</f>
        <v>15.099999999999985</v>
      </c>
      <c r="BW49" s="1360">
        <f>RevBuild!BQ51*RevBuild!BW52</f>
        <v>4.8999999999999959</v>
      </c>
      <c r="BX49" s="1362">
        <f>RevBuild!BR51*RevBuild!BX52</f>
        <v>0.39999999999998281</v>
      </c>
      <c r="BY49" s="1356">
        <f>RevBuild!BS51*RevBuild!BY52</f>
        <v>21.399999999999959</v>
      </c>
      <c r="BZ49" s="1356"/>
      <c r="CA49" s="1359">
        <f>RevBuild!BU51*RevBuild!CA52</f>
        <v>3.9999999999999973</v>
      </c>
      <c r="CB49" s="1360">
        <f>RevBuild!BV51*RevBuild!CB52</f>
        <v>7.1000000000000005</v>
      </c>
      <c r="CC49" s="1360">
        <f>RevBuild!BW51*RevBuild!CC52</f>
        <v>-9.9999999999993983E-2</v>
      </c>
      <c r="CD49" s="1362">
        <f>RevBuild!BX51*RevBuild!CD52</f>
        <v>9.2999999999999847</v>
      </c>
      <c r="CE49" s="1356">
        <f>RevBuild!BY51*RevBuild!CE52</f>
        <v>20.299999999999994</v>
      </c>
      <c r="CF49" s="1363"/>
      <c r="CG49" s="1359">
        <f>RevBuild!CA51*RevBuild!CG52</f>
        <v>10.499999999999995</v>
      </c>
      <c r="CH49" s="1360">
        <f>RevBuild!CB51*RevBuild!CH52</f>
        <v>-1.8000000000000165</v>
      </c>
      <c r="CI49" s="1360">
        <f>RevBuild!CC51*RevBuild!CI52</f>
        <v>13.8</v>
      </c>
      <c r="CJ49" s="1362">
        <f>RevBuild!CD51*RevBuild!CJ52</f>
        <v>0</v>
      </c>
      <c r="CK49" s="1356">
        <f>RevBuild!CE51*RevBuild!CK52</f>
        <v>0</v>
      </c>
      <c r="CL49" s="1363"/>
      <c r="CM49" s="1359">
        <f>RevBuild!CG51*RevBuild!CM52</f>
        <v>0</v>
      </c>
      <c r="CN49" s="1360">
        <f>RevBuild!CH51*RevBuild!CN52</f>
        <v>0</v>
      </c>
      <c r="CO49" s="1360">
        <f>RevBuild!CI51*RevBuild!CO52</f>
        <v>0</v>
      </c>
      <c r="CP49" s="1362">
        <f>RevBuild!CJ51*RevBuild!CP52</f>
        <v>0</v>
      </c>
      <c r="CQ49" s="1356">
        <f>RevBuild!CK51*RevBuild!CQ52</f>
        <v>0</v>
      </c>
      <c r="CR49" s="1363"/>
      <c r="CS49" s="1359">
        <f>RevBuild!CM51*RevBuild!CS52</f>
        <v>0</v>
      </c>
      <c r="CT49" s="1360">
        <f>RevBuild!CN51*RevBuild!CT52</f>
        <v>0</v>
      </c>
      <c r="CU49" s="1360">
        <f>RevBuild!CO51*RevBuild!CU52</f>
        <v>0</v>
      </c>
      <c r="CV49" s="1362">
        <f>RevBuild!CP51*RevBuild!CV52</f>
        <v>0</v>
      </c>
      <c r="CW49" s="1356">
        <f>RevBuild!CQ51*RevBuild!CW52</f>
        <v>0</v>
      </c>
      <c r="CX49" s="2267"/>
      <c r="CY49" s="1359">
        <f>RevBuild!CS51*RevBuild!CY52</f>
        <v>0</v>
      </c>
      <c r="CZ49" s="1360">
        <f>RevBuild!CT51*RevBuild!CZ52</f>
        <v>0</v>
      </c>
      <c r="DA49" s="1360">
        <f>RevBuild!CU51*RevBuild!DA52</f>
        <v>0</v>
      </c>
      <c r="DB49" s="1362">
        <f>RevBuild!CV51*RevBuild!DB52</f>
        <v>0</v>
      </c>
      <c r="DC49" s="1356">
        <f>RevBuild!CW51*RevBuild!DC52</f>
        <v>0</v>
      </c>
      <c r="DD49" s="2267"/>
      <c r="DE49" s="1359">
        <f>RevBuild!CY51*RevBuild!DE52</f>
        <v>0</v>
      </c>
      <c r="DF49" s="1360">
        <f>RevBuild!CZ51*RevBuild!DF52</f>
        <v>0</v>
      </c>
      <c r="DG49" s="1360">
        <f>RevBuild!DA51*RevBuild!DG52</f>
        <v>0</v>
      </c>
      <c r="DH49" s="1362">
        <f>RevBuild!DB51*RevBuild!DH52</f>
        <v>0</v>
      </c>
      <c r="DI49" s="1356">
        <f>RevBuild!DC51*RevBuild!DI52</f>
        <v>0</v>
      </c>
      <c r="DJ49" s="2267"/>
      <c r="DK49" s="2267"/>
      <c r="DL49" s="2197"/>
      <c r="DM49" s="2201"/>
      <c r="DN49" s="2201"/>
      <c r="DO49" s="2201"/>
      <c r="DP49" s="2201"/>
      <c r="DQ49" s="2201"/>
      <c r="DR49" s="2201"/>
      <c r="DS49" s="2201"/>
      <c r="DT49" s="2201"/>
      <c r="DU49" s="2201"/>
      <c r="DV49" s="2201"/>
      <c r="DW49" s="2201"/>
      <c r="DX49" s="2201"/>
      <c r="DY49" s="2201"/>
      <c r="DZ49" s="2201"/>
      <c r="EA49" s="2201"/>
      <c r="EB49" s="2201"/>
      <c r="EC49" s="2201"/>
      <c r="ED49" s="2201"/>
      <c r="EE49" s="2201"/>
      <c r="EF49" s="2192"/>
      <c r="EG49" s="2196"/>
      <c r="EH49" s="2194"/>
      <c r="EI49" s="2194"/>
      <c r="EJ49" s="2194"/>
      <c r="EK49" s="638"/>
      <c r="EL49" s="638"/>
    </row>
    <row r="50" spans="1:142" ht="11.25" customHeight="1">
      <c r="A50" s="1417" t="s">
        <v>333</v>
      </c>
      <c r="B50" s="1418"/>
      <c r="C50" s="1419"/>
      <c r="D50" s="1420"/>
      <c r="E50" s="1419">
        <f>RevBuild!C65*RevBuild!E70</f>
        <v>0</v>
      </c>
      <c r="F50" s="1419"/>
      <c r="G50" s="1419">
        <f>RevBuild!E65*RevBuild!G70</f>
        <v>0</v>
      </c>
      <c r="H50" s="1419"/>
      <c r="I50" s="1419">
        <f>RevBuild!G65*RevBuild!I70</f>
        <v>0</v>
      </c>
      <c r="J50" s="1419"/>
      <c r="K50" s="1419">
        <f>RevBuild!I65*RevBuild!K70</f>
        <v>0</v>
      </c>
      <c r="L50" s="1419"/>
      <c r="M50" s="1419">
        <f>RevBuild!K65*RevBuild!M70</f>
        <v>0</v>
      </c>
      <c r="N50" s="1419"/>
      <c r="O50" s="1419">
        <f>RevBuild!M65*RevBuild!O70</f>
        <v>0</v>
      </c>
      <c r="P50" s="1419"/>
      <c r="Q50" s="1419">
        <f>RevBuild!O65*RevBuild!Q70</f>
        <v>0</v>
      </c>
      <c r="R50" s="1421"/>
      <c r="S50" s="1422"/>
      <c r="T50" s="1423"/>
      <c r="U50" s="1423"/>
      <c r="V50" s="1424"/>
      <c r="W50" s="1419">
        <f>RevBuild!Q65*RevBuild!W70</f>
        <v>0</v>
      </c>
      <c r="X50" s="1421"/>
      <c r="Y50" s="1422">
        <f>RevBuild!S65*RevBuild!Y70</f>
        <v>0</v>
      </c>
      <c r="Z50" s="1423">
        <f>RevBuild!T65*RevBuild!Z70</f>
        <v>0</v>
      </c>
      <c r="AA50" s="1423">
        <f>RevBuild!U65*RevBuild!AA70</f>
        <v>0</v>
      </c>
      <c r="AB50" s="1424">
        <f>RevBuild!V65*RevBuild!AB70</f>
        <v>0</v>
      </c>
      <c r="AC50" s="1419">
        <f>RevBuild!W65*RevBuild!AC70</f>
        <v>0</v>
      </c>
      <c r="AD50" s="1421"/>
      <c r="AE50" s="1422">
        <f>RevBuild!Y65*RevBuild!AE70</f>
        <v>0</v>
      </c>
      <c r="AF50" s="1423">
        <f>RevBuild!Z65*RevBuild!AF70</f>
        <v>0</v>
      </c>
      <c r="AG50" s="1423">
        <f>RevBuild!AA65*RevBuild!AG70</f>
        <v>0</v>
      </c>
      <c r="AH50" s="1424">
        <f>RevBuild!AB65*RevBuild!AH70</f>
        <v>0</v>
      </c>
      <c r="AI50" s="1419">
        <f>RevBuild!AC65*RevBuild!AI70</f>
        <v>2.7143999999999999</v>
      </c>
      <c r="AJ50" s="1421"/>
      <c r="AK50" s="1422">
        <f>RevBuild!AE65*RevBuild!AK70</f>
        <v>0.75239999999999985</v>
      </c>
      <c r="AL50" s="1423">
        <f>RevBuild!AF65*RevBuild!AL70</f>
        <v>3.2</v>
      </c>
      <c r="AM50" s="1423">
        <f>RevBuild!AG65*RevBuild!AM70</f>
        <v>4.7021999999999995</v>
      </c>
      <c r="AN50" s="1424">
        <f>RevBuild!AH65*RevBuild!AN70</f>
        <v>6.3699966386554641</v>
      </c>
      <c r="AO50" s="1419">
        <f>RevBuild!AI65*RevBuild!AO70</f>
        <v>17.878499999999999</v>
      </c>
      <c r="AP50" s="1421"/>
      <c r="AQ50" s="1422">
        <f>RevBuild!AK65*RevBuild!AQ70</f>
        <v>11.396699999999999</v>
      </c>
      <c r="AR50" s="1423">
        <f>RevBuild!AL65*RevBuild!AR70</f>
        <v>5.6032999999999999</v>
      </c>
      <c r="AS50" s="1423">
        <f>RevBuild!AM65*RevBuild!AS70</f>
        <v>10.493799999999998</v>
      </c>
      <c r="AT50" s="1424">
        <f>RevBuild!AN65*RevBuild!AT70</f>
        <v>7.8540000000000019</v>
      </c>
      <c r="AU50" s="1419">
        <f>RevBuild!AO65*RevBuild!AU70</f>
        <v>28.823600000000003</v>
      </c>
      <c r="AV50" s="1421"/>
      <c r="AW50" s="1422">
        <f>RevBuild!AQ65*RevBuild!AW70</f>
        <v>3.4983</v>
      </c>
      <c r="AX50" s="1423">
        <f>RevBuild!AR65*RevBuild!AX70</f>
        <v>6.8961000000000006</v>
      </c>
      <c r="AY50" s="1423">
        <f>RevBuild!AS65*RevBuild!AY70</f>
        <v>2.8895999999999997</v>
      </c>
      <c r="AZ50" s="1424">
        <f>RevBuild!AT65*RevBuild!AZ70</f>
        <v>4.5708000000000002</v>
      </c>
      <c r="BA50" s="1419">
        <f>RevBuild!AU65*RevBuild!BA70</f>
        <v>17.919</v>
      </c>
      <c r="BB50" s="1421"/>
      <c r="BC50" s="1422">
        <f>RevBuild!AW65*RevBuild!BC70</f>
        <v>7.2959999999999994</v>
      </c>
      <c r="BD50" s="1423">
        <f>RevBuild!AX65*RevBuild!BD70</f>
        <v>0.89920000000000011</v>
      </c>
      <c r="BE50" s="1423">
        <f>RevBuild!AY65*RevBuild!BE70</f>
        <v>20.110199999999999</v>
      </c>
      <c r="BF50" s="1424">
        <f>RevBuild!AZ65*RevBuild!BF70</f>
        <v>5.6000000000000076</v>
      </c>
      <c r="BG50" s="1419">
        <f>RevBuild!BA65*RevBuild!BG70</f>
        <v>33.906599999999997</v>
      </c>
      <c r="BH50" s="1421"/>
      <c r="BI50" s="1422">
        <f>RevBuild!BC65*RevBuild!BI70</f>
        <v>0.99</v>
      </c>
      <c r="BJ50" s="1423">
        <f>RevBuild!BD65*RevBuild!BJ70</f>
        <v>10.4</v>
      </c>
      <c r="BK50" s="1423">
        <f>RevBuild!BE65*RevBuild!BK70</f>
        <v>-11.490400000000001</v>
      </c>
      <c r="BL50" s="1425">
        <f>RevBuild!BF65*RevBuild!BL70</f>
        <v>6.5772000000000013</v>
      </c>
      <c r="BM50" s="1419">
        <f>RevBuild!BG65*RevBuild!BM70</f>
        <v>6.5376000000000012</v>
      </c>
      <c r="BN50" s="1419"/>
      <c r="BO50" s="1423">
        <f>RevBuild!BI65*RevBuild!BO70</f>
        <v>2.3088000000000002</v>
      </c>
      <c r="BP50" s="1423">
        <f>RevBuild!BJ65*RevBuild!BP70</f>
        <v>2.3372999999999999</v>
      </c>
      <c r="BQ50" s="1423">
        <f>RevBuild!BK65*RevBuild!BQ70</f>
        <v>7.3450000000000006</v>
      </c>
      <c r="BR50" s="1425">
        <f>RevBuild!BL65*RevBuild!BR70</f>
        <v>-6.5705999999999989</v>
      </c>
      <c r="BS50" s="1419">
        <f>RevBuild!BM65*RevBuild!BS70</f>
        <v>8.7232071942446066</v>
      </c>
      <c r="BT50" s="1419"/>
      <c r="BU50" s="1423">
        <f>RevBuild!BO65*RevBuild!BU70</f>
        <v>-1.4268000000000003</v>
      </c>
      <c r="BV50" s="1423">
        <f>RevBuild!BP65*RevBuild!BV70</f>
        <v>-3.3534000000000002</v>
      </c>
      <c r="BW50" s="1423">
        <f>RevBuild!BQ65*RevBuild!BW70</f>
        <v>-1.04</v>
      </c>
      <c r="BX50" s="1425">
        <f>RevBuild!BR65*RevBuild!BX70</f>
        <v>11.633900000000001</v>
      </c>
      <c r="BY50" s="1419">
        <f>RevBuild!BS65*RevBuild!BY70</f>
        <v>6.1160000000000005</v>
      </c>
      <c r="BZ50" s="1419"/>
      <c r="CA50" s="1423">
        <f>RevBuild!BU65*RevBuild!CA70</f>
        <v>5.5E-2</v>
      </c>
      <c r="CB50" s="1423">
        <f>RevBuild!BV65*RevBuild!CB70</f>
        <v>-2.7311999999999999</v>
      </c>
      <c r="CC50" s="1423">
        <f>RevBuild!BW65*RevBuild!CC70</f>
        <v>2.6648999999999998</v>
      </c>
      <c r="CD50" s="1425">
        <f>RevBuild!BX65*RevBuild!CD70</f>
        <v>-8.5679999999999996</v>
      </c>
      <c r="CE50" s="1419">
        <f>RevBuild!BY65*RevBuild!CE70</f>
        <v>-8.3332687084247699</v>
      </c>
      <c r="CF50" s="1426"/>
      <c r="CG50" s="1422">
        <f>RevBuild!CA65*RevBuild!CG70</f>
        <v>0.78880000000000006</v>
      </c>
      <c r="CH50" s="1423">
        <f>RevBuild!CB65*RevBuild!CH70</f>
        <v>12.311999999999999</v>
      </c>
      <c r="CI50" s="1423">
        <f>RevBuild!CC65*RevBuild!CI70</f>
        <v>-3.4435000000000002</v>
      </c>
      <c r="CJ50" s="1425">
        <f>RevBuild!CD65*RevBuild!CJ70</f>
        <v>4.5240000000000009</v>
      </c>
      <c r="CK50" s="1419">
        <f>RevBuild!CE65*RevBuild!CK70</f>
        <v>13.629578737215276</v>
      </c>
      <c r="CL50" s="1426"/>
      <c r="CM50" s="1422">
        <f>RevBuild!CG65*RevBuild!CM70</f>
        <v>1.2030000000000001</v>
      </c>
      <c r="CN50" s="1423">
        <f>RevBuild!CH65*RevBuild!CN70</f>
        <v>-6.4799999999999995</v>
      </c>
      <c r="CO50" s="1423">
        <f>RevBuild!CI65*RevBuild!CO70</f>
        <v>3.6880000000000002</v>
      </c>
      <c r="CP50" s="1425">
        <f>RevBuild!CJ65*RevBuild!CP70</f>
        <v>-2.5526000000000009</v>
      </c>
      <c r="CQ50" s="1419">
        <f>RevBuild!CK65*RevBuild!CQ70</f>
        <v>-3.9886978490268286</v>
      </c>
      <c r="CR50" s="1426"/>
      <c r="CS50" s="1422">
        <f>RevBuild!CM65*RevBuild!CS70</f>
        <v>-3.9579207958045162</v>
      </c>
      <c r="CT50" s="1423">
        <f>RevBuild!CN65*RevBuild!CT70</f>
        <v>3.5156554658805845</v>
      </c>
      <c r="CU50" s="1423">
        <f>RevBuild!CO65*RevBuild!CU70</f>
        <v>-6.1125436877465287</v>
      </c>
      <c r="CV50" s="1425">
        <f>RevBuild!CP65*RevBuild!CV70</f>
        <v>2.4920739298264998</v>
      </c>
      <c r="CW50" s="1419">
        <f>RevBuild!CQ65*RevBuild!CW70</f>
        <v>-4.0627350878439481</v>
      </c>
      <c r="CX50" s="2267"/>
      <c r="CY50" s="1422">
        <f>RevBuild!CS65*RevBuild!CY70</f>
        <v>1.2005693080607034</v>
      </c>
      <c r="CZ50" s="1423">
        <f>RevBuild!CT65*RevBuild!CZ70</f>
        <v>-6.4487165974152427</v>
      </c>
      <c r="DA50" s="1423">
        <f>RevBuild!CU65*RevBuild!DA70</f>
        <v>3.5860256301446305</v>
      </c>
      <c r="DB50" s="1425">
        <f>RevBuild!CV65*RevBuild!DB70</f>
        <v>-2.6166776263178253</v>
      </c>
      <c r="DC50" s="1419">
        <f>RevBuild!CW65*RevBuild!DC70</f>
        <v>-4.278799285527727</v>
      </c>
      <c r="DD50" s="2267"/>
      <c r="DE50" s="1422">
        <f>RevBuild!CY65*RevBuild!DE70</f>
        <v>-3.709759161907574</v>
      </c>
      <c r="DF50" s="1423">
        <f>RevBuild!CZ65*RevBuild!DF70</f>
        <v>3.3103411866731585</v>
      </c>
      <c r="DG50" s="1423">
        <f>RevBuild!DA65*RevBuild!DG70</f>
        <v>-5.809361520834301</v>
      </c>
      <c r="DH50" s="1425">
        <f>RevBuild!DB65*RevBuild!DH70</f>
        <v>2.4858437450019335</v>
      </c>
      <c r="DI50" s="1419">
        <f>RevBuild!DC65*RevBuild!DI70</f>
        <v>-3.7229357510667787</v>
      </c>
      <c r="DJ50" s="2267"/>
      <c r="DK50" s="2267"/>
      <c r="DL50" s="2190"/>
      <c r="DM50" s="2191"/>
      <c r="DN50" s="2191"/>
      <c r="DO50" s="2191"/>
      <c r="DP50" s="2191"/>
      <c r="DQ50" s="2191"/>
      <c r="DR50" s="2191"/>
      <c r="DS50" s="2191"/>
      <c r="DT50" s="2191"/>
      <c r="DU50" s="2191"/>
      <c r="DV50" s="2191"/>
      <c r="DW50" s="2191"/>
      <c r="DX50" s="2191"/>
      <c r="DY50" s="2191"/>
      <c r="DZ50" s="2191"/>
      <c r="EA50" s="2191"/>
      <c r="EB50" s="2191"/>
      <c r="EC50" s="2191"/>
      <c r="ED50" s="2191"/>
      <c r="EE50" s="2191"/>
      <c r="EF50" s="2192"/>
      <c r="EG50" s="2196"/>
      <c r="EH50" s="2194"/>
      <c r="EI50" s="2194"/>
      <c r="EJ50" s="2194"/>
      <c r="EK50" s="638"/>
      <c r="EL50" s="638"/>
    </row>
    <row r="51" spans="1:142" ht="11.25" customHeight="1">
      <c r="A51" s="1354" t="s">
        <v>252</v>
      </c>
      <c r="B51" s="925"/>
      <c r="C51" s="1356"/>
      <c r="D51" s="1357"/>
      <c r="E51" s="1356"/>
      <c r="F51" s="1356"/>
      <c r="G51" s="1356"/>
      <c r="H51" s="1356"/>
      <c r="I51" s="1356"/>
      <c r="J51" s="1356"/>
      <c r="K51" s="1356"/>
      <c r="L51" s="1356"/>
      <c r="M51" s="1356"/>
      <c r="N51" s="1356"/>
      <c r="O51" s="1356"/>
      <c r="P51" s="1356"/>
      <c r="Q51" s="1356"/>
      <c r="R51" s="1358"/>
      <c r="S51" s="1359"/>
      <c r="T51" s="1360"/>
      <c r="U51" s="1360"/>
      <c r="V51" s="1360"/>
      <c r="W51" s="1356"/>
      <c r="X51" s="1358"/>
      <c r="Y51" s="1359">
        <f>RevBuild!S61*RevBuild!Y62</f>
        <v>0</v>
      </c>
      <c r="Z51" s="1360">
        <f>RevBuild!T61*RevBuild!Z62</f>
        <v>0</v>
      </c>
      <c r="AA51" s="1360">
        <f>RevBuild!U61*RevBuild!AA62</f>
        <v>0</v>
      </c>
      <c r="AB51" s="1362">
        <f>RevBuild!V61*RevBuild!AB62</f>
        <v>0</v>
      </c>
      <c r="AC51" s="1356">
        <f>RevBuild!W61*RevBuild!AC62</f>
        <v>0</v>
      </c>
      <c r="AD51" s="1358"/>
      <c r="AE51" s="1359">
        <f>RevBuild!Y61*RevBuild!AE62</f>
        <v>0</v>
      </c>
      <c r="AF51" s="1360">
        <f>RevBuild!Z61*RevBuild!AF62</f>
        <v>0</v>
      </c>
      <c r="AG51" s="1360">
        <f>RevBuild!AA61*RevBuild!AG62</f>
        <v>0</v>
      </c>
      <c r="AH51" s="1362">
        <f>RevBuild!AB61*RevBuild!AH62</f>
        <v>0</v>
      </c>
      <c r="AI51" s="1356">
        <f>RevBuild!AC61*RevBuild!AI62</f>
        <v>5.899999999999995</v>
      </c>
      <c r="AJ51" s="1358"/>
      <c r="AK51" s="1359">
        <f>RevBuild!AE61*RevBuild!AK62</f>
        <v>-1.2999999999999989</v>
      </c>
      <c r="AL51" s="1360">
        <f>RevBuild!AF61*RevBuild!AL62</f>
        <v>1.7999999999999998</v>
      </c>
      <c r="AM51" s="1360">
        <f>RevBuild!AG61*RevBuild!AM62</f>
        <v>4.3000000000000007</v>
      </c>
      <c r="AN51" s="1362">
        <f>RevBuild!AH61*RevBuild!AN62</f>
        <v>12.799999999999999</v>
      </c>
      <c r="AO51" s="1356">
        <f>RevBuild!AI61*RevBuild!AO62</f>
        <v>17.599999999999998</v>
      </c>
      <c r="AP51" s="1358"/>
      <c r="AQ51" s="1359">
        <f>RevBuild!AK61*RevBuild!AQ62</f>
        <v>12.299999999999997</v>
      </c>
      <c r="AR51" s="1360">
        <f>RevBuild!AL61*RevBuild!AR62</f>
        <v>4.2999999999999989</v>
      </c>
      <c r="AS51" s="1360">
        <f>RevBuild!AM61*RevBuild!AS62</f>
        <v>7.3999999999999986</v>
      </c>
      <c r="AT51" s="1362">
        <f>RevBuild!AN61*RevBuild!AT62</f>
        <v>4.3</v>
      </c>
      <c r="AU51" s="1356">
        <f>RevBuild!AO61*RevBuild!AU62</f>
        <v>28.3</v>
      </c>
      <c r="AV51" s="1358"/>
      <c r="AW51" s="1359">
        <f>RevBuild!AQ61*RevBuild!AW62</f>
        <v>1.9000000000000015</v>
      </c>
      <c r="AX51" s="1360">
        <f>RevBuild!AR61*RevBuild!AX62</f>
        <v>8.3999999999999968</v>
      </c>
      <c r="AY51" s="1360">
        <f>RevBuild!AS61*RevBuild!AY62</f>
        <v>4.9000000000000039</v>
      </c>
      <c r="AZ51" s="1362">
        <f>RevBuild!AT61*RevBuild!AZ62</f>
        <v>4.1999999999999966</v>
      </c>
      <c r="BA51" s="1356">
        <f>RevBuild!AU61*RevBuild!BA62</f>
        <v>19.399999999999988</v>
      </c>
      <c r="BB51" s="1358"/>
      <c r="BC51" s="1359">
        <f>RevBuild!AW61*RevBuild!BC62</f>
        <v>6.1</v>
      </c>
      <c r="BD51" s="1360">
        <f>RevBuild!AX61*RevBuild!BD62</f>
        <v>-2.1000000000000014</v>
      </c>
      <c r="BE51" s="1360">
        <f>RevBuild!AY61*RevBuild!BE62</f>
        <v>-1.4000000000000026</v>
      </c>
      <c r="BF51" s="1362">
        <f>RevBuild!AZ61*RevBuild!BF62</f>
        <v>3.8000000000000114</v>
      </c>
      <c r="BG51" s="1356">
        <f>RevBuild!BA61*RevBuild!BG62</f>
        <v>6.400000000000003</v>
      </c>
      <c r="BH51" s="1358"/>
      <c r="BI51" s="1359">
        <f>RevBuild!BC61*RevBuild!BI62</f>
        <v>2.200000000000002</v>
      </c>
      <c r="BJ51" s="1360">
        <f>RevBuild!BD61*RevBuild!BJ62</f>
        <v>6.2000000000000028</v>
      </c>
      <c r="BK51" s="1360">
        <f>RevBuild!BE61*RevBuild!BK62</f>
        <v>6.8000000000000016</v>
      </c>
      <c r="BL51" s="1362">
        <f>RevBuild!BF61*RevBuild!BL62</f>
        <v>10.399999999999983</v>
      </c>
      <c r="BM51" s="1356">
        <f>RevBuild!BG61*RevBuild!BM62</f>
        <v>25.600000000000019</v>
      </c>
      <c r="BN51" s="1356"/>
      <c r="BO51" s="1359">
        <f>RevBuild!BI61*RevBuild!BO62</f>
        <v>3.4999999999999996</v>
      </c>
      <c r="BP51" s="1360">
        <f>RevBuild!BJ61*RevBuild!BP62</f>
        <v>10.299999999999997</v>
      </c>
      <c r="BQ51" s="1360">
        <f>RevBuild!BK61*RevBuild!BQ62</f>
        <v>7.8999999999999995</v>
      </c>
      <c r="BR51" s="1362">
        <f>RevBuild!BL61*RevBuild!BR62</f>
        <v>-10.599999999999994</v>
      </c>
      <c r="BS51" s="1356">
        <f>RevBuild!BM61*RevBuild!BS62</f>
        <v>11.099999999999991</v>
      </c>
      <c r="BT51" s="1356"/>
      <c r="BU51" s="1359">
        <f>RevBuild!BO61*RevBuild!BU62</f>
        <v>-7.3000000000000007</v>
      </c>
      <c r="BV51" s="1360">
        <f>RevBuild!BP61*RevBuild!BV62</f>
        <v>-10.6</v>
      </c>
      <c r="BW51" s="1360">
        <f>RevBuild!BQ61*RevBuild!BW62</f>
        <v>-7.3</v>
      </c>
      <c r="BX51" s="1362">
        <f>RevBuild!BR61*RevBuild!BX62</f>
        <v>6.4999999999999938</v>
      </c>
      <c r="BY51" s="1356">
        <f>RevBuild!BS61*RevBuild!BY62</f>
        <v>-18.70000000000001</v>
      </c>
      <c r="BZ51" s="1356"/>
      <c r="CA51" s="1359">
        <f>RevBuild!BU61*RevBuild!CA62</f>
        <v>9.9999999999997938E-2</v>
      </c>
      <c r="CB51" s="1360">
        <f>RevBuild!BV61*RevBuild!CB62</f>
        <v>-2.1000000000000019</v>
      </c>
      <c r="CC51" s="1360">
        <f>RevBuild!BW61*RevBuild!CC62</f>
        <v>2.7999999999999994</v>
      </c>
      <c r="CD51" s="1362">
        <f>RevBuild!BX61*RevBuild!CD62</f>
        <v>-3.5999999999999859</v>
      </c>
      <c r="CE51" s="1356">
        <f>RevBuild!BY61*RevBuild!CE62</f>
        <v>-2.7999999999999821</v>
      </c>
      <c r="CF51" s="1363"/>
      <c r="CG51" s="1359">
        <f>RevBuild!CA61*RevBuild!CG62</f>
        <v>12.800000000000006</v>
      </c>
      <c r="CH51" s="1360">
        <f>RevBuild!CB61*RevBuild!CH62</f>
        <v>25.6</v>
      </c>
      <c r="CI51" s="1360">
        <f>RevBuild!CC61*RevBuild!CI62</f>
        <v>10.600000000000005</v>
      </c>
      <c r="CJ51" s="1362">
        <f>RevBuild!CD61*RevBuild!CJ62</f>
        <v>0</v>
      </c>
      <c r="CK51" s="1356">
        <f>RevBuild!CE61*RevBuild!CK62</f>
        <v>0</v>
      </c>
      <c r="CL51" s="1363"/>
      <c r="CM51" s="1359">
        <f>RevBuild!CG61*RevBuild!CM62</f>
        <v>0</v>
      </c>
      <c r="CN51" s="1360">
        <f>RevBuild!CH61*RevBuild!CN62</f>
        <v>0</v>
      </c>
      <c r="CO51" s="1360">
        <f>RevBuild!CI61*RevBuild!CO62</f>
        <v>0</v>
      </c>
      <c r="CP51" s="1362">
        <f>RevBuild!CJ61*RevBuild!CP62</f>
        <v>0</v>
      </c>
      <c r="CQ51" s="1356">
        <f>RevBuild!CK61*RevBuild!CQ62</f>
        <v>0</v>
      </c>
      <c r="CR51" s="1363"/>
      <c r="CS51" s="1359">
        <f>RevBuild!CM61*RevBuild!CS62</f>
        <v>0</v>
      </c>
      <c r="CT51" s="1360">
        <f>RevBuild!CN61*RevBuild!CT62</f>
        <v>0</v>
      </c>
      <c r="CU51" s="1360">
        <f>RevBuild!CO61*RevBuild!CU62</f>
        <v>0</v>
      </c>
      <c r="CV51" s="1362">
        <f>RevBuild!CP61*RevBuild!CV62</f>
        <v>0</v>
      </c>
      <c r="CW51" s="1356">
        <f>RevBuild!CQ61*RevBuild!CW62</f>
        <v>0</v>
      </c>
      <c r="CX51" s="2267"/>
      <c r="CY51" s="1359">
        <f>RevBuild!CS61*RevBuild!CY62</f>
        <v>0</v>
      </c>
      <c r="CZ51" s="1360">
        <f>RevBuild!CT61*RevBuild!CZ62</f>
        <v>0</v>
      </c>
      <c r="DA51" s="1360">
        <f>RevBuild!CU61*RevBuild!DA62</f>
        <v>0</v>
      </c>
      <c r="DB51" s="1362">
        <f>RevBuild!CV61*RevBuild!DB62</f>
        <v>0</v>
      </c>
      <c r="DC51" s="1356">
        <f>RevBuild!CW61*RevBuild!DC62</f>
        <v>0</v>
      </c>
      <c r="DD51" s="2267"/>
      <c r="DE51" s="1359">
        <f>RevBuild!CY61*RevBuild!DE62</f>
        <v>0</v>
      </c>
      <c r="DF51" s="1360">
        <f>RevBuild!CZ61*RevBuild!DF62</f>
        <v>0</v>
      </c>
      <c r="DG51" s="1360">
        <f>RevBuild!DA61*RevBuild!DG62</f>
        <v>0</v>
      </c>
      <c r="DH51" s="1362">
        <f>RevBuild!DB61*RevBuild!DH62</f>
        <v>0</v>
      </c>
      <c r="DI51" s="1356">
        <f>RevBuild!DC61*RevBuild!DI62</f>
        <v>0</v>
      </c>
      <c r="DJ51" s="2267"/>
      <c r="DK51" s="2267"/>
      <c r="DL51" s="2190"/>
      <c r="DM51" s="2195"/>
      <c r="DN51" s="2195"/>
      <c r="DO51" s="2195"/>
      <c r="DP51" s="2195"/>
      <c r="DQ51" s="2195"/>
      <c r="DR51" s="2195"/>
      <c r="DS51" s="2195"/>
      <c r="DT51" s="2195"/>
      <c r="DU51" s="2195"/>
      <c r="DV51" s="2195"/>
      <c r="DW51" s="2195"/>
      <c r="DX51" s="2195"/>
      <c r="DY51" s="2195"/>
      <c r="DZ51" s="2195"/>
      <c r="EA51" s="2195"/>
      <c r="EB51" s="2195"/>
      <c r="EC51" s="2195"/>
      <c r="ED51" s="2195"/>
      <c r="EE51" s="2195"/>
      <c r="EF51" s="2200"/>
      <c r="EG51" s="2196"/>
      <c r="EH51" s="2194"/>
      <c r="EI51" s="2194"/>
      <c r="EJ51" s="2194"/>
      <c r="EK51" s="638"/>
      <c r="EL51" s="638"/>
    </row>
    <row r="52" spans="1:142" ht="11.25" customHeight="1">
      <c r="A52" s="1355" t="s">
        <v>253</v>
      </c>
      <c r="B52" s="1427"/>
      <c r="C52" s="1409"/>
      <c r="D52" s="1428"/>
      <c r="E52" s="1409"/>
      <c r="F52" s="1409"/>
      <c r="G52" s="1409"/>
      <c r="H52" s="1409"/>
      <c r="I52" s="1409"/>
      <c r="J52" s="1409"/>
      <c r="K52" s="1409"/>
      <c r="L52" s="1409"/>
      <c r="M52" s="1409"/>
      <c r="N52" s="1409"/>
      <c r="O52" s="1409"/>
      <c r="P52" s="1409"/>
      <c r="Q52" s="1409"/>
      <c r="R52" s="1405"/>
      <c r="S52" s="1406"/>
      <c r="T52" s="1407"/>
      <c r="U52" s="1407"/>
      <c r="V52" s="1407"/>
      <c r="W52" s="1409"/>
      <c r="X52" s="1405"/>
      <c r="Y52" s="1406">
        <f>RevBuild!S63*RevBuild!Y64</f>
        <v>0</v>
      </c>
      <c r="Z52" s="1407">
        <f>RevBuild!T63*RevBuild!Z64</f>
        <v>0</v>
      </c>
      <c r="AA52" s="1407">
        <f>RevBuild!U63*RevBuild!AA64</f>
        <v>0</v>
      </c>
      <c r="AB52" s="1408">
        <f>RevBuild!V63*RevBuild!AB64</f>
        <v>0</v>
      </c>
      <c r="AC52" s="1409">
        <f>RevBuild!W63*RevBuild!AC64</f>
        <v>0</v>
      </c>
      <c r="AD52" s="1405"/>
      <c r="AE52" s="1406">
        <f>RevBuild!Y63*RevBuild!AE64</f>
        <v>0</v>
      </c>
      <c r="AF52" s="1407">
        <f>RevBuild!Z63*RevBuild!AF64</f>
        <v>0</v>
      </c>
      <c r="AG52" s="1407">
        <f>RevBuild!AA63*RevBuild!AG64</f>
        <v>0</v>
      </c>
      <c r="AH52" s="1408">
        <f>RevBuild!AB63*RevBuild!AH64</f>
        <v>0</v>
      </c>
      <c r="AI52" s="1409">
        <f>RevBuild!AC63*RevBuild!AI64</f>
        <v>-0.10000000000000005</v>
      </c>
      <c r="AJ52" s="1405"/>
      <c r="AK52" s="1406">
        <f>RevBuild!AE63*RevBuild!AK64</f>
        <v>-0.5</v>
      </c>
      <c r="AL52" s="1407">
        <f>RevBuild!AF63*RevBuild!AL64</f>
        <v>-0.6</v>
      </c>
      <c r="AM52" s="1407">
        <f>RevBuild!AG63*RevBuild!AM64</f>
        <v>-0.30000000000000004</v>
      </c>
      <c r="AN52" s="1408">
        <f>RevBuild!AH63*RevBuild!AN64</f>
        <v>0.10000000000000031</v>
      </c>
      <c r="AO52" s="1409">
        <f>RevBuild!AI63*RevBuild!AO64</f>
        <v>-1.2999999999999996</v>
      </c>
      <c r="AP52" s="1405"/>
      <c r="AQ52" s="1406">
        <f>RevBuild!AK63*RevBuild!AQ64</f>
        <v>0.30000000000000004</v>
      </c>
      <c r="AR52" s="1407">
        <f>RevBuild!AL63*RevBuild!AR64</f>
        <v>0.1</v>
      </c>
      <c r="AS52" s="1407">
        <f>RevBuild!AM63*RevBuild!AS64</f>
        <v>0.79999999999999993</v>
      </c>
      <c r="AT52" s="1408">
        <f>RevBuild!AN63*RevBuild!AT64</f>
        <v>1.1999999999999995</v>
      </c>
      <c r="AU52" s="1409">
        <f>RevBuild!AO63*RevBuild!AU64</f>
        <v>2.399999999999999</v>
      </c>
      <c r="AV52" s="1405"/>
      <c r="AW52" s="1406">
        <f>RevBuild!AQ63*RevBuild!AW64</f>
        <v>1.4000000000000001</v>
      </c>
      <c r="AX52" s="1407">
        <f>RevBuild!AR63*RevBuild!AX64</f>
        <v>1.6</v>
      </c>
      <c r="AY52" s="1407">
        <f>RevBuild!AS63*RevBuild!AY64</f>
        <v>0.39999999999999991</v>
      </c>
      <c r="AZ52" s="1408">
        <f>RevBuild!AT63*RevBuild!AZ64</f>
        <v>9.9999999999999631E-2</v>
      </c>
      <c r="BA52" s="1409">
        <f>RevBuild!AU63*RevBuild!BA64</f>
        <v>3.5000000000000018</v>
      </c>
      <c r="BB52" s="1405"/>
      <c r="BC52" s="1406">
        <f>RevBuild!AW63*RevBuild!BC64</f>
        <v>-0.10000000000000016</v>
      </c>
      <c r="BD52" s="1407">
        <f>RevBuild!AX63*RevBuild!BD64</f>
        <v>0</v>
      </c>
      <c r="BE52" s="1407">
        <f>RevBuild!AY63*RevBuild!BE64</f>
        <v>16.100000000000001</v>
      </c>
      <c r="BF52" s="1408">
        <f>RevBuild!AZ63*RevBuild!BF64</f>
        <v>0.40000000000000069</v>
      </c>
      <c r="BG52" s="1409">
        <f>RevBuild!BA63*RevBuild!BG64</f>
        <v>16.399999999999999</v>
      </c>
      <c r="BH52" s="1405"/>
      <c r="BI52" s="1406">
        <f>RevBuild!BC63*RevBuild!BI64</f>
        <v>-1</v>
      </c>
      <c r="BJ52" s="1407">
        <f>RevBuild!BD63*RevBuild!BJ64</f>
        <v>4.8999999999999995</v>
      </c>
      <c r="BK52" s="1407">
        <f>RevBuild!BE63*RevBuild!BK64</f>
        <v>-16.7</v>
      </c>
      <c r="BL52" s="1408">
        <f>RevBuild!BF63*RevBuild!BL64</f>
        <v>-1.6000000000000014</v>
      </c>
      <c r="BM52" s="1409">
        <f>RevBuild!BG63*RevBuild!BM64</f>
        <v>-14.399999999999999</v>
      </c>
      <c r="BN52" s="1409"/>
      <c r="BO52" s="1406">
        <f>RevBuild!BI63*RevBuild!BO64</f>
        <v>9.9999999999999922E-2</v>
      </c>
      <c r="BP52" s="1407">
        <f>RevBuild!BJ63*RevBuild!BP64</f>
        <v>-6</v>
      </c>
      <c r="BQ52" s="1407">
        <f>RevBuild!BK63*RevBuild!BQ64</f>
        <v>-0.4</v>
      </c>
      <c r="BR52" s="1408">
        <f>RevBuild!BL63*RevBuild!BR64</f>
        <v>0.70000000000000129</v>
      </c>
      <c r="BS52" s="1409">
        <f>RevBuild!BM63*RevBuild!BS64</f>
        <v>-5.6000000000000005</v>
      </c>
      <c r="BT52" s="1409"/>
      <c r="BU52" s="1406">
        <f>RevBuild!BO63*RevBuild!BU64</f>
        <v>0</v>
      </c>
      <c r="BV52" s="1407">
        <f>RevBuild!BP63*RevBuild!BV64</f>
        <v>0</v>
      </c>
      <c r="BW52" s="1407">
        <f>RevBuild!BQ63*RevBuild!BW64</f>
        <v>0.20000000000000009</v>
      </c>
      <c r="BX52" s="1408">
        <f>RevBuild!BR63*RevBuild!BX64</f>
        <v>-0.70000000000000007</v>
      </c>
      <c r="BY52" s="1409">
        <f>RevBuild!BS63*RevBuild!BY64</f>
        <v>-0.50000000000000022</v>
      </c>
      <c r="BZ52" s="1409"/>
      <c r="CA52" s="1406">
        <f>RevBuild!BU63*RevBuild!CA64</f>
        <v>-0.39999999999999991</v>
      </c>
      <c r="CB52" s="1407">
        <f>RevBuild!BV63*RevBuild!CB64</f>
        <v>-0.19999999999999996</v>
      </c>
      <c r="CC52" s="1407">
        <f>RevBuild!BW63*RevBuild!CC64</f>
        <v>-0.20000000000000009</v>
      </c>
      <c r="CD52" s="1408">
        <f>RevBuild!BX63*RevBuild!CD64</f>
        <v>9.9999999999999797E-2</v>
      </c>
      <c r="CE52" s="1409">
        <f>RevBuild!BY63*RevBuild!CE64</f>
        <v>-0.70000000000000018</v>
      </c>
      <c r="CF52" s="1410"/>
      <c r="CG52" s="1406">
        <f>RevBuild!CA63*RevBuild!CG64</f>
        <v>0.1</v>
      </c>
      <c r="CH52" s="1407">
        <f>RevBuild!CB63*RevBuild!CH64</f>
        <v>-0.10000000000000009</v>
      </c>
      <c r="CI52" s="1407">
        <f>RevBuild!CC63*RevBuild!CI64</f>
        <v>0</v>
      </c>
      <c r="CJ52" s="1408">
        <f>RevBuild!CD63*RevBuild!CJ64</f>
        <v>0</v>
      </c>
      <c r="CK52" s="1409">
        <f>RevBuild!CE63*RevBuild!CK64</f>
        <v>0</v>
      </c>
      <c r="CL52" s="1410"/>
      <c r="CM52" s="1406">
        <f>RevBuild!CG63*RevBuild!CM64</f>
        <v>0</v>
      </c>
      <c r="CN52" s="1407">
        <f>RevBuild!CH63*RevBuild!CN64</f>
        <v>0</v>
      </c>
      <c r="CO52" s="1407">
        <f>RevBuild!CI63*RevBuild!CO64</f>
        <v>0</v>
      </c>
      <c r="CP52" s="1408">
        <f>RevBuild!CJ63*RevBuild!CP64</f>
        <v>0</v>
      </c>
      <c r="CQ52" s="1409">
        <f>RevBuild!CK63*RevBuild!CQ64</f>
        <v>0</v>
      </c>
      <c r="CR52" s="1410"/>
      <c r="CS52" s="1406">
        <f>RevBuild!CM63*RevBuild!CS64</f>
        <v>0</v>
      </c>
      <c r="CT52" s="1407">
        <f>RevBuild!CN63*RevBuild!CT64</f>
        <v>0</v>
      </c>
      <c r="CU52" s="1407">
        <f>RevBuild!CO63*RevBuild!CU64</f>
        <v>0</v>
      </c>
      <c r="CV52" s="1408">
        <f>RevBuild!CP63*RevBuild!CV64</f>
        <v>0</v>
      </c>
      <c r="CW52" s="1409">
        <f>RevBuild!CQ63*RevBuild!CW64</f>
        <v>0</v>
      </c>
      <c r="CX52" s="2267"/>
      <c r="CY52" s="1406">
        <f>RevBuild!CS63*RevBuild!CY64</f>
        <v>0</v>
      </c>
      <c r="CZ52" s="1407">
        <f>RevBuild!CT63*RevBuild!CZ64</f>
        <v>0</v>
      </c>
      <c r="DA52" s="1407">
        <f>RevBuild!CU63*RevBuild!DA64</f>
        <v>0</v>
      </c>
      <c r="DB52" s="1408">
        <f>RevBuild!CV63*RevBuild!DB64</f>
        <v>0</v>
      </c>
      <c r="DC52" s="1409">
        <f>RevBuild!CW63*RevBuild!DC64</f>
        <v>0</v>
      </c>
      <c r="DD52" s="2267"/>
      <c r="DE52" s="1406">
        <f>RevBuild!CY63*RevBuild!DE64</f>
        <v>0</v>
      </c>
      <c r="DF52" s="1407">
        <f>RevBuild!CZ63*RevBuild!DF64</f>
        <v>0</v>
      </c>
      <c r="DG52" s="1407">
        <f>RevBuild!DA63*RevBuild!DG64</f>
        <v>0</v>
      </c>
      <c r="DH52" s="1408">
        <f>RevBuild!DB63*RevBuild!DH64</f>
        <v>0</v>
      </c>
      <c r="DI52" s="1409">
        <f>RevBuild!DC63*RevBuild!DI64</f>
        <v>0</v>
      </c>
      <c r="DJ52" s="2267"/>
      <c r="DK52" s="2267"/>
      <c r="DL52" s="2197"/>
      <c r="DM52" s="2198"/>
      <c r="DN52" s="2198"/>
      <c r="DO52" s="2198"/>
      <c r="DP52" s="2198"/>
      <c r="DQ52" s="2198"/>
      <c r="DR52" s="2198"/>
      <c r="DS52" s="2198"/>
      <c r="DT52" s="2198"/>
      <c r="DU52" s="2198"/>
      <c r="DV52" s="2198"/>
      <c r="DW52" s="2198"/>
      <c r="DX52" s="2198"/>
      <c r="DY52" s="2198"/>
      <c r="DZ52" s="2198"/>
      <c r="EA52" s="2198"/>
      <c r="EB52" s="2198"/>
      <c r="EC52" s="2198"/>
      <c r="ED52" s="2198"/>
      <c r="EE52" s="2198"/>
      <c r="EF52" s="2198"/>
      <c r="EG52" s="2196"/>
      <c r="EH52" s="2194"/>
      <c r="EI52" s="2194"/>
      <c r="EJ52" s="2194"/>
      <c r="EK52" s="638"/>
      <c r="EL52" s="638"/>
    </row>
    <row r="53" spans="1:142" ht="11.25" customHeight="1">
      <c r="DL53" s="2197"/>
      <c r="DM53" s="2198"/>
      <c r="DN53" s="2198"/>
      <c r="DO53" s="2198"/>
      <c r="DP53" s="2198"/>
      <c r="DQ53" s="2198"/>
      <c r="DR53" s="2198"/>
      <c r="DS53" s="2198"/>
      <c r="DT53" s="2198"/>
      <c r="DU53" s="2198"/>
      <c r="DV53" s="2198"/>
      <c r="DW53" s="2198"/>
      <c r="DX53" s="2198"/>
      <c r="DY53" s="2198"/>
      <c r="DZ53" s="2198"/>
      <c r="EA53" s="2198"/>
      <c r="EB53" s="2198"/>
      <c r="EC53" s="2198"/>
      <c r="ED53" s="2198"/>
      <c r="EE53" s="2198"/>
      <c r="EF53" s="2198"/>
      <c r="EG53" s="2196"/>
      <c r="EH53" s="2194"/>
      <c r="EI53" s="2194"/>
      <c r="EJ53" s="2194"/>
      <c r="EK53" s="638"/>
      <c r="EL53" s="638"/>
    </row>
    <row r="54" spans="1:142" ht="11.25" customHeight="1">
      <c r="DL54" s="2197"/>
      <c r="DM54" s="2198"/>
      <c r="DN54" s="2198"/>
      <c r="DO54" s="2198"/>
      <c r="DP54" s="2198"/>
      <c r="DQ54" s="2198"/>
      <c r="DR54" s="2198"/>
      <c r="DS54" s="2198"/>
      <c r="DT54" s="2198"/>
      <c r="DU54" s="2198"/>
      <c r="DV54" s="2198"/>
      <c r="DW54" s="2198"/>
      <c r="DX54" s="2198"/>
      <c r="DY54" s="2198"/>
      <c r="DZ54" s="2198"/>
      <c r="EA54" s="2198"/>
      <c r="EB54" s="2198"/>
      <c r="EC54" s="2198"/>
      <c r="ED54" s="2198"/>
      <c r="EE54" s="2198"/>
      <c r="EF54" s="2198"/>
      <c r="EG54" s="2196"/>
      <c r="EH54" s="2194"/>
      <c r="EI54" s="2194"/>
      <c r="EJ54" s="2194"/>
      <c r="EK54" s="638"/>
      <c r="EL54" s="638"/>
    </row>
    <row r="55" spans="1:142" ht="11.25" customHeight="1">
      <c r="DL55" s="2197"/>
      <c r="DM55" s="2198"/>
      <c r="DN55" s="2198"/>
      <c r="DO55" s="2198"/>
      <c r="DP55" s="2198"/>
      <c r="DQ55" s="2198"/>
      <c r="DR55" s="2198"/>
      <c r="DS55" s="2198"/>
      <c r="DT55" s="2198"/>
      <c r="DU55" s="2198"/>
      <c r="DV55" s="2198"/>
      <c r="DW55" s="2198"/>
      <c r="DX55" s="2198"/>
      <c r="DY55" s="2198"/>
      <c r="DZ55" s="2198"/>
      <c r="EA55" s="2198"/>
      <c r="EB55" s="2198"/>
      <c r="EC55" s="2198"/>
      <c r="ED55" s="2198"/>
      <c r="EE55" s="2198"/>
      <c r="EF55" s="2198"/>
      <c r="EG55" s="2196"/>
      <c r="EH55" s="2194"/>
      <c r="EI55" s="2194"/>
      <c r="EJ55" s="2194"/>
      <c r="EK55" s="638"/>
      <c r="EL55" s="638"/>
    </row>
    <row r="56" spans="1:142" ht="11.25" customHeight="1">
      <c r="DL56" s="2202"/>
      <c r="DM56" s="2203"/>
      <c r="DN56" s="2203"/>
      <c r="DO56" s="2203"/>
      <c r="DP56" s="2203"/>
      <c r="DQ56" s="2204"/>
      <c r="DR56" s="2204"/>
      <c r="DS56" s="2204"/>
      <c r="DT56" s="2204"/>
      <c r="DU56" s="2204"/>
      <c r="DV56" s="2204"/>
      <c r="DW56" s="2204"/>
      <c r="DX56" s="2204"/>
      <c r="DY56" s="2204"/>
      <c r="DZ56" s="2204"/>
      <c r="EA56" s="2204"/>
      <c r="EB56" s="2204"/>
      <c r="EC56" s="2204"/>
      <c r="ED56" s="2204"/>
      <c r="EE56" s="2204"/>
      <c r="EF56" s="2204"/>
      <c r="EG56" s="2196"/>
      <c r="EH56" s="2194"/>
      <c r="EI56" s="2194"/>
      <c r="EJ56" s="2194"/>
      <c r="EK56" s="638"/>
      <c r="EL56" s="638"/>
    </row>
    <row r="57" spans="1:142" ht="11.25" customHeight="1">
      <c r="DL57" s="2205"/>
      <c r="DM57" s="2205"/>
      <c r="DN57" s="2205"/>
      <c r="DO57" s="2205"/>
      <c r="DP57" s="2205"/>
      <c r="DQ57" s="2205"/>
      <c r="DR57" s="2205"/>
      <c r="DS57" s="2205"/>
      <c r="DT57" s="2205"/>
      <c r="DU57" s="2205"/>
      <c r="DV57" s="2205"/>
      <c r="DW57" s="2205"/>
      <c r="DX57" s="2205"/>
      <c r="DY57" s="2205"/>
      <c r="DZ57" s="2205"/>
      <c r="EA57" s="2205"/>
      <c r="EB57" s="2205"/>
      <c r="EC57" s="2205"/>
      <c r="ED57" s="2205"/>
      <c r="EE57" s="2205"/>
      <c r="EF57" s="2205"/>
      <c r="EG57" s="2205"/>
      <c r="EH57" s="638"/>
      <c r="EI57" s="638"/>
      <c r="EJ57" s="638"/>
      <c r="EK57" s="638"/>
      <c r="EL57" s="638"/>
    </row>
    <row r="58" spans="1:142" ht="11.25" customHeight="1">
      <c r="DL58" s="2205"/>
      <c r="DM58" s="2205"/>
      <c r="DN58" s="2205"/>
      <c r="DO58" s="2205"/>
      <c r="DP58" s="2205"/>
      <c r="DQ58" s="2205"/>
      <c r="DR58" s="2205"/>
      <c r="DS58" s="2205"/>
      <c r="DT58" s="2205"/>
      <c r="DU58" s="2205"/>
      <c r="DV58" s="2205"/>
      <c r="DW58" s="2205"/>
      <c r="DX58" s="2205"/>
      <c r="DY58" s="2205"/>
      <c r="DZ58" s="2205"/>
      <c r="EA58" s="2205"/>
      <c r="EB58" s="2205"/>
      <c r="EC58" s="2205"/>
      <c r="ED58" s="2205"/>
      <c r="EE58" s="2205"/>
      <c r="EF58" s="2205"/>
      <c r="EG58" s="2205"/>
      <c r="EH58" s="638"/>
      <c r="EI58" s="638"/>
      <c r="EJ58" s="638"/>
      <c r="EK58" s="638"/>
      <c r="EL58" s="638"/>
    </row>
    <row r="59" spans="1:142" ht="11.25" customHeight="1">
      <c r="DL59" s="2205"/>
      <c r="DM59" s="2205"/>
      <c r="DN59" s="2205"/>
      <c r="DO59" s="2205"/>
      <c r="DP59" s="2205"/>
      <c r="DQ59" s="2205"/>
      <c r="DR59" s="2205"/>
      <c r="DS59" s="2205"/>
      <c r="DT59" s="2205"/>
      <c r="DU59" s="2205"/>
      <c r="DV59" s="2205"/>
      <c r="DW59" s="2205"/>
      <c r="DX59" s="2205"/>
      <c r="DY59" s="2205"/>
      <c r="DZ59" s="2205"/>
      <c r="EA59" s="2205"/>
      <c r="EB59" s="2205"/>
      <c r="EC59" s="2205"/>
      <c r="ED59" s="2205"/>
      <c r="EE59" s="2205"/>
      <c r="EF59" s="2205"/>
      <c r="EG59" s="2205"/>
      <c r="EH59" s="638"/>
      <c r="EI59" s="638"/>
      <c r="EJ59" s="638"/>
      <c r="EK59" s="638"/>
      <c r="EL59" s="638"/>
    </row>
    <row r="60" spans="1:142" ht="11.25" customHeight="1">
      <c r="DL60" s="2205"/>
      <c r="DM60" s="2205"/>
      <c r="DN60" s="2205"/>
      <c r="DO60" s="2205"/>
      <c r="DP60" s="2205"/>
      <c r="DQ60" s="2205"/>
      <c r="DR60" s="2205"/>
      <c r="DS60" s="2205"/>
      <c r="DT60" s="2205"/>
      <c r="DU60" s="2205"/>
      <c r="DV60" s="2205"/>
      <c r="DW60" s="2205"/>
      <c r="DX60" s="2205"/>
      <c r="DY60" s="2205"/>
      <c r="DZ60" s="2205"/>
      <c r="EA60" s="2205"/>
      <c r="EB60" s="2205"/>
      <c r="EC60" s="2205"/>
      <c r="ED60" s="2205"/>
      <c r="EE60" s="2205"/>
      <c r="EF60" s="2205"/>
      <c r="EG60" s="2205"/>
      <c r="EH60" s="638"/>
      <c r="EI60" s="638"/>
      <c r="EJ60" s="638"/>
      <c r="EK60" s="638"/>
      <c r="EL60" s="638"/>
    </row>
    <row r="61" spans="1:142" ht="11.25" customHeight="1">
      <c r="DL61" s="2205"/>
      <c r="DM61" s="2205"/>
      <c r="DN61" s="2205"/>
      <c r="DO61" s="2205"/>
      <c r="DP61" s="2205"/>
      <c r="DQ61" s="2205"/>
      <c r="DR61" s="2205"/>
      <c r="DS61" s="2205"/>
      <c r="DT61" s="2205"/>
      <c r="DU61" s="2205"/>
      <c r="DV61" s="2205"/>
      <c r="DW61" s="2205"/>
      <c r="DX61" s="2205"/>
      <c r="DY61" s="2205"/>
      <c r="DZ61" s="2205"/>
      <c r="EA61" s="2205"/>
      <c r="EB61" s="2205"/>
      <c r="EC61" s="2205"/>
      <c r="ED61" s="2205"/>
      <c r="EE61" s="2205"/>
      <c r="EF61" s="2205"/>
      <c r="EG61" s="2205"/>
      <c r="EH61" s="638"/>
      <c r="EI61" s="638"/>
      <c r="EJ61" s="638"/>
      <c r="EK61" s="638"/>
      <c r="EL61" s="638"/>
    </row>
    <row r="62" spans="1:142" ht="11.25" customHeight="1">
      <c r="DL62" s="2205"/>
      <c r="DM62" s="2205"/>
      <c r="DN62" s="2205"/>
      <c r="DO62" s="2205"/>
      <c r="DP62" s="2205"/>
      <c r="DQ62" s="2205"/>
      <c r="DR62" s="2205"/>
      <c r="DS62" s="2205"/>
      <c r="DT62" s="2205"/>
      <c r="DU62" s="2205"/>
      <c r="DV62" s="2205"/>
      <c r="DW62" s="2205"/>
      <c r="DX62" s="2205"/>
      <c r="DY62" s="2205"/>
      <c r="DZ62" s="2205"/>
      <c r="EA62" s="2205"/>
      <c r="EB62" s="2205"/>
      <c r="EC62" s="2205"/>
      <c r="ED62" s="2205"/>
      <c r="EE62" s="2205"/>
      <c r="EF62" s="2205"/>
      <c r="EG62" s="2205"/>
      <c r="EH62" s="638"/>
      <c r="EI62" s="638"/>
      <c r="EJ62" s="638"/>
      <c r="EK62" s="638"/>
      <c r="EL62" s="638"/>
    </row>
    <row r="63" spans="1:142" ht="11.25" customHeight="1">
      <c r="DL63" s="638"/>
      <c r="DM63" s="638"/>
      <c r="DN63" s="638"/>
      <c r="DO63" s="638"/>
      <c r="DP63" s="638"/>
      <c r="DQ63" s="638"/>
      <c r="DR63" s="638"/>
      <c r="DS63" s="638"/>
      <c r="DT63" s="638"/>
      <c r="DU63" s="638"/>
      <c r="DV63" s="638"/>
      <c r="DW63" s="638"/>
      <c r="DX63" s="638"/>
      <c r="DY63" s="638"/>
      <c r="DZ63" s="638"/>
      <c r="EA63" s="638"/>
      <c r="EB63" s="638"/>
      <c r="EC63" s="638"/>
      <c r="ED63" s="638"/>
      <c r="EE63" s="638"/>
      <c r="EF63" s="638"/>
      <c r="EG63" s="638"/>
      <c r="EH63" s="638"/>
      <c r="EI63" s="638"/>
      <c r="EJ63" s="638"/>
      <c r="EK63" s="638"/>
      <c r="EL63" s="638"/>
    </row>
    <row r="64" spans="1:142" ht="11.25" customHeight="1">
      <c r="DL64" s="638"/>
      <c r="DM64" s="638"/>
      <c r="DN64" s="638"/>
      <c r="DO64" s="638"/>
      <c r="DP64" s="638"/>
      <c r="DQ64" s="638"/>
      <c r="DR64" s="638"/>
      <c r="DS64" s="638"/>
      <c r="DT64" s="638"/>
      <c r="DU64" s="638"/>
      <c r="DV64" s="638"/>
      <c r="DW64" s="638"/>
      <c r="DX64" s="638"/>
      <c r="DY64" s="638"/>
      <c r="DZ64" s="638"/>
      <c r="EA64" s="638"/>
      <c r="EB64" s="638"/>
      <c r="EC64" s="638"/>
      <c r="ED64" s="638"/>
      <c r="EE64" s="638"/>
      <c r="EF64" s="638"/>
      <c r="EG64" s="638"/>
      <c r="EH64" s="638"/>
      <c r="EI64" s="638"/>
      <c r="EJ64" s="638"/>
      <c r="EK64" s="638"/>
      <c r="EL64" s="638"/>
    </row>
    <row r="65" spans="116:142" ht="11.25" customHeight="1">
      <c r="DL65" s="638"/>
      <c r="DM65" s="638"/>
      <c r="DN65" s="638"/>
      <c r="DO65" s="638"/>
      <c r="DP65" s="638"/>
      <c r="DQ65" s="638"/>
      <c r="DR65" s="638"/>
      <c r="DS65" s="638"/>
      <c r="DT65" s="638"/>
      <c r="DU65" s="638"/>
      <c r="DV65" s="638"/>
      <c r="DW65" s="638"/>
      <c r="DX65" s="638"/>
      <c r="DY65" s="638"/>
      <c r="DZ65" s="638"/>
      <c r="EA65" s="638"/>
      <c r="EB65" s="638"/>
      <c r="EC65" s="638"/>
      <c r="ED65" s="638"/>
      <c r="EE65" s="638"/>
      <c r="EF65" s="638"/>
      <c r="EG65" s="638"/>
      <c r="EH65" s="638"/>
      <c r="EI65" s="638"/>
      <c r="EJ65" s="638"/>
      <c r="EK65" s="638"/>
      <c r="EL65" s="638"/>
    </row>
    <row r="66" spans="116:142" ht="11.25" customHeight="1">
      <c r="DL66" s="638"/>
      <c r="DM66" s="638"/>
      <c r="DN66" s="638"/>
      <c r="DO66" s="638"/>
      <c r="DP66" s="638"/>
      <c r="DQ66" s="638"/>
      <c r="DR66" s="638"/>
      <c r="DS66" s="638"/>
      <c r="DT66" s="638"/>
      <c r="DU66" s="638"/>
      <c r="DV66" s="638"/>
      <c r="DW66" s="638"/>
      <c r="DX66" s="638"/>
      <c r="DY66" s="638"/>
      <c r="DZ66" s="638"/>
      <c r="EA66" s="638"/>
      <c r="EB66" s="638"/>
      <c r="EC66" s="638"/>
      <c r="ED66" s="638"/>
      <c r="EE66" s="638"/>
      <c r="EF66" s="638"/>
      <c r="EG66" s="638"/>
      <c r="EH66" s="638"/>
      <c r="EI66" s="638"/>
      <c r="EJ66" s="638"/>
      <c r="EK66" s="638"/>
      <c r="EL66" s="638"/>
    </row>
    <row r="67" spans="116:142" ht="11.25" customHeight="1">
      <c r="DL67" s="638"/>
      <c r="DM67" s="638"/>
      <c r="DN67" s="638"/>
      <c r="DO67" s="638"/>
      <c r="DP67" s="638"/>
      <c r="DQ67" s="638"/>
      <c r="DR67" s="638"/>
      <c r="DS67" s="638"/>
      <c r="DT67" s="638"/>
      <c r="DU67" s="638"/>
      <c r="DV67" s="638"/>
      <c r="DW67" s="638"/>
      <c r="DX67" s="638"/>
      <c r="DY67" s="638"/>
      <c r="DZ67" s="638"/>
      <c r="EA67" s="638"/>
      <c r="EB67" s="638"/>
      <c r="EC67" s="638"/>
      <c r="ED67" s="638"/>
      <c r="EE67" s="638"/>
      <c r="EF67" s="638"/>
      <c r="EG67" s="638"/>
      <c r="EH67" s="638"/>
      <c r="EI67" s="638"/>
      <c r="EJ67" s="638"/>
      <c r="EK67" s="638"/>
      <c r="EL67" s="638"/>
    </row>
    <row r="68" spans="116:142" ht="11.25" customHeight="1">
      <c r="DL68" s="638"/>
      <c r="DM68" s="638"/>
      <c r="DN68" s="638"/>
      <c r="DO68" s="638"/>
      <c r="DP68" s="638"/>
      <c r="DQ68" s="638"/>
      <c r="DR68" s="638"/>
      <c r="DS68" s="638"/>
      <c r="DT68" s="638"/>
      <c r="DU68" s="638"/>
      <c r="DV68" s="638"/>
      <c r="DW68" s="638"/>
      <c r="DX68" s="638"/>
      <c r="DY68" s="638"/>
      <c r="DZ68" s="638"/>
      <c r="EA68" s="638"/>
      <c r="EB68" s="638"/>
      <c r="EC68" s="638"/>
      <c r="ED68" s="638"/>
      <c r="EE68" s="638"/>
      <c r="EF68" s="638"/>
      <c r="EG68" s="638"/>
      <c r="EH68" s="638"/>
      <c r="EI68" s="638"/>
      <c r="EJ68" s="638"/>
      <c r="EK68" s="638"/>
      <c r="EL68" s="638"/>
    </row>
    <row r="69" spans="116:142" ht="11.25" customHeight="1">
      <c r="DL69" s="638"/>
      <c r="DM69" s="638"/>
      <c r="DN69" s="638"/>
      <c r="DO69" s="638"/>
      <c r="DP69" s="638"/>
      <c r="DQ69" s="638"/>
      <c r="DR69" s="638"/>
      <c r="DS69" s="638"/>
      <c r="DT69" s="638"/>
      <c r="DU69" s="638"/>
      <c r="DV69" s="638"/>
      <c r="DW69" s="638"/>
      <c r="DX69" s="638"/>
      <c r="DY69" s="638"/>
      <c r="DZ69" s="638"/>
      <c r="EA69" s="638"/>
      <c r="EB69" s="638"/>
      <c r="EC69" s="638"/>
      <c r="ED69" s="638"/>
      <c r="EE69" s="638"/>
      <c r="EF69" s="638"/>
      <c r="EG69" s="638"/>
      <c r="EH69" s="638"/>
      <c r="EI69" s="638"/>
      <c r="EJ69" s="638"/>
      <c r="EK69" s="638"/>
      <c r="EL69" s="638"/>
    </row>
    <row r="70" spans="116:142" ht="11.25" customHeight="1">
      <c r="DL70" s="638"/>
      <c r="DM70" s="638"/>
      <c r="DN70" s="638"/>
      <c r="DO70" s="638"/>
      <c r="DP70" s="638"/>
      <c r="DQ70" s="638"/>
      <c r="DR70" s="638"/>
      <c r="DS70" s="638"/>
      <c r="DT70" s="638"/>
      <c r="DU70" s="638"/>
      <c r="DV70" s="638"/>
      <c r="DW70" s="638"/>
      <c r="DX70" s="638"/>
      <c r="DY70" s="638"/>
      <c r="DZ70" s="638"/>
      <c r="EA70" s="638"/>
      <c r="EB70" s="638"/>
      <c r="EC70" s="638"/>
      <c r="ED70" s="638"/>
      <c r="EE70" s="638"/>
      <c r="EF70" s="638"/>
      <c r="EG70" s="638"/>
      <c r="EH70" s="638"/>
      <c r="EI70" s="638"/>
      <c r="EJ70" s="638"/>
      <c r="EK70" s="638"/>
      <c r="EL70" s="638"/>
    </row>
    <row r="71" spans="116:142" ht="11.25" customHeight="1"/>
    <row r="72" spans="116:142" ht="11.25" customHeight="1"/>
  </sheetData>
  <phoneticPr fontId="6" type="noConversion"/>
  <pageMargins left="0" right="0" top="0" bottom="0" header="0" footer="0"/>
  <pageSetup paperSize="5" orientation="landscape" r:id="rId1"/>
  <headerFooter alignWithMargins="0"/>
  <ignoredErrors>
    <ignoredError sqref="AH42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EK202"/>
  <sheetViews>
    <sheetView showGridLines="0" zoomScaleNormal="100" workbookViewId="0">
      <pane xSplit="1" ySplit="8" topLeftCell="B9" activePane="bottomRight" state="frozen"/>
      <selection activeCell="B7" sqref="B7"/>
      <selection pane="topRight" activeCell="B7" sqref="B7"/>
      <selection pane="bottomLeft" activeCell="B7" sqref="B7"/>
      <selection pane="bottomRight"/>
    </sheetView>
  </sheetViews>
  <sheetFormatPr defaultColWidth="9.42578125" defaultRowHeight="12.75" outlineLevelRow="1" outlineLevelCol="1"/>
  <cols>
    <col min="1" max="1" width="35.7109375" customWidth="1"/>
    <col min="2" max="2" width="0.85546875" customWidth="1"/>
    <col min="3" max="3" width="7.28515625" hidden="1" customWidth="1" outlineLevel="1"/>
    <col min="4" max="4" width="0.85546875" hidden="1" customWidth="1" outlineLevel="1"/>
    <col min="5" max="5" width="7.28515625" hidden="1" customWidth="1" outlineLevel="1"/>
    <col min="6" max="6" width="0.85546875" hidden="1" customWidth="1" outlineLevel="1"/>
    <col min="7" max="7" width="7.28515625" hidden="1" customWidth="1" outlineLevel="1"/>
    <col min="8" max="8" width="0.85546875" hidden="1" customWidth="1" outlineLevel="1"/>
    <col min="9" max="9" width="7.28515625" hidden="1" customWidth="1" outlineLevel="1"/>
    <col min="10" max="10" width="0.85546875" hidden="1" customWidth="1" outlineLevel="1"/>
    <col min="11" max="11" width="7.28515625" hidden="1" customWidth="1" outlineLevel="1"/>
    <col min="12" max="12" width="0.85546875" hidden="1" customWidth="1" outlineLevel="1"/>
    <col min="13" max="13" width="7.28515625" hidden="1" customWidth="1" outlineLevel="1"/>
    <col min="14" max="14" width="0.85546875" hidden="1" customWidth="1" outlineLevel="1"/>
    <col min="15" max="15" width="7.28515625" hidden="1" customWidth="1" outlineLevel="1"/>
    <col min="16" max="16" width="0.85546875" hidden="1" customWidth="1" outlineLevel="1"/>
    <col min="17" max="17" width="7.28515625" hidden="1" customWidth="1" outlineLevel="1"/>
    <col min="18" max="18" width="0.85546875" hidden="1" customWidth="1" outlineLevel="1"/>
    <col min="19" max="22" width="7.28515625" hidden="1" customWidth="1" outlineLevel="1"/>
    <col min="23" max="23" width="7.28515625" hidden="1" customWidth="1" outlineLevel="1" collapsed="1"/>
    <col min="24" max="24" width="0.85546875" hidden="1" customWidth="1" outlineLevel="1"/>
    <col min="25" max="28" width="7.28515625" hidden="1" customWidth="1" outlineLevel="1"/>
    <col min="29" max="29" width="7.28515625" hidden="1" customWidth="1" outlineLevel="1" collapsed="1"/>
    <col min="30" max="30" width="0.85546875" hidden="1" customWidth="1" outlineLevel="1"/>
    <col min="31" max="34" width="7.28515625" hidden="1" customWidth="1" outlineLevel="1"/>
    <col min="35" max="35" width="7.28515625" hidden="1" customWidth="1" outlineLevel="1" collapsed="1"/>
    <col min="36" max="36" width="0.85546875" hidden="1" customWidth="1" outlineLevel="1"/>
    <col min="37" max="40" width="7.28515625" hidden="1" customWidth="1" outlineLevel="1"/>
    <col min="41" max="41" width="7.28515625" hidden="1" customWidth="1" outlineLevel="1" collapsed="1"/>
    <col min="42" max="42" width="0.85546875" hidden="1" customWidth="1" outlineLevel="1"/>
    <col min="43" max="46" width="7.28515625" hidden="1" customWidth="1" outlineLevel="1"/>
    <col min="47" max="47" width="7.28515625" hidden="1" customWidth="1" outlineLevel="1" collapsed="1"/>
    <col min="48" max="48" width="0.85546875" hidden="1" customWidth="1" outlineLevel="1"/>
    <col min="49" max="52" width="7.28515625" hidden="1" customWidth="1" outlineLevel="1"/>
    <col min="53" max="53" width="7.28515625" hidden="1" customWidth="1" outlineLevel="1" collapsed="1"/>
    <col min="54" max="54" width="0.85546875" hidden="1" customWidth="1" outlineLevel="1"/>
    <col min="55" max="58" width="7.28515625" hidden="1" customWidth="1" outlineLevel="1"/>
    <col min="59" max="59" width="7.28515625" customWidth="1" collapsed="1"/>
    <col min="60" max="60" width="0.85546875" customWidth="1"/>
    <col min="61" max="64" width="7.28515625" hidden="1" customWidth="1" outlineLevel="1"/>
    <col min="65" max="65" width="7.28515625" customWidth="1" collapsed="1"/>
    <col min="66" max="66" width="0.85546875" customWidth="1"/>
    <col min="67" max="70" width="7.28515625" hidden="1" customWidth="1" outlineLevel="1"/>
    <col min="71" max="71" width="7.28515625" customWidth="1" collapsed="1"/>
    <col min="72" max="72" width="0.85546875" customWidth="1"/>
    <col min="73" max="76" width="7.28515625" hidden="1" customWidth="1" outlineLevel="1"/>
    <col min="77" max="77" width="7.28515625" customWidth="1" collapsed="1"/>
    <col min="78" max="78" width="0.85546875" customWidth="1"/>
    <col min="79" max="82" width="7.28515625" hidden="1" customWidth="1" outlineLevel="1"/>
    <col min="83" max="83" width="7.28515625" customWidth="1" collapsed="1"/>
    <col min="84" max="84" width="0.85546875" customWidth="1"/>
    <col min="85" max="88" width="7.28515625" hidden="1" customWidth="1" outlineLevel="1"/>
    <col min="89" max="89" width="7.28515625" customWidth="1" collapsed="1"/>
    <col min="90" max="90" width="0.85546875" customWidth="1"/>
    <col min="91" max="94" width="7.28515625" customWidth="1" outlineLevel="1"/>
    <col min="95" max="95" width="7.28515625" customWidth="1"/>
    <col min="96" max="96" width="0.85546875" customWidth="1"/>
    <col min="97" max="100" width="7.28515625" customWidth="1" outlineLevel="1"/>
    <col min="101" max="101" width="7.28515625" customWidth="1"/>
    <col min="102" max="102" width="0.85546875" customWidth="1"/>
    <col min="103" max="106" width="7.28515625" hidden="1" customWidth="1" outlineLevel="1"/>
    <col min="107" max="107" width="7.28515625" customWidth="1" collapsed="1"/>
    <col min="108" max="108" width="0.85546875" customWidth="1"/>
    <col min="109" max="112" width="7.28515625" hidden="1" customWidth="1" outlineLevel="1"/>
    <col min="113" max="113" width="7.28515625" customWidth="1" collapsed="1"/>
    <col min="114" max="114" width="37.42578125" hidden="1" customWidth="1" outlineLevel="1"/>
    <col min="115" max="120" width="9.42578125" hidden="1" customWidth="1" outlineLevel="1"/>
    <col min="121" max="121" width="9.42578125" customWidth="1" collapsed="1"/>
  </cols>
  <sheetData>
    <row r="1" spans="1:119" ht="11.25" customHeight="1"/>
    <row r="2" spans="1:119" ht="11.25" customHeight="1">
      <c r="A2" s="770" t="s">
        <v>265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1925"/>
      <c r="CO2" s="1925"/>
      <c r="CP2" s="1925"/>
      <c r="CQ2" s="27"/>
      <c r="CR2" s="27"/>
      <c r="CS2" s="27"/>
      <c r="CT2" s="1925"/>
      <c r="CU2" s="1925"/>
      <c r="CV2" s="1925"/>
      <c r="CW2" s="27"/>
      <c r="CY2" s="27"/>
      <c r="CZ2" s="1925"/>
      <c r="DA2" s="1925"/>
      <c r="DB2" s="1925"/>
      <c r="DC2" s="27"/>
      <c r="DE2" s="27"/>
      <c r="DF2" s="1925"/>
      <c r="DG2" s="1925"/>
      <c r="DH2" s="1925"/>
      <c r="DI2" s="27"/>
    </row>
    <row r="3" spans="1:119" ht="11.25" customHeight="1">
      <c r="A3" s="786" t="s">
        <v>273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9"/>
      <c r="BT3" s="28"/>
      <c r="BU3" s="28"/>
      <c r="BV3" s="28"/>
      <c r="BW3" s="28"/>
      <c r="BX3" s="28"/>
      <c r="BY3" s="29"/>
      <c r="BZ3" s="28"/>
      <c r="CA3" s="28"/>
      <c r="CB3" s="28"/>
      <c r="CC3" s="28"/>
      <c r="CD3" s="28"/>
      <c r="CE3" s="29"/>
      <c r="CF3" s="28"/>
      <c r="CG3" s="28"/>
      <c r="CH3" s="28"/>
      <c r="CI3" s="28"/>
      <c r="CJ3" s="28"/>
      <c r="CK3" s="29"/>
      <c r="CL3" s="28"/>
      <c r="CM3" s="28"/>
      <c r="CN3" s="28"/>
      <c r="CO3" s="28"/>
      <c r="CP3" s="28"/>
      <c r="CQ3" s="29"/>
      <c r="CR3" s="28"/>
      <c r="CS3" s="28"/>
      <c r="CT3" s="28"/>
      <c r="CU3" s="28"/>
      <c r="CV3" s="28"/>
      <c r="CW3" s="29"/>
      <c r="CY3" s="28"/>
      <c r="CZ3" s="28"/>
      <c r="DA3" s="28"/>
      <c r="DB3" s="28"/>
      <c r="DC3" s="29"/>
      <c r="DE3" s="28"/>
      <c r="DF3" s="28"/>
      <c r="DG3" s="28"/>
      <c r="DH3" s="28"/>
      <c r="DI3" s="29"/>
    </row>
    <row r="4" spans="1:119" ht="11.25" customHeight="1">
      <c r="A4" s="787" t="s">
        <v>71</v>
      </c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1"/>
      <c r="T4" s="31"/>
      <c r="U4" s="31"/>
      <c r="V4" s="31"/>
      <c r="W4" s="31"/>
      <c r="X4" s="30"/>
      <c r="Y4" s="31"/>
      <c r="Z4" s="31"/>
      <c r="AA4" s="31"/>
      <c r="AB4" s="31"/>
      <c r="AC4" s="31"/>
      <c r="AD4" s="30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2"/>
      <c r="AZ4" s="32"/>
      <c r="BA4" s="32"/>
      <c r="BB4" s="32"/>
      <c r="BC4" s="32"/>
      <c r="BD4" s="32"/>
      <c r="BE4" s="32"/>
      <c r="BF4" s="32"/>
      <c r="BG4" s="32"/>
      <c r="BH4" s="32"/>
      <c r="BI4" s="32"/>
      <c r="BJ4" s="32"/>
      <c r="BK4" s="32"/>
      <c r="BL4" s="32"/>
      <c r="BM4" s="32"/>
      <c r="BN4" s="32"/>
      <c r="BO4" s="32"/>
      <c r="BP4" s="32"/>
      <c r="BQ4" s="32"/>
      <c r="BR4" s="32"/>
      <c r="BS4" s="32"/>
      <c r="BT4" s="32"/>
      <c r="BU4" s="32"/>
      <c r="BV4" s="32"/>
      <c r="BW4" s="32"/>
      <c r="BX4" s="32"/>
      <c r="BY4" s="32"/>
      <c r="BZ4" s="32"/>
      <c r="CA4" s="32"/>
      <c r="CB4" s="32"/>
      <c r="CC4" s="32"/>
      <c r="CD4" s="32"/>
      <c r="CE4" s="32"/>
      <c r="CF4" s="32"/>
      <c r="CG4" s="32"/>
      <c r="CH4" s="32"/>
      <c r="CI4" s="32"/>
      <c r="CJ4" s="32"/>
      <c r="CK4" s="32"/>
      <c r="CL4" s="32"/>
      <c r="CM4" s="32"/>
      <c r="CN4" s="32"/>
      <c r="CO4" s="32"/>
      <c r="CP4" s="32"/>
      <c r="CQ4" s="32"/>
      <c r="CR4" s="32"/>
      <c r="CS4" s="32"/>
      <c r="CT4" s="32"/>
      <c r="CU4" s="32"/>
      <c r="CV4" s="32"/>
      <c r="CW4" s="32"/>
      <c r="CY4" s="32"/>
      <c r="CZ4" s="32"/>
      <c r="DA4" s="32"/>
      <c r="DB4" s="32"/>
      <c r="DC4" s="32"/>
      <c r="DE4" s="32"/>
      <c r="DF4" s="32"/>
      <c r="DG4" s="32"/>
      <c r="DH4" s="32"/>
      <c r="DI4" s="32"/>
    </row>
    <row r="5" spans="1:119" ht="11.25" customHeight="1">
      <c r="A5" s="788" t="s">
        <v>2</v>
      </c>
      <c r="B5" s="33"/>
      <c r="C5" s="27"/>
      <c r="D5" s="33"/>
      <c r="E5" s="27"/>
      <c r="F5" s="33"/>
      <c r="G5" s="27"/>
      <c r="H5" s="33"/>
      <c r="I5" s="27"/>
      <c r="J5" s="33"/>
      <c r="K5" s="27"/>
      <c r="L5" s="33"/>
      <c r="M5" s="27"/>
      <c r="N5" s="33"/>
      <c r="O5" s="27"/>
      <c r="P5" s="33"/>
      <c r="Q5" s="27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4"/>
      <c r="AX5" s="35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3"/>
      <c r="BQ5" s="33"/>
      <c r="BR5" s="33"/>
      <c r="BS5" s="27"/>
      <c r="BT5" s="33"/>
      <c r="BU5" s="33"/>
      <c r="BV5" s="33"/>
      <c r="BW5" s="33"/>
      <c r="BX5" s="33"/>
      <c r="BY5" s="27"/>
      <c r="BZ5" s="33"/>
      <c r="CA5" s="33"/>
      <c r="CB5" s="33"/>
      <c r="CC5" s="33"/>
      <c r="CD5" s="33"/>
      <c r="CE5" s="27"/>
      <c r="CF5" s="33"/>
      <c r="CG5" s="33"/>
      <c r="CH5" s="33"/>
      <c r="CI5" s="33"/>
      <c r="CJ5" s="33"/>
      <c r="CK5" s="27"/>
      <c r="CL5" s="33"/>
      <c r="CM5" s="33"/>
      <c r="CN5" s="33"/>
      <c r="CO5" s="33"/>
      <c r="CP5" s="33"/>
      <c r="CQ5" s="27"/>
      <c r="CR5" s="33"/>
      <c r="CS5" s="33"/>
      <c r="CT5" s="33"/>
      <c r="CU5" s="33"/>
      <c r="CV5" s="33"/>
      <c r="CW5" s="27"/>
      <c r="CY5" s="33"/>
      <c r="CZ5" s="33"/>
      <c r="DA5" s="33"/>
      <c r="DB5" s="33"/>
      <c r="DC5" s="27"/>
      <c r="DE5" s="33"/>
      <c r="DF5" s="33"/>
      <c r="DG5" s="33"/>
      <c r="DH5" s="33"/>
      <c r="DI5" s="27"/>
    </row>
    <row r="6" spans="1:119" ht="11.25" hidden="1" customHeight="1" outlineLevel="1"/>
    <row r="7" spans="1:119" s="583" customFormat="1" ht="11.25" customHeight="1" collapsed="1">
      <c r="A7" s="975"/>
      <c r="B7" s="217"/>
      <c r="C7" s="1128">
        <v>1998</v>
      </c>
      <c r="D7" s="1129"/>
      <c r="E7" s="1128">
        <f>C7+1</f>
        <v>1999</v>
      </c>
      <c r="F7" s="1129"/>
      <c r="G7" s="1128">
        <f>E7+1</f>
        <v>2000</v>
      </c>
      <c r="H7" s="1129"/>
      <c r="I7" s="1128">
        <f>G7+1</f>
        <v>2001</v>
      </c>
      <c r="J7" s="1129"/>
      <c r="K7" s="1128">
        <f>I7+1</f>
        <v>2002</v>
      </c>
      <c r="L7" s="1129"/>
      <c r="M7" s="1128">
        <f>K7+1</f>
        <v>2003</v>
      </c>
      <c r="N7" s="1129"/>
      <c r="O7" s="1128">
        <f>M7+1</f>
        <v>2004</v>
      </c>
      <c r="P7" s="1129"/>
      <c r="Q7" s="1128">
        <f>O7+1</f>
        <v>2005</v>
      </c>
      <c r="R7" s="795"/>
      <c r="S7" s="1130" t="s">
        <v>21</v>
      </c>
      <c r="T7" s="1131"/>
      <c r="U7" s="1131"/>
      <c r="V7" s="1131"/>
      <c r="W7" s="1128">
        <f>Q7+1</f>
        <v>2006</v>
      </c>
      <c r="X7" s="768"/>
      <c r="Y7" s="1130">
        <v>2007</v>
      </c>
      <c r="Z7" s="1131"/>
      <c r="AA7" s="1131"/>
      <c r="AB7" s="1131"/>
      <c r="AC7" s="1128">
        <f>W7+1</f>
        <v>2007</v>
      </c>
      <c r="AD7" s="790"/>
      <c r="AE7" s="1130">
        <f>Y7+1</f>
        <v>2008</v>
      </c>
      <c r="AF7" s="1131"/>
      <c r="AG7" s="1131"/>
      <c r="AH7" s="1131"/>
      <c r="AI7" s="1128">
        <f>AC7+1</f>
        <v>2008</v>
      </c>
      <c r="AJ7" s="1132"/>
      <c r="AK7" s="1130">
        <f>AE7+1</f>
        <v>2009</v>
      </c>
      <c r="AL7" s="1131"/>
      <c r="AM7" s="1131"/>
      <c r="AN7" s="1131"/>
      <c r="AO7" s="1128">
        <f>AI7+1</f>
        <v>2009</v>
      </c>
      <c r="AP7" s="1132"/>
      <c r="AQ7" s="1130">
        <f>AK7+1</f>
        <v>2010</v>
      </c>
      <c r="AR7" s="1131"/>
      <c r="AS7" s="1131"/>
      <c r="AT7" s="1131"/>
      <c r="AU7" s="1128">
        <f>AO7+1</f>
        <v>2010</v>
      </c>
      <c r="AV7" s="1132"/>
      <c r="AW7" s="1130">
        <f>AQ7+1</f>
        <v>2011</v>
      </c>
      <c r="AX7" s="1131"/>
      <c r="AY7" s="1131"/>
      <c r="AZ7" s="1131"/>
      <c r="BA7" s="1128">
        <f>AU7+1</f>
        <v>2011</v>
      </c>
      <c r="BB7" s="1132"/>
      <c r="BC7" s="1130">
        <f>AW7+1</f>
        <v>2012</v>
      </c>
      <c r="BD7" s="1131"/>
      <c r="BE7" s="1131"/>
      <c r="BF7" s="1131"/>
      <c r="BG7" s="1128">
        <f>BA7+1</f>
        <v>2012</v>
      </c>
      <c r="BH7" s="1132"/>
      <c r="BI7" s="1130">
        <f>BC7+1</f>
        <v>2013</v>
      </c>
      <c r="BJ7" s="1131"/>
      <c r="BK7" s="1131"/>
      <c r="BL7" s="1131"/>
      <c r="BM7" s="1128">
        <f>BG7+1</f>
        <v>2013</v>
      </c>
      <c r="BN7" s="1132"/>
      <c r="BO7" s="1130">
        <f>BI7+1</f>
        <v>2014</v>
      </c>
      <c r="BP7" s="1131"/>
      <c r="BQ7" s="1131"/>
      <c r="BR7" s="1131"/>
      <c r="BS7" s="1128">
        <f>BM7+1</f>
        <v>2014</v>
      </c>
      <c r="BT7" s="1132"/>
      <c r="BU7" s="1130">
        <f>BO7+1</f>
        <v>2015</v>
      </c>
      <c r="BV7" s="1131"/>
      <c r="BW7" s="1131"/>
      <c r="BX7" s="1131"/>
      <c r="BY7" s="1128">
        <f>BS7+1</f>
        <v>2015</v>
      </c>
      <c r="BZ7" s="1132"/>
      <c r="CA7" s="1130">
        <f>BU7+1</f>
        <v>2016</v>
      </c>
      <c r="CB7" s="1131"/>
      <c r="CC7" s="1131"/>
      <c r="CD7" s="1131"/>
      <c r="CE7" s="1128">
        <f>BY7+1</f>
        <v>2016</v>
      </c>
      <c r="CF7" s="1132"/>
      <c r="CG7" s="1133" t="s">
        <v>314</v>
      </c>
      <c r="CH7" s="1131"/>
      <c r="CI7" s="1131"/>
      <c r="CJ7" s="1237"/>
      <c r="CK7" s="1134">
        <f>CE7+1</f>
        <v>2017</v>
      </c>
      <c r="CL7" s="1132"/>
      <c r="CM7" s="1133" t="s">
        <v>315</v>
      </c>
      <c r="CN7" s="1131"/>
      <c r="CO7" s="1131"/>
      <c r="CP7" s="1237"/>
      <c r="CQ7" s="1134">
        <f>CK7+1</f>
        <v>2018</v>
      </c>
      <c r="CR7" s="1132"/>
      <c r="CS7" s="1133" t="s">
        <v>316</v>
      </c>
      <c r="CT7" s="1131"/>
      <c r="CU7" s="1131"/>
      <c r="CV7" s="1237"/>
      <c r="CW7" s="1134">
        <f>CQ7+1</f>
        <v>2019</v>
      </c>
      <c r="CY7" s="1133" t="s">
        <v>317</v>
      </c>
      <c r="CZ7" s="1131"/>
      <c r="DA7" s="1131"/>
      <c r="DB7" s="1237"/>
      <c r="DC7" s="1134">
        <f>CW7+1</f>
        <v>2020</v>
      </c>
      <c r="DE7" s="1133" t="s">
        <v>367</v>
      </c>
      <c r="DF7" s="1131"/>
      <c r="DG7" s="1131"/>
      <c r="DH7" s="1237"/>
      <c r="DI7" s="1134">
        <f>DC7+1</f>
        <v>2021</v>
      </c>
      <c r="DJ7"/>
      <c r="DK7"/>
      <c r="DL7"/>
      <c r="DM7"/>
      <c r="DN7"/>
      <c r="DO7"/>
    </row>
    <row r="8" spans="1:119" ht="11.25" customHeight="1">
      <c r="A8" s="37"/>
      <c r="B8" s="38"/>
      <c r="C8" s="581"/>
      <c r="D8" s="582"/>
      <c r="E8" s="581"/>
      <c r="F8" s="582"/>
      <c r="G8" s="581"/>
      <c r="H8" s="582"/>
      <c r="I8" s="581"/>
      <c r="J8" s="582"/>
      <c r="K8" s="581"/>
      <c r="L8" s="582"/>
      <c r="M8" s="581"/>
      <c r="N8" s="582"/>
      <c r="O8" s="581"/>
      <c r="P8" s="582"/>
      <c r="Q8" s="581"/>
      <c r="R8" s="800"/>
      <c r="S8" s="1115">
        <v>38807</v>
      </c>
      <c r="T8" s="1115">
        <v>38898</v>
      </c>
      <c r="U8" s="1115">
        <v>38990</v>
      </c>
      <c r="V8" s="1115">
        <v>39082</v>
      </c>
      <c r="W8" s="1116"/>
      <c r="X8" s="1117"/>
      <c r="Y8" s="1115">
        <v>39172</v>
      </c>
      <c r="Z8" s="1115">
        <v>39263</v>
      </c>
      <c r="AA8" s="1115">
        <v>39355</v>
      </c>
      <c r="AB8" s="1115">
        <v>39447</v>
      </c>
      <c r="AC8" s="1116"/>
      <c r="AD8" s="1117"/>
      <c r="AE8" s="1115">
        <v>39538</v>
      </c>
      <c r="AF8" s="1115">
        <v>39629</v>
      </c>
      <c r="AG8" s="1115">
        <v>39721</v>
      </c>
      <c r="AH8" s="1115">
        <v>39813</v>
      </c>
      <c r="AI8" s="1116"/>
      <c r="AJ8" s="1117"/>
      <c r="AK8" s="1115">
        <v>39903</v>
      </c>
      <c r="AL8" s="1115">
        <v>39994</v>
      </c>
      <c r="AM8" s="1115">
        <v>40086</v>
      </c>
      <c r="AN8" s="1115">
        <v>40178</v>
      </c>
      <c r="AO8" s="1116"/>
      <c r="AP8" s="1118"/>
      <c r="AQ8" s="1115">
        <v>40268</v>
      </c>
      <c r="AR8" s="1115">
        <v>40359</v>
      </c>
      <c r="AS8" s="1115">
        <v>40451</v>
      </c>
      <c r="AT8" s="1115">
        <v>40543</v>
      </c>
      <c r="AU8" s="1116"/>
      <c r="AV8" s="1118"/>
      <c r="AW8" s="1115">
        <v>40633</v>
      </c>
      <c r="AX8" s="1115">
        <v>40724</v>
      </c>
      <c r="AY8" s="1115">
        <v>40816</v>
      </c>
      <c r="AZ8" s="1115">
        <v>40908</v>
      </c>
      <c r="BA8" s="1116"/>
      <c r="BB8" s="1118"/>
      <c r="BC8" s="731">
        <v>40999</v>
      </c>
      <c r="BD8" s="731">
        <v>41090</v>
      </c>
      <c r="BE8" s="731">
        <f>AY8+365</f>
        <v>41181</v>
      </c>
      <c r="BF8" s="809">
        <f>AZ8+365</f>
        <v>41273</v>
      </c>
      <c r="BG8" s="581"/>
      <c r="BH8" s="802"/>
      <c r="BI8" s="808">
        <f>BC8+365</f>
        <v>41364</v>
      </c>
      <c r="BJ8" s="808">
        <f>BD8+365</f>
        <v>41455</v>
      </c>
      <c r="BK8" s="808">
        <f>BE8+365</f>
        <v>41546</v>
      </c>
      <c r="BL8" s="809">
        <f>BF8+365</f>
        <v>41638</v>
      </c>
      <c r="BM8" s="581"/>
      <c r="BN8" s="803"/>
      <c r="BO8" s="808">
        <f>BI8+365</f>
        <v>41729</v>
      </c>
      <c r="BP8" s="808">
        <f>BJ8+365</f>
        <v>41820</v>
      </c>
      <c r="BQ8" s="808">
        <f>BK8+365</f>
        <v>41911</v>
      </c>
      <c r="BR8" s="809">
        <f>BL8+365</f>
        <v>42003</v>
      </c>
      <c r="BS8" s="581"/>
      <c r="BT8" s="803"/>
      <c r="BU8" s="808">
        <f>BO8+365</f>
        <v>42094</v>
      </c>
      <c r="BV8" s="808">
        <f>BP8+365</f>
        <v>42185</v>
      </c>
      <c r="BW8" s="808">
        <f>BQ8+365</f>
        <v>42276</v>
      </c>
      <c r="BX8" s="808">
        <f>BR8+365</f>
        <v>42368</v>
      </c>
      <c r="BY8" s="581"/>
      <c r="BZ8" s="803"/>
      <c r="CA8" s="808">
        <f>BU8+365</f>
        <v>42459</v>
      </c>
      <c r="CB8" s="808">
        <f>BV8+365</f>
        <v>42550</v>
      </c>
      <c r="CC8" s="808">
        <f>BW8+365</f>
        <v>42641</v>
      </c>
      <c r="CD8" s="808">
        <f>BX8+365</f>
        <v>42733</v>
      </c>
      <c r="CE8" s="581"/>
      <c r="CF8" s="803"/>
      <c r="CG8" s="808">
        <f>CA8+365</f>
        <v>42824</v>
      </c>
      <c r="CH8" s="808">
        <f>CB8+365</f>
        <v>42915</v>
      </c>
      <c r="CI8" s="808">
        <f>CC8+365</f>
        <v>43006</v>
      </c>
      <c r="CJ8" s="808">
        <f>CD8+365</f>
        <v>43098</v>
      </c>
      <c r="CK8" s="581"/>
      <c r="CL8" s="803"/>
      <c r="CM8" s="805">
        <f>CG8+365</f>
        <v>43189</v>
      </c>
      <c r="CN8" s="806">
        <f>CH8+365</f>
        <v>43280</v>
      </c>
      <c r="CO8" s="806">
        <f>CI8+365</f>
        <v>43371</v>
      </c>
      <c r="CP8" s="807">
        <f>CJ8+365</f>
        <v>43463</v>
      </c>
      <c r="CQ8" s="581"/>
      <c r="CR8" s="803"/>
      <c r="CS8" s="805">
        <f>CM8+365</f>
        <v>43554</v>
      </c>
      <c r="CT8" s="806">
        <f>CN8+365</f>
        <v>43645</v>
      </c>
      <c r="CU8" s="806">
        <f>CO8+365</f>
        <v>43736</v>
      </c>
      <c r="CV8" s="807">
        <f>CP8+365</f>
        <v>43828</v>
      </c>
      <c r="CW8" s="581"/>
      <c r="CY8" s="805">
        <f>CS8+365</f>
        <v>43919</v>
      </c>
      <c r="CZ8" s="806">
        <f>CT8+365</f>
        <v>44010</v>
      </c>
      <c r="DA8" s="806">
        <f>CU8+365</f>
        <v>44101</v>
      </c>
      <c r="DB8" s="807">
        <f>CV8+365</f>
        <v>44193</v>
      </c>
      <c r="DC8" s="581"/>
      <c r="DE8" s="805">
        <f>CY8+365</f>
        <v>44284</v>
      </c>
      <c r="DF8" s="806">
        <f>CZ8+365</f>
        <v>44375</v>
      </c>
      <c r="DG8" s="806">
        <f>DA8+365</f>
        <v>44466</v>
      </c>
      <c r="DH8" s="807">
        <f>DB8+365</f>
        <v>44558</v>
      </c>
      <c r="DI8" s="581"/>
    </row>
    <row r="9" spans="1:119" ht="11.25" customHeight="1">
      <c r="A9" s="39" t="s">
        <v>72</v>
      </c>
      <c r="B9" s="40"/>
      <c r="C9" s="41"/>
      <c r="D9" s="40"/>
      <c r="E9" s="41"/>
      <c r="F9" s="40"/>
      <c r="G9" s="41"/>
      <c r="H9" s="40"/>
      <c r="I9" s="41"/>
      <c r="J9" s="40"/>
      <c r="K9" s="41"/>
      <c r="L9" s="40"/>
      <c r="M9" s="41"/>
      <c r="N9" s="40"/>
      <c r="O9" s="42"/>
      <c r="P9" s="40"/>
      <c r="Q9" s="42"/>
      <c r="R9" s="40"/>
      <c r="S9" s="279"/>
      <c r="T9" s="40"/>
      <c r="U9" s="40"/>
      <c r="V9" s="40"/>
      <c r="W9" s="43"/>
      <c r="X9" s="40"/>
      <c r="Y9" s="279"/>
      <c r="Z9" s="40"/>
      <c r="AA9" s="40"/>
      <c r="AB9" s="40"/>
      <c r="AC9" s="43"/>
      <c r="AD9" s="40"/>
      <c r="AE9" s="279"/>
      <c r="AF9" s="40"/>
      <c r="AG9" s="40"/>
      <c r="AH9" s="40"/>
      <c r="AI9" s="43"/>
      <c r="AJ9" s="40"/>
      <c r="AK9" s="279"/>
      <c r="AL9" s="40"/>
      <c r="AM9" s="40"/>
      <c r="AN9" s="40"/>
      <c r="AO9" s="43"/>
      <c r="AP9" s="40"/>
      <c r="AQ9" s="279"/>
      <c r="AR9" s="40"/>
      <c r="AS9" s="40"/>
      <c r="AT9" s="40"/>
      <c r="AU9" s="43"/>
      <c r="AV9" s="40"/>
      <c r="AW9" s="279"/>
      <c r="AX9" s="40"/>
      <c r="AY9" s="40"/>
      <c r="AZ9" s="40"/>
      <c r="BA9" s="43"/>
      <c r="BB9" s="40"/>
      <c r="BC9" s="279"/>
      <c r="BD9" s="40"/>
      <c r="BE9" s="40"/>
      <c r="BF9" s="40"/>
      <c r="BG9" s="43"/>
      <c r="BH9" s="40"/>
      <c r="BI9" s="542"/>
      <c r="BJ9" s="40"/>
      <c r="BK9" s="40"/>
      <c r="BL9" s="40"/>
      <c r="BM9" s="42"/>
      <c r="BN9" s="40"/>
      <c r="BO9" s="542"/>
      <c r="BP9" s="40"/>
      <c r="BQ9" s="40"/>
      <c r="BR9" s="40"/>
      <c r="BS9" s="41"/>
      <c r="BT9" s="40"/>
      <c r="BU9" s="542"/>
      <c r="BV9" s="40"/>
      <c r="BW9" s="40"/>
      <c r="BX9" s="40"/>
      <c r="BY9" s="41"/>
      <c r="BZ9" s="40"/>
      <c r="CA9" s="542"/>
      <c r="CB9" s="40"/>
      <c r="CC9" s="40"/>
      <c r="CD9" s="40"/>
      <c r="CE9" s="41"/>
      <c r="CF9" s="40"/>
      <c r="CG9" s="542"/>
      <c r="CH9" s="40"/>
      <c r="CI9" s="40"/>
      <c r="CJ9" s="40"/>
      <c r="CK9" s="41"/>
      <c r="CL9" s="40"/>
      <c r="CM9" s="542"/>
      <c r="CN9" s="40"/>
      <c r="CO9" s="40"/>
      <c r="CP9" s="40"/>
      <c r="CQ9" s="41"/>
      <c r="CR9" s="40"/>
      <c r="CS9" s="542"/>
      <c r="CT9" s="40"/>
      <c r="CU9" s="40"/>
      <c r="CV9" s="40"/>
      <c r="CW9" s="41"/>
      <c r="CY9" s="542"/>
      <c r="CZ9" s="40"/>
      <c r="DA9" s="40"/>
      <c r="DB9" s="40"/>
      <c r="DC9" s="41"/>
      <c r="DE9" s="542"/>
      <c r="DF9" s="40"/>
      <c r="DG9" s="40"/>
      <c r="DH9" s="40"/>
      <c r="DI9" s="41"/>
    </row>
    <row r="10" spans="1:119" ht="11.25" customHeight="1">
      <c r="A10" s="44" t="s">
        <v>73</v>
      </c>
      <c r="B10" s="46"/>
      <c r="C10" s="1182">
        <v>1.134916</v>
      </c>
      <c r="D10" s="46"/>
      <c r="E10" s="1182">
        <v>2.4430000000000001</v>
      </c>
      <c r="F10" s="46"/>
      <c r="G10" s="1182">
        <v>21.734999999999999</v>
      </c>
      <c r="H10" s="46"/>
      <c r="I10" s="1182">
        <v>8.3810000000000002</v>
      </c>
      <c r="J10" s="46"/>
      <c r="K10" s="1182">
        <v>84.811000000000007</v>
      </c>
      <c r="L10" s="46"/>
      <c r="M10" s="1182">
        <v>25.341999999999999</v>
      </c>
      <c r="N10" s="46"/>
      <c r="O10" s="1182">
        <v>32.546999999999997</v>
      </c>
      <c r="P10" s="46"/>
      <c r="Q10" s="1182">
        <v>62.631999999999998</v>
      </c>
      <c r="R10" s="46"/>
      <c r="S10" s="1174">
        <v>66.7</v>
      </c>
      <c r="T10" s="1175">
        <v>96.596000000000004</v>
      </c>
      <c r="U10" s="1175">
        <v>44.151000000000003</v>
      </c>
      <c r="V10" s="1176">
        <v>52.146999999999998</v>
      </c>
      <c r="W10" s="45">
        <f>V10</f>
        <v>52.146999999999998</v>
      </c>
      <c r="X10" s="46"/>
      <c r="Y10" s="1174">
        <v>55.692</v>
      </c>
      <c r="Z10" s="1175">
        <v>41.933</v>
      </c>
      <c r="AA10" s="1175">
        <v>38.904000000000003</v>
      </c>
      <c r="AB10" s="1176">
        <v>332.4</v>
      </c>
      <c r="AC10" s="45">
        <f>AB10</f>
        <v>332.4</v>
      </c>
      <c r="AD10" s="46"/>
      <c r="AE10" s="1174">
        <v>298.26299999999998</v>
      </c>
      <c r="AF10" s="1175">
        <v>125.399</v>
      </c>
      <c r="AG10" s="1175">
        <v>84.381</v>
      </c>
      <c r="AH10" s="1176">
        <v>166.2</v>
      </c>
      <c r="AI10" s="45">
        <f>AH10</f>
        <v>166.2</v>
      </c>
      <c r="AJ10" s="46"/>
      <c r="AK10" s="1174">
        <v>148.4</v>
      </c>
      <c r="AL10" s="1175">
        <v>152.6</v>
      </c>
      <c r="AM10" s="1175">
        <v>148.5</v>
      </c>
      <c r="AN10" s="1176">
        <v>207.1</v>
      </c>
      <c r="AO10" s="45">
        <f>AN10</f>
        <v>207.1</v>
      </c>
      <c r="AP10" s="46"/>
      <c r="AQ10" s="1174">
        <v>203.1</v>
      </c>
      <c r="AR10" s="1175">
        <v>187.6</v>
      </c>
      <c r="AS10" s="1175">
        <v>188</v>
      </c>
      <c r="AT10" s="1176">
        <v>230.4</v>
      </c>
      <c r="AU10" s="45">
        <f>AT10</f>
        <v>230.4</v>
      </c>
      <c r="AV10" s="46"/>
      <c r="AW10" s="1174">
        <v>193.3</v>
      </c>
      <c r="AX10" s="1175">
        <v>169.8</v>
      </c>
      <c r="AY10" s="1175">
        <v>195.8</v>
      </c>
      <c r="AZ10" s="1176">
        <v>246</v>
      </c>
      <c r="BA10" s="45">
        <f>AZ10</f>
        <v>246</v>
      </c>
      <c r="BB10" s="47"/>
      <c r="BC10" s="1180">
        <v>229.5</v>
      </c>
      <c r="BD10" s="1175">
        <v>240.3</v>
      </c>
      <c r="BE10" s="1175">
        <v>242.1</v>
      </c>
      <c r="BF10" s="295">
        <f>310.6</f>
        <v>310.60000000000002</v>
      </c>
      <c r="BG10" s="45">
        <f>BF10</f>
        <v>310.60000000000002</v>
      </c>
      <c r="BH10" s="47"/>
      <c r="BI10" s="280">
        <v>269.39999999999998</v>
      </c>
      <c r="BJ10" s="1175">
        <v>250.9</v>
      </c>
      <c r="BK10" s="1175">
        <v>306.8</v>
      </c>
      <c r="BL10" s="295">
        <v>438.7</v>
      </c>
      <c r="BM10" s="45">
        <f>BL10</f>
        <v>438.7</v>
      </c>
      <c r="BN10" s="47"/>
      <c r="BO10" s="280">
        <v>454</v>
      </c>
      <c r="BP10" s="1175">
        <v>389.8</v>
      </c>
      <c r="BQ10" s="1175">
        <v>329.20000000000016</v>
      </c>
      <c r="BR10" s="295">
        <v>319.5</v>
      </c>
      <c r="BS10" s="55">
        <f>BR10</f>
        <v>319.5</v>
      </c>
      <c r="BT10" s="47"/>
      <c r="BU10" s="1839">
        <v>334.5</v>
      </c>
      <c r="BV10" s="1842">
        <v>320.8</v>
      </c>
      <c r="BW10" s="1842">
        <v>331</v>
      </c>
      <c r="BX10" s="295">
        <v>267.10000000000002</v>
      </c>
      <c r="BY10" s="55">
        <f>BX10</f>
        <v>267.10000000000002</v>
      </c>
      <c r="BZ10" s="47"/>
      <c r="CA10" s="1839">
        <v>209.90000000000018</v>
      </c>
      <c r="CB10" s="1842">
        <v>232.5</v>
      </c>
      <c r="CC10" s="1842">
        <v>278.7</v>
      </c>
      <c r="CD10" s="2040">
        <v>342.4</v>
      </c>
      <c r="CE10" s="55">
        <f>CD10</f>
        <v>342.4</v>
      </c>
      <c r="CF10" s="47"/>
      <c r="CG10" s="1839">
        <v>277.5</v>
      </c>
      <c r="CH10" s="1842">
        <v>217.7</v>
      </c>
      <c r="CI10" s="1842">
        <v>263.89999999999998</v>
      </c>
      <c r="CJ10" s="2040">
        <v>325</v>
      </c>
      <c r="CK10" s="55">
        <f>CJ10</f>
        <v>325</v>
      </c>
      <c r="CL10" s="47"/>
      <c r="CM10" s="1168">
        <f>CF!CM54</f>
        <v>312.84184589911496</v>
      </c>
      <c r="CN10" s="1167">
        <f>CF!CN54</f>
        <v>246.96275147503138</v>
      </c>
      <c r="CO10" s="1167">
        <f>CF!CO54</f>
        <v>261.09176076787952</v>
      </c>
      <c r="CP10" s="1167">
        <f>CF!CP54</f>
        <v>293.30349483336818</v>
      </c>
      <c r="CQ10" s="55">
        <f>CP10</f>
        <v>293.30349483336818</v>
      </c>
      <c r="CR10" s="47"/>
      <c r="CS10" s="1168">
        <f>CF!CS54</f>
        <v>379.19565401846859</v>
      </c>
      <c r="CT10" s="1167">
        <f>CF!CT54</f>
        <v>312.66565770865697</v>
      </c>
      <c r="CU10" s="1167">
        <f>CF!CU54</f>
        <v>290.74680450626346</v>
      </c>
      <c r="CV10" s="1167">
        <f>CF!CV54</f>
        <v>244.85339430328472</v>
      </c>
      <c r="CW10" s="55">
        <f>CV10</f>
        <v>244.85339430328472</v>
      </c>
      <c r="CY10" s="1168">
        <f>CF!CY54</f>
        <v>354.17835302983133</v>
      </c>
      <c r="CZ10" s="1167">
        <f>CF!CZ54</f>
        <v>304.95537247073042</v>
      </c>
      <c r="DA10" s="1167">
        <f>CF!DA54</f>
        <v>281.3344722208704</v>
      </c>
      <c r="DB10" s="1167">
        <f>CF!DB54</f>
        <v>238.41079774061339</v>
      </c>
      <c r="DC10" s="55">
        <f>DB10</f>
        <v>238.41079774061339</v>
      </c>
      <c r="DE10" s="1168">
        <f>CF!DE54</f>
        <v>397.6083154058033</v>
      </c>
      <c r="DF10" s="1167">
        <f>CF!DF54</f>
        <v>336.05344762009685</v>
      </c>
      <c r="DG10" s="1167">
        <f>CF!DG54</f>
        <v>318.78189417001852</v>
      </c>
      <c r="DH10" s="1167">
        <f>CF!DH54</f>
        <v>254.92699553579138</v>
      </c>
      <c r="DI10" s="55">
        <f>DH10</f>
        <v>254.92699553579138</v>
      </c>
    </row>
    <row r="11" spans="1:119" ht="11.25" hidden="1" customHeight="1" outlineLevel="1">
      <c r="A11" s="49" t="s">
        <v>213</v>
      </c>
      <c r="B11" s="52"/>
      <c r="C11" s="1183">
        <v>0</v>
      </c>
      <c r="D11" s="52"/>
      <c r="E11" s="1183">
        <v>0</v>
      </c>
      <c r="F11" s="52"/>
      <c r="G11" s="1183">
        <v>72.894000000000005</v>
      </c>
      <c r="H11" s="52"/>
      <c r="I11" s="1183">
        <v>61.75</v>
      </c>
      <c r="J11" s="52"/>
      <c r="K11" s="1183">
        <v>14.750999999999999</v>
      </c>
      <c r="L11" s="52"/>
      <c r="M11" s="1183">
        <v>51.494999999999997</v>
      </c>
      <c r="N11" s="52"/>
      <c r="O11" s="1183">
        <v>45.143999999999998</v>
      </c>
      <c r="P11" s="52"/>
      <c r="Q11" s="1183">
        <v>46.418999999999997</v>
      </c>
      <c r="R11" s="52"/>
      <c r="S11" s="1177">
        <v>29.271000000000001</v>
      </c>
      <c r="T11" s="1178">
        <v>0</v>
      </c>
      <c r="U11" s="1178">
        <v>0</v>
      </c>
      <c r="V11" s="1179">
        <v>0</v>
      </c>
      <c r="W11" s="53">
        <f t="shared" ref="W11:W19" si="0">V11</f>
        <v>0</v>
      </c>
      <c r="X11" s="52"/>
      <c r="Y11" s="1177">
        <v>0</v>
      </c>
      <c r="Z11" s="1178">
        <v>0</v>
      </c>
      <c r="AA11" s="1178">
        <v>0</v>
      </c>
      <c r="AB11" s="1179">
        <v>12.2</v>
      </c>
      <c r="AC11" s="53">
        <f t="shared" ref="AC11:AC19" si="1">AB11</f>
        <v>12.2</v>
      </c>
      <c r="AD11" s="52"/>
      <c r="AE11" s="1177">
        <v>23.018999999999998</v>
      </c>
      <c r="AF11" s="1178">
        <v>6.391</v>
      </c>
      <c r="AG11" s="1178">
        <v>2.9860000000000002</v>
      </c>
      <c r="AH11" s="1179">
        <v>1.5</v>
      </c>
      <c r="AI11" s="53">
        <f t="shared" ref="AI11:AI19" si="2">AH11</f>
        <v>1.5</v>
      </c>
      <c r="AJ11" s="52"/>
      <c r="AK11" s="1177">
        <v>1.5</v>
      </c>
      <c r="AL11" s="1178">
        <v>1.7</v>
      </c>
      <c r="AM11" s="1178">
        <v>2</v>
      </c>
      <c r="AN11" s="1179">
        <v>2</v>
      </c>
      <c r="AO11" s="53">
        <f t="shared" ref="AO11:AO19" si="3">AN11</f>
        <v>2</v>
      </c>
      <c r="AP11" s="52"/>
      <c r="AQ11" s="1177">
        <v>3.5</v>
      </c>
      <c r="AR11" s="1178">
        <v>2.5</v>
      </c>
      <c r="AS11" s="1178">
        <v>2.5</v>
      </c>
      <c r="AT11" s="1179">
        <v>2.9</v>
      </c>
      <c r="AU11" s="53">
        <f t="shared" ref="AU11:AU19" si="4">AT11</f>
        <v>2.9</v>
      </c>
      <c r="AV11" s="52"/>
      <c r="AW11" s="1177">
        <v>3</v>
      </c>
      <c r="AX11" s="1178">
        <v>3.3</v>
      </c>
      <c r="AY11" s="1178">
        <v>3</v>
      </c>
      <c r="AZ11" s="1179">
        <v>2.2000000000000002</v>
      </c>
      <c r="BA11" s="53">
        <f t="shared" ref="BA11:BA19" si="5">AZ11</f>
        <v>2.2000000000000002</v>
      </c>
      <c r="BB11" s="54"/>
      <c r="BC11" s="1181">
        <v>3.6</v>
      </c>
      <c r="BD11" s="1178">
        <v>0</v>
      </c>
      <c r="BE11" s="1178">
        <v>0</v>
      </c>
      <c r="BF11" s="1179">
        <v>0</v>
      </c>
      <c r="BG11" s="53">
        <f>BF11</f>
        <v>0</v>
      </c>
      <c r="BH11" s="54"/>
      <c r="BI11" s="1181">
        <v>0</v>
      </c>
      <c r="BJ11" s="1178">
        <v>0</v>
      </c>
      <c r="BK11" s="1178">
        <v>0</v>
      </c>
      <c r="BL11" s="1179">
        <v>0</v>
      </c>
      <c r="BM11" s="53">
        <f t="shared" ref="BM11:BM19" si="6">BL11</f>
        <v>0</v>
      </c>
      <c r="BN11" s="54"/>
      <c r="BO11" s="1181">
        <v>0</v>
      </c>
      <c r="BP11" s="1178">
        <v>67.8</v>
      </c>
      <c r="BQ11" s="1178">
        <v>113.1</v>
      </c>
      <c r="BR11" s="290">
        <v>178</v>
      </c>
      <c r="BS11" s="53">
        <f t="shared" ref="BS11:BS19" si="7">BR11</f>
        <v>178</v>
      </c>
      <c r="BT11" s="54"/>
      <c r="BU11" s="1836">
        <v>157.80000000000001</v>
      </c>
      <c r="BV11" s="1838">
        <v>172.8</v>
      </c>
      <c r="BW11" s="1838">
        <v>201.3</v>
      </c>
      <c r="BX11" s="290">
        <v>201.2</v>
      </c>
      <c r="BY11" s="53">
        <f>BX11</f>
        <v>201.2</v>
      </c>
      <c r="BZ11" s="54"/>
      <c r="CA11" s="1836">
        <v>210.6</v>
      </c>
      <c r="CB11" s="1838">
        <v>187.9</v>
      </c>
      <c r="CC11" s="1838">
        <v>162.80000000000001</v>
      </c>
      <c r="CD11" s="2041">
        <v>157.9</v>
      </c>
      <c r="CE11" s="53">
        <f t="shared" ref="CE11:CE19" si="8">CD11</f>
        <v>157.9</v>
      </c>
      <c r="CF11" s="54"/>
      <c r="CG11" s="1836">
        <v>187</v>
      </c>
      <c r="CH11" s="1838">
        <v>222.6</v>
      </c>
      <c r="CI11" s="1838">
        <v>165.3</v>
      </c>
      <c r="CJ11" s="2041">
        <v>114.2</v>
      </c>
      <c r="CK11" s="53">
        <f t="shared" ref="CK11:CK19" si="9">CJ11</f>
        <v>114.2</v>
      </c>
      <c r="CL11" s="54"/>
      <c r="CM11" s="284">
        <f>CK11-CF!CM32-CF!CM44</f>
        <v>114.2</v>
      </c>
      <c r="CN11" s="105">
        <f>CM11-CF!CN32-CF!CN44</f>
        <v>114.2</v>
      </c>
      <c r="CO11" s="105">
        <f>CN11-CF!CO32-CF!CO44</f>
        <v>114.2</v>
      </c>
      <c r="CP11" s="105">
        <f>CO11-CF!CP32-CF!CP44</f>
        <v>114.2</v>
      </c>
      <c r="CQ11" s="53">
        <f>CP11</f>
        <v>114.2</v>
      </c>
      <c r="CR11" s="54"/>
      <c r="CS11" s="284">
        <f>CQ11-CF!CS32-CF!CS44</f>
        <v>114.2</v>
      </c>
      <c r="CT11" s="105">
        <f>CS11-CF!CT32-CF!CT44</f>
        <v>114.2</v>
      </c>
      <c r="CU11" s="105">
        <f>CT11-CF!CU32-CF!CU44</f>
        <v>114.2</v>
      </c>
      <c r="CV11" s="105">
        <f>CU11-CF!CV32-CF!CV44</f>
        <v>114.2</v>
      </c>
      <c r="CW11" s="53">
        <f>CV11</f>
        <v>114.2</v>
      </c>
      <c r="CY11" s="284">
        <f>CW11-CF!CY32-CF!CY44</f>
        <v>114.2</v>
      </c>
      <c r="CZ11" s="105">
        <f>CY11-CF!CZ32-CF!CZ44</f>
        <v>114.2</v>
      </c>
      <c r="DA11" s="105">
        <f>CZ11-CF!DA32-CF!DA44</f>
        <v>114.2</v>
      </c>
      <c r="DB11" s="105">
        <f>DA11-CF!DB32-CF!DB44</f>
        <v>114.2</v>
      </c>
      <c r="DC11" s="53">
        <f>DB11</f>
        <v>114.2</v>
      </c>
      <c r="DE11" s="284">
        <f>DC11-CF!DE32-CF!DE44</f>
        <v>114.2</v>
      </c>
      <c r="DF11" s="105">
        <f>DE11-CF!DF32-CF!DF44</f>
        <v>114.2</v>
      </c>
      <c r="DG11" s="105">
        <f>DF11-CF!DG32-CF!DG44</f>
        <v>114.2</v>
      </c>
      <c r="DH11" s="105">
        <f>DG11-CF!DH32-CF!DH44</f>
        <v>114.2</v>
      </c>
      <c r="DI11" s="53">
        <f>DH11</f>
        <v>114.2</v>
      </c>
    </row>
    <row r="12" spans="1:119" ht="11.25" customHeight="1" collapsed="1">
      <c r="A12" s="49" t="s">
        <v>204</v>
      </c>
      <c r="B12" s="52"/>
      <c r="C12" s="1183">
        <v>9.7439219999999995</v>
      </c>
      <c r="D12" s="52"/>
      <c r="E12" s="1183">
        <v>12.204000000000001</v>
      </c>
      <c r="F12" s="52"/>
      <c r="G12" s="1183">
        <v>11.625999999999999</v>
      </c>
      <c r="H12" s="52"/>
      <c r="I12" s="1183">
        <v>16.202999999999999</v>
      </c>
      <c r="J12" s="52"/>
      <c r="K12" s="1183">
        <v>47.984000000000002</v>
      </c>
      <c r="L12" s="52"/>
      <c r="M12" s="1183">
        <v>50.133000000000003</v>
      </c>
      <c r="N12" s="52"/>
      <c r="O12" s="1183">
        <v>57.792000000000002</v>
      </c>
      <c r="P12" s="52"/>
      <c r="Q12" s="1183">
        <v>67.912999999999997</v>
      </c>
      <c r="R12" s="52"/>
      <c r="S12" s="1177">
        <v>55.579000000000001</v>
      </c>
      <c r="T12" s="1178">
        <v>61.709000000000003</v>
      </c>
      <c r="U12" s="1178">
        <v>71.912000000000006</v>
      </c>
      <c r="V12" s="1179">
        <v>79.603999999999999</v>
      </c>
      <c r="W12" s="51">
        <f t="shared" si="0"/>
        <v>79.603999999999999</v>
      </c>
      <c r="X12" s="52"/>
      <c r="Y12" s="1177">
        <v>75.11</v>
      </c>
      <c r="Z12" s="1178">
        <v>72.171000000000006</v>
      </c>
      <c r="AA12" s="1178">
        <v>85.84</v>
      </c>
      <c r="AB12" s="1179">
        <v>185.2</v>
      </c>
      <c r="AC12" s="51">
        <f t="shared" si="1"/>
        <v>185.2</v>
      </c>
      <c r="AD12" s="52"/>
      <c r="AE12" s="1177">
        <v>165.08099999999999</v>
      </c>
      <c r="AF12" s="1178">
        <v>164.23599999999999</v>
      </c>
      <c r="AG12" s="1178">
        <v>156.06800000000001</v>
      </c>
      <c r="AH12" s="1179">
        <v>171.9</v>
      </c>
      <c r="AI12" s="51">
        <f t="shared" si="2"/>
        <v>171.9</v>
      </c>
      <c r="AJ12" s="52"/>
      <c r="AK12" s="1177">
        <v>142.9</v>
      </c>
      <c r="AL12" s="1178">
        <v>132.9</v>
      </c>
      <c r="AM12" s="1178">
        <v>151.69999999999999</v>
      </c>
      <c r="AN12" s="1179">
        <v>184.1</v>
      </c>
      <c r="AO12" s="51">
        <f t="shared" si="3"/>
        <v>184.1</v>
      </c>
      <c r="AP12" s="52"/>
      <c r="AQ12" s="1177">
        <v>174.9</v>
      </c>
      <c r="AR12" s="1178">
        <v>161.5</v>
      </c>
      <c r="AS12" s="1178">
        <v>195.4</v>
      </c>
      <c r="AT12" s="1179">
        <v>232.9</v>
      </c>
      <c r="AU12" s="51">
        <f t="shared" si="4"/>
        <v>232.9</v>
      </c>
      <c r="AV12" s="52"/>
      <c r="AW12" s="1177">
        <v>250.5</v>
      </c>
      <c r="AX12" s="1178">
        <v>273.7</v>
      </c>
      <c r="AY12" s="1178">
        <v>271.10000000000002</v>
      </c>
      <c r="AZ12" s="1179">
        <v>282.8</v>
      </c>
      <c r="BA12" s="51">
        <f t="shared" si="5"/>
        <v>282.8</v>
      </c>
      <c r="BB12" s="52"/>
      <c r="BC12" s="1181">
        <v>261.8</v>
      </c>
      <c r="BD12" s="1178">
        <v>248.8</v>
      </c>
      <c r="BE12" s="1178">
        <v>264.8</v>
      </c>
      <c r="BF12" s="1179">
        <v>289.3</v>
      </c>
      <c r="BG12" s="51">
        <f>BF12</f>
        <v>289.3</v>
      </c>
      <c r="BH12" s="52"/>
      <c r="BI12" s="1181">
        <v>273.39999999999998</v>
      </c>
      <c r="BJ12" s="1178">
        <v>300.5</v>
      </c>
      <c r="BK12" s="1178">
        <v>297.7</v>
      </c>
      <c r="BL12" s="1179">
        <v>307.60000000000002</v>
      </c>
      <c r="BM12" s="51">
        <f t="shared" si="6"/>
        <v>307.60000000000002</v>
      </c>
      <c r="BN12" s="54"/>
      <c r="BO12" s="1181">
        <v>295</v>
      </c>
      <c r="BP12" s="1178">
        <v>279.60000000000002</v>
      </c>
      <c r="BQ12" s="1178">
        <v>268.89999999999998</v>
      </c>
      <c r="BR12" s="290">
        <v>293.2</v>
      </c>
      <c r="BS12" s="53">
        <f t="shared" si="7"/>
        <v>293.2</v>
      </c>
      <c r="BT12" s="54"/>
      <c r="BU12" s="1836">
        <v>227.6</v>
      </c>
      <c r="BV12" s="1838">
        <v>240.3</v>
      </c>
      <c r="BW12" s="1838">
        <v>242.3</v>
      </c>
      <c r="BX12" s="290">
        <v>234.7</v>
      </c>
      <c r="BY12" s="53">
        <f>BX12</f>
        <v>234.7</v>
      </c>
      <c r="BZ12" s="54"/>
      <c r="CA12" s="1836">
        <v>233.4</v>
      </c>
      <c r="CB12" s="1838">
        <v>206.9</v>
      </c>
      <c r="CC12" s="1838">
        <v>223.6</v>
      </c>
      <c r="CD12" s="2041">
        <v>243.9</v>
      </c>
      <c r="CE12" s="53">
        <f t="shared" si="8"/>
        <v>243.9</v>
      </c>
      <c r="CF12" s="54"/>
      <c r="CG12" s="1836">
        <v>225.4</v>
      </c>
      <c r="CH12" s="1838">
        <v>240.4</v>
      </c>
      <c r="CI12" s="1838">
        <v>269.8</v>
      </c>
      <c r="CJ12" s="2041">
        <v>319.3</v>
      </c>
      <c r="CK12" s="53">
        <f t="shared" si="9"/>
        <v>319.3</v>
      </c>
      <c r="CL12" s="54"/>
      <c r="CM12" s="284">
        <f>IS!CM9*BS!CM71/(365/4)</f>
        <v>264.35881364435556</v>
      </c>
      <c r="CN12" s="105">
        <f>IS!CN9*BS!CN71/(365/4)</f>
        <v>268.28907741997295</v>
      </c>
      <c r="CO12" s="105">
        <f>IS!CO9*BS!CO71/(365/4)</f>
        <v>296.63687729993728</v>
      </c>
      <c r="CP12" s="105">
        <f>IS!CP9*BS!CP71/(365/4)</f>
        <v>357.11866195739094</v>
      </c>
      <c r="CQ12" s="53">
        <f>CP12</f>
        <v>357.11866195739094</v>
      </c>
      <c r="CR12" s="54"/>
      <c r="CS12" s="284">
        <f>IS!CS9*BS!CS71/(365/4)</f>
        <v>264.23080244992201</v>
      </c>
      <c r="CT12" s="105">
        <f>IS!CT9*BS!CT71/(365/4)</f>
        <v>272.70472810090263</v>
      </c>
      <c r="CU12" s="105">
        <f>IS!CU9*BS!CU71/(365/4)</f>
        <v>296.08567731899126</v>
      </c>
      <c r="CV12" s="105">
        <f>IS!CV9*BS!CV71/(365/4)</f>
        <v>368.05939731491475</v>
      </c>
      <c r="CW12" s="53">
        <f>CV12</f>
        <v>368.05939731491475</v>
      </c>
      <c r="CY12" s="284">
        <f>IS!CY9*BS!CY71/(365/4)</f>
        <v>288.33392173169102</v>
      </c>
      <c r="CZ12" s="105">
        <f>IS!CZ9*BS!CZ71/(365/4)</f>
        <v>292.83937867112985</v>
      </c>
      <c r="DA12" s="105">
        <f>IS!DA9*BS!DA71/(365/4)</f>
        <v>324.52961951847499</v>
      </c>
      <c r="DB12" s="105">
        <f>IS!DB9*BS!DB71/(365/4)</f>
        <v>397.93809088510886</v>
      </c>
      <c r="DC12" s="53">
        <f>DB12</f>
        <v>397.93809088510886</v>
      </c>
      <c r="DE12" s="284">
        <f>IS!DE9*BS!DE71/(365/4)</f>
        <v>302.87886059298523</v>
      </c>
      <c r="DF12" s="105">
        <f>IS!DF9*BS!DF71/(365/4)</f>
        <v>312.54555285403819</v>
      </c>
      <c r="DG12" s="105">
        <f>IS!DG9*BS!DG71/(365/4)</f>
        <v>339.92342830880608</v>
      </c>
      <c r="DH12" s="105">
        <f>IS!DH9*BS!DH71/(365/4)</f>
        <v>422.57629311553768</v>
      </c>
      <c r="DI12" s="53">
        <f>DH12</f>
        <v>422.57629311553768</v>
      </c>
    </row>
    <row r="13" spans="1:119" ht="11.25" customHeight="1">
      <c r="A13" s="49" t="s">
        <v>74</v>
      </c>
      <c r="B13" s="52"/>
      <c r="C13" s="1183">
        <v>17.033673</v>
      </c>
      <c r="D13" s="52"/>
      <c r="E13" s="1183">
        <v>25.442</v>
      </c>
      <c r="F13" s="52"/>
      <c r="G13" s="1183">
        <v>35.607999999999997</v>
      </c>
      <c r="H13" s="52"/>
      <c r="I13" s="1183">
        <v>47.530999999999999</v>
      </c>
      <c r="J13" s="52"/>
      <c r="K13" s="1183">
        <v>101.836</v>
      </c>
      <c r="L13" s="52"/>
      <c r="M13" s="1183">
        <v>110.05200000000001</v>
      </c>
      <c r="N13" s="52"/>
      <c r="O13" s="1183">
        <v>107.748</v>
      </c>
      <c r="P13" s="52"/>
      <c r="Q13" s="1183">
        <v>117.655</v>
      </c>
      <c r="R13" s="52"/>
      <c r="S13" s="1177">
        <v>101.569</v>
      </c>
      <c r="T13" s="1178">
        <v>103.17400000000001</v>
      </c>
      <c r="U13" s="1178">
        <v>133.34700000000001</v>
      </c>
      <c r="V13" s="1179">
        <v>134.50399999999999</v>
      </c>
      <c r="W13" s="51">
        <f t="shared" si="0"/>
        <v>134.50399999999999</v>
      </c>
      <c r="X13" s="52"/>
      <c r="Y13" s="1177">
        <v>157.61600000000001</v>
      </c>
      <c r="Z13" s="1178">
        <v>169.89500000000001</v>
      </c>
      <c r="AA13" s="1178">
        <v>184.24799999999999</v>
      </c>
      <c r="AB13" s="1179">
        <v>446.4</v>
      </c>
      <c r="AC13" s="51">
        <f t="shared" si="1"/>
        <v>446.4</v>
      </c>
      <c r="AD13" s="52"/>
      <c r="AE13" s="1177">
        <v>511.59699999999998</v>
      </c>
      <c r="AF13" s="1178">
        <v>487.50299999999999</v>
      </c>
      <c r="AG13" s="1178">
        <v>456.81400000000002</v>
      </c>
      <c r="AH13" s="1179">
        <v>425.1</v>
      </c>
      <c r="AI13" s="51">
        <f t="shared" si="2"/>
        <v>425.1</v>
      </c>
      <c r="AJ13" s="52"/>
      <c r="AK13" s="1177">
        <v>420.4</v>
      </c>
      <c r="AL13" s="1178">
        <v>436.4</v>
      </c>
      <c r="AM13" s="1178">
        <v>443.6</v>
      </c>
      <c r="AN13" s="1179">
        <v>422.8</v>
      </c>
      <c r="AO13" s="51">
        <f t="shared" si="3"/>
        <v>422.8</v>
      </c>
      <c r="AP13" s="52"/>
      <c r="AQ13" s="1177">
        <v>431.2</v>
      </c>
      <c r="AR13" s="1178">
        <v>424.5</v>
      </c>
      <c r="AS13" s="1178">
        <v>487.8</v>
      </c>
      <c r="AT13" s="1179">
        <v>511</v>
      </c>
      <c r="AU13" s="51">
        <f t="shared" si="4"/>
        <v>511</v>
      </c>
      <c r="AV13" s="52"/>
      <c r="AW13" s="1177">
        <v>571.6</v>
      </c>
      <c r="AX13" s="1178">
        <v>618.70000000000005</v>
      </c>
      <c r="AY13" s="1178">
        <v>601.4</v>
      </c>
      <c r="AZ13" s="1179">
        <v>576.20000000000005</v>
      </c>
      <c r="BA13" s="51">
        <f t="shared" si="5"/>
        <v>576.20000000000005</v>
      </c>
      <c r="BB13" s="52"/>
      <c r="BC13" s="1181">
        <v>648</v>
      </c>
      <c r="BD13" s="1178">
        <v>620.29999999999995</v>
      </c>
      <c r="BE13" s="1178">
        <v>632.79999999999995</v>
      </c>
      <c r="BF13" s="1179">
        <v>611.5</v>
      </c>
      <c r="BG13" s="51">
        <f>BF13</f>
        <v>611.5</v>
      </c>
      <c r="BH13" s="52"/>
      <c r="BI13" s="1181">
        <v>621.70000000000005</v>
      </c>
      <c r="BJ13" s="1178">
        <v>601.79999999999995</v>
      </c>
      <c r="BK13" s="1178">
        <v>632</v>
      </c>
      <c r="BL13" s="1179">
        <v>589.79999999999995</v>
      </c>
      <c r="BM13" s="51">
        <f t="shared" si="6"/>
        <v>589.79999999999995</v>
      </c>
      <c r="BN13" s="54"/>
      <c r="BO13" s="1181">
        <v>620.5</v>
      </c>
      <c r="BP13" s="1178">
        <v>612.1</v>
      </c>
      <c r="BQ13" s="1178">
        <v>566.79999999999995</v>
      </c>
      <c r="BR13" s="290">
        <v>477.4</v>
      </c>
      <c r="BS13" s="53">
        <f t="shared" si="7"/>
        <v>477.4</v>
      </c>
      <c r="BT13" s="54"/>
      <c r="BU13" s="1836">
        <v>473.9</v>
      </c>
      <c r="BV13" s="1838">
        <v>486.3</v>
      </c>
      <c r="BW13" s="1838">
        <v>478.3</v>
      </c>
      <c r="BX13" s="290">
        <v>422</v>
      </c>
      <c r="BY13" s="53">
        <f>BX13</f>
        <v>422</v>
      </c>
      <c r="BZ13" s="54"/>
      <c r="CA13" s="1836">
        <v>460.1</v>
      </c>
      <c r="CB13" s="1838">
        <v>471</v>
      </c>
      <c r="CC13" s="1838">
        <v>483.1</v>
      </c>
      <c r="CD13" s="2041">
        <v>440.4</v>
      </c>
      <c r="CE13" s="53">
        <f t="shared" si="8"/>
        <v>440.4</v>
      </c>
      <c r="CF13" s="54"/>
      <c r="CG13" s="1836">
        <v>476.4</v>
      </c>
      <c r="CH13" s="1838">
        <v>505.1</v>
      </c>
      <c r="CI13" s="1913">
        <v>515.29999999999995</v>
      </c>
      <c r="CJ13" s="2041">
        <v>486.2</v>
      </c>
      <c r="CK13" s="53">
        <f t="shared" si="9"/>
        <v>486.2</v>
      </c>
      <c r="CL13" s="54"/>
      <c r="CM13" s="284">
        <f>IS!CM12*BS!CM72/(365/4)-CF!CM16</f>
        <v>555.79363229700846</v>
      </c>
      <c r="CN13" s="105">
        <f>IS!CN12*BS!CN72/(365/4)-CF!CN16</f>
        <v>549.56847862994584</v>
      </c>
      <c r="CO13" s="105">
        <f>IS!CO12*BS!CO72/(365/4)-CF!CO16</f>
        <v>519.92359652508003</v>
      </c>
      <c r="CP13" s="105">
        <f>IS!CP12*BS!CP72/(365/4)-CF!CP16</f>
        <v>481.79665826625194</v>
      </c>
      <c r="CQ13" s="53">
        <f>CP13</f>
        <v>481.79665826625194</v>
      </c>
      <c r="CR13" s="54"/>
      <c r="CS13" s="284">
        <f>IS!CS12*BS!CS72/(365/4)-CF!CS16</f>
        <v>519.57844764184506</v>
      </c>
      <c r="CT13" s="105">
        <f>IS!CT12*BS!CT72/(365/4)-CF!CT16</f>
        <v>522.47350311289006</v>
      </c>
      <c r="CU13" s="105">
        <f>IS!CU12*BS!CU72/(365/4)-CF!CU16</f>
        <v>527.32478755557338</v>
      </c>
      <c r="CV13" s="105">
        <f>IS!CV12*BS!CV72/(365/4)-CF!CV16</f>
        <v>547.90173345670576</v>
      </c>
      <c r="CW13" s="53">
        <f>CV13</f>
        <v>547.90173345670576</v>
      </c>
      <c r="CY13" s="284">
        <f>IS!CY12*BS!CY72/(365/4)-CF!CY16</f>
        <v>535.69062641412415</v>
      </c>
      <c r="CZ13" s="105">
        <f>IS!CZ12*BS!CZ72/(365/4)-CF!CZ16</f>
        <v>530.08222829611179</v>
      </c>
      <c r="DA13" s="105">
        <f>IS!DA12*BS!DA72/(365/4)-CF!DA16</f>
        <v>548.17769367724259</v>
      </c>
      <c r="DB13" s="105">
        <f>IS!DB12*BS!DB72/(365/4)-CF!DB16</f>
        <v>563.08548379584477</v>
      </c>
      <c r="DC13" s="53">
        <f>DB13</f>
        <v>563.08548379584477</v>
      </c>
      <c r="DE13" s="284">
        <f>IS!DE12*BS!DE72/(365/4)-CF!DE16</f>
        <v>541.58397700606611</v>
      </c>
      <c r="DF13" s="105">
        <f>IS!DF12*BS!DF72/(365/4)-CF!DF16</f>
        <v>544.51592869536773</v>
      </c>
      <c r="DG13" s="105">
        <f>IS!DG12*BS!DG72/(365/4)-CF!DG16</f>
        <v>553.73421983495382</v>
      </c>
      <c r="DH13" s="105">
        <f>IS!DH12*BS!DH72/(365/4)-CF!DH16</f>
        <v>577.39994230383536</v>
      </c>
      <c r="DI13" s="53">
        <f>DH13</f>
        <v>577.39994230383536</v>
      </c>
    </row>
    <row r="14" spans="1:119" ht="11.25" customHeight="1">
      <c r="A14" s="56" t="s">
        <v>75</v>
      </c>
      <c r="B14" s="181"/>
      <c r="C14" s="239">
        <f>0.36915+1.055375</f>
        <v>1.424525</v>
      </c>
      <c r="D14" s="181"/>
      <c r="E14" s="239">
        <f>0.899+0.532</f>
        <v>1.431</v>
      </c>
      <c r="F14" s="181"/>
      <c r="G14" s="239">
        <f>0.706+3.68</f>
        <v>4.3860000000000001</v>
      </c>
      <c r="H14" s="181"/>
      <c r="I14" s="1183">
        <v>5.0570000000000004</v>
      </c>
      <c r="J14" s="181"/>
      <c r="K14" s="1183">
        <v>7.18</v>
      </c>
      <c r="L14" s="181"/>
      <c r="M14" s="239">
        <f>4.556+9.047</f>
        <v>13.603000000000002</v>
      </c>
      <c r="N14" s="181"/>
      <c r="O14" s="239">
        <f>9.53+18.53</f>
        <v>28.060000000000002</v>
      </c>
      <c r="P14" s="181"/>
      <c r="Q14" s="239">
        <f>6.464+14.166</f>
        <v>20.630000000000003</v>
      </c>
      <c r="R14" s="181"/>
      <c r="S14" s="289">
        <f>14.01+2.983</f>
        <v>16.992999999999999</v>
      </c>
      <c r="T14" s="199">
        <f>11.879+2.678</f>
        <v>14.556999999999999</v>
      </c>
      <c r="U14" s="199">
        <f>17.428+4.624</f>
        <v>22.052</v>
      </c>
      <c r="V14" s="290">
        <f>9.028+19.461</f>
        <v>28.488999999999997</v>
      </c>
      <c r="W14" s="51">
        <f t="shared" si="0"/>
        <v>28.488999999999997</v>
      </c>
      <c r="X14" s="181"/>
      <c r="Y14" s="289">
        <f>23.121+7.536</f>
        <v>30.656999999999996</v>
      </c>
      <c r="Z14" s="199">
        <f>24.995+2.666</f>
        <v>27.661000000000001</v>
      </c>
      <c r="AA14" s="199">
        <f>28.082+6.366</f>
        <v>34.448</v>
      </c>
      <c r="AB14" s="1179">
        <v>57.5</v>
      </c>
      <c r="AC14" s="51">
        <f t="shared" si="1"/>
        <v>57.5</v>
      </c>
      <c r="AD14" s="181"/>
      <c r="AE14" s="1177">
        <v>88.5</v>
      </c>
      <c r="AF14" s="1178">
        <v>75.697000000000003</v>
      </c>
      <c r="AG14" s="1178">
        <v>71.472999999999999</v>
      </c>
      <c r="AH14" s="290">
        <f>21.6+34.4</f>
        <v>56</v>
      </c>
      <c r="AI14" s="51">
        <f t="shared" si="2"/>
        <v>56</v>
      </c>
      <c r="AJ14" s="181"/>
      <c r="AK14" s="1177">
        <v>61.1</v>
      </c>
      <c r="AL14" s="1178">
        <v>65.599999999999994</v>
      </c>
      <c r="AM14" s="1178">
        <v>72.7</v>
      </c>
      <c r="AN14" s="290">
        <f>7.9+49.9</f>
        <v>57.8</v>
      </c>
      <c r="AO14" s="51">
        <f t="shared" si="3"/>
        <v>57.8</v>
      </c>
      <c r="AP14" s="181"/>
      <c r="AQ14" s="1177">
        <v>61.6</v>
      </c>
      <c r="AR14" s="1178">
        <v>58.5</v>
      </c>
      <c r="AS14" s="1178">
        <v>80.3</v>
      </c>
      <c r="AT14" s="290">
        <f>8.6+65.3</f>
        <v>73.899999999999991</v>
      </c>
      <c r="AU14" s="51">
        <f t="shared" si="4"/>
        <v>73.899999999999991</v>
      </c>
      <c r="AV14" s="181"/>
      <c r="AW14" s="1177">
        <v>97.4</v>
      </c>
      <c r="AX14" s="1178">
        <v>101.6</v>
      </c>
      <c r="AY14" s="1178">
        <v>97.8</v>
      </c>
      <c r="AZ14" s="290">
        <f>11.5+75.4</f>
        <v>86.9</v>
      </c>
      <c r="BA14" s="51">
        <f t="shared" si="5"/>
        <v>86.9</v>
      </c>
      <c r="BB14" s="181"/>
      <c r="BC14" s="1181">
        <v>102.5</v>
      </c>
      <c r="BD14" s="1178">
        <v>102.7</v>
      </c>
      <c r="BE14" s="1178">
        <v>105.2</v>
      </c>
      <c r="BF14" s="1179">
        <v>98.3</v>
      </c>
      <c r="BG14" s="51">
        <f>BF14</f>
        <v>98.3</v>
      </c>
      <c r="BH14" s="181"/>
      <c r="BI14" s="1181">
        <v>113</v>
      </c>
      <c r="BJ14" s="1178">
        <v>110.6</v>
      </c>
      <c r="BK14" s="1178">
        <v>136.4</v>
      </c>
      <c r="BL14" s="1179">
        <f>86.1+9.7</f>
        <v>95.8</v>
      </c>
      <c r="BM14" s="51">
        <f t="shared" si="6"/>
        <v>95.8</v>
      </c>
      <c r="BN14" s="105"/>
      <c r="BO14" s="1181">
        <v>107.2</v>
      </c>
      <c r="BP14" s="1178">
        <v>116.1</v>
      </c>
      <c r="BQ14" s="1178">
        <v>121.7</v>
      </c>
      <c r="BR14" s="290">
        <f>88.9+9.3</f>
        <v>98.2</v>
      </c>
      <c r="BS14" s="53">
        <f t="shared" si="7"/>
        <v>98.2</v>
      </c>
      <c r="BT14" s="105"/>
      <c r="BU14" s="1836">
        <v>111</v>
      </c>
      <c r="BV14" s="1838">
        <v>134.30000000000001</v>
      </c>
      <c r="BW14" s="1838">
        <v>133.5</v>
      </c>
      <c r="BX14" s="290">
        <v>106.6</v>
      </c>
      <c r="BY14" s="53">
        <f>BX14</f>
        <v>106.6</v>
      </c>
      <c r="BZ14" s="105"/>
      <c r="CA14" s="1836">
        <v>111.4</v>
      </c>
      <c r="CB14" s="1838">
        <v>117.1</v>
      </c>
      <c r="CC14" s="1838">
        <v>118.5</v>
      </c>
      <c r="CD14" s="2041">
        <v>91.3</v>
      </c>
      <c r="CE14" s="53">
        <f t="shared" si="8"/>
        <v>91.3</v>
      </c>
      <c r="CF14" s="105"/>
      <c r="CG14" s="1836">
        <v>97.8</v>
      </c>
      <c r="CH14" s="1838">
        <v>113.8</v>
      </c>
      <c r="CI14" s="1838">
        <v>122.5</v>
      </c>
      <c r="CJ14" s="2041">
        <v>114.1</v>
      </c>
      <c r="CK14" s="53">
        <f t="shared" si="9"/>
        <v>114.1</v>
      </c>
      <c r="CL14" s="105"/>
      <c r="CM14" s="284">
        <f>IS!CM9*BS!CM83*4</f>
        <v>117.82122582396865</v>
      </c>
      <c r="CN14" s="105">
        <f>IS!CN9*BS!CN83*4</f>
        <v>129.53961108929082</v>
      </c>
      <c r="CO14" s="105">
        <f>IS!CO9*BS!CO83*4</f>
        <v>137.65474465638835</v>
      </c>
      <c r="CP14" s="105">
        <f>IS!CP9*BS!CP83*4</f>
        <v>133.35594921964829</v>
      </c>
      <c r="CQ14" s="53">
        <f>CP14</f>
        <v>133.35594921964829</v>
      </c>
      <c r="CR14" s="105"/>
      <c r="CS14" s="284">
        <f>IS!CS9*BS!CS83*4</f>
        <v>128.49033993281751</v>
      </c>
      <c r="CT14" s="105">
        <f>IS!CT9*BS!CT83*4</f>
        <v>143.03768507158787</v>
      </c>
      <c r="CU14" s="105">
        <f>IS!CU9*BS!CU83*4</f>
        <v>148.88283021044069</v>
      </c>
      <c r="CV14" s="105">
        <f>IS!CV9*BS!CV83*4</f>
        <v>151.53274478189184</v>
      </c>
      <c r="CW14" s="53">
        <f>CV14</f>
        <v>151.53274478189184</v>
      </c>
      <c r="CY14" s="284">
        <f>IS!CY9*BS!CY83*4</f>
        <v>140.80799416121707</v>
      </c>
      <c r="CZ14" s="105">
        <f>IS!CZ9*BS!CZ83*4</f>
        <v>153.54487727845796</v>
      </c>
      <c r="DA14" s="105">
        <f>IS!DA9*BS!DA83*4</f>
        <v>163.5232761312709</v>
      </c>
      <c r="DB14" s="105">
        <f>IS!DB9*BS!DB83*4</f>
        <v>166.3424406955524</v>
      </c>
      <c r="DC14" s="53">
        <f>DB14</f>
        <v>166.3424406955524</v>
      </c>
      <c r="DE14" s="284">
        <f>IS!DE9*BS!DE83*4</f>
        <v>152.09308619427532</v>
      </c>
      <c r="DF14" s="105">
        <f>IS!DF9*BS!DF83*4</f>
        <v>167.86353896538833</v>
      </c>
      <c r="DG14" s="105">
        <f>IS!DG9*BS!DG83*4</f>
        <v>175.58565647426295</v>
      </c>
      <c r="DH14" s="105">
        <f>IS!DH9*BS!DH83*4</f>
        <v>183.28333052736147</v>
      </c>
      <c r="DI14" s="53">
        <f>DH14</f>
        <v>183.28333052736147</v>
      </c>
    </row>
    <row r="15" spans="1:119" ht="11.25" customHeight="1">
      <c r="A15" s="976" t="s">
        <v>76</v>
      </c>
      <c r="B15" s="977"/>
      <c r="C15" s="978">
        <f>SUM(C10:C14)</f>
        <v>29.337036000000001</v>
      </c>
      <c r="D15" s="977"/>
      <c r="E15" s="978">
        <f>SUM(E10:E14)</f>
        <v>41.519999999999996</v>
      </c>
      <c r="F15" s="977"/>
      <c r="G15" s="978">
        <f>SUM(G10:G14)</f>
        <v>146.249</v>
      </c>
      <c r="H15" s="977"/>
      <c r="I15" s="978">
        <f>SUM(I10:I14)</f>
        <v>138.922</v>
      </c>
      <c r="J15" s="977"/>
      <c r="K15" s="978">
        <f>SUM(K10:K14)</f>
        <v>256.56200000000001</v>
      </c>
      <c r="L15" s="977"/>
      <c r="M15" s="978">
        <f>SUM(M10:M14)</f>
        <v>250.625</v>
      </c>
      <c r="N15" s="977"/>
      <c r="O15" s="978">
        <f>SUM(O10:O14)</f>
        <v>271.291</v>
      </c>
      <c r="P15" s="977"/>
      <c r="Q15" s="978">
        <f>SUM(Q10:Q14)</f>
        <v>315.24900000000002</v>
      </c>
      <c r="R15" s="977"/>
      <c r="S15" s="979">
        <f>SUM(S10:S14)</f>
        <v>270.11200000000002</v>
      </c>
      <c r="T15" s="977">
        <f>SUM(T10:T14)</f>
        <v>276.03600000000006</v>
      </c>
      <c r="U15" s="977">
        <f>SUM(U10:U14)</f>
        <v>271.46200000000005</v>
      </c>
      <c r="V15" s="980">
        <f>SUM(V10:V14)</f>
        <v>294.74399999999997</v>
      </c>
      <c r="W15" s="978">
        <f>SUM(W10:W14)</f>
        <v>294.74399999999997</v>
      </c>
      <c r="X15" s="977"/>
      <c r="Y15" s="979">
        <f>SUM(Y10:Y14)</f>
        <v>319.07499999999999</v>
      </c>
      <c r="Z15" s="977">
        <f>SUM(Z10:Z14)</f>
        <v>311.66000000000003</v>
      </c>
      <c r="AA15" s="977">
        <f>SUM(AA10:AA14)</f>
        <v>343.43999999999994</v>
      </c>
      <c r="AB15" s="980">
        <f>SUM(AB10:AB14)</f>
        <v>1033.6999999999998</v>
      </c>
      <c r="AC15" s="978">
        <f>SUM(AC10:AC14)</f>
        <v>1033.6999999999998</v>
      </c>
      <c r="AD15" s="977"/>
      <c r="AE15" s="979">
        <f>SUM(AE10:AE14)</f>
        <v>1086.46</v>
      </c>
      <c r="AF15" s="977">
        <f>SUM(AF10:AF14)</f>
        <v>859.226</v>
      </c>
      <c r="AG15" s="977">
        <f>SUM(AG10:AG14)</f>
        <v>771.72199999999998</v>
      </c>
      <c r="AH15" s="980">
        <f>SUM(AH10:AH14)</f>
        <v>820.7</v>
      </c>
      <c r="AI15" s="978">
        <f>SUM(AI10:AI14)</f>
        <v>820.7</v>
      </c>
      <c r="AJ15" s="977"/>
      <c r="AK15" s="979">
        <f>SUM(AK10:AK14)</f>
        <v>774.30000000000007</v>
      </c>
      <c r="AL15" s="977">
        <f>SUM(AL10:AL14)</f>
        <v>789.19999999999993</v>
      </c>
      <c r="AM15" s="977">
        <f>SUM(AM10:AM14)</f>
        <v>818.5</v>
      </c>
      <c r="AN15" s="980">
        <f>SUM(AN10:AN14)</f>
        <v>873.8</v>
      </c>
      <c r="AO15" s="978">
        <f>SUM(AO10:AO14)</f>
        <v>873.8</v>
      </c>
      <c r="AP15" s="977"/>
      <c r="AQ15" s="979">
        <f>SUM(AQ10:AQ14)</f>
        <v>874.30000000000007</v>
      </c>
      <c r="AR15" s="977">
        <f>SUM(AR10:AR14)</f>
        <v>834.6</v>
      </c>
      <c r="AS15" s="977">
        <f>SUM(AS10:AS14)</f>
        <v>954</v>
      </c>
      <c r="AT15" s="980">
        <f>SUM(AT10:AT14)</f>
        <v>1051.1000000000001</v>
      </c>
      <c r="AU15" s="978">
        <f>SUM(AU10:AU14)</f>
        <v>1051.1000000000001</v>
      </c>
      <c r="AV15" s="977"/>
      <c r="AW15" s="979">
        <f>SUM(AW10:AW14)</f>
        <v>1115.8000000000002</v>
      </c>
      <c r="AX15" s="977">
        <f>SUM(AX10:AX14)</f>
        <v>1167.0999999999999</v>
      </c>
      <c r="AY15" s="977">
        <f>SUM(AY10:AY14)</f>
        <v>1169.0999999999999</v>
      </c>
      <c r="AZ15" s="980">
        <f>SUM(AZ10:AZ14)</f>
        <v>1194.1000000000001</v>
      </c>
      <c r="BA15" s="978">
        <f>SUM(BA10:BA14)</f>
        <v>1194.1000000000001</v>
      </c>
      <c r="BB15" s="977"/>
      <c r="BC15" s="983">
        <f>SUM(BC10:BC14)</f>
        <v>1245.4000000000001</v>
      </c>
      <c r="BD15" s="977">
        <f>SUM(BD10:BD14)</f>
        <v>1212.1000000000001</v>
      </c>
      <c r="BE15" s="977">
        <f>SUM(BE10:BE14)</f>
        <v>1244.8999999999999</v>
      </c>
      <c r="BF15" s="980">
        <f>SUM(BF10:BF14)</f>
        <v>1309.7</v>
      </c>
      <c r="BG15" s="978">
        <f>SUM(BG10:BG14)</f>
        <v>1309.7</v>
      </c>
      <c r="BH15" s="977"/>
      <c r="BI15" s="983">
        <f>SUM(BI10:BI14)</f>
        <v>1277.5</v>
      </c>
      <c r="BJ15" s="977">
        <f>SUM(BJ10:BJ14)</f>
        <v>1263.7999999999997</v>
      </c>
      <c r="BK15" s="977">
        <f>SUM(BK10:BK14)</f>
        <v>1372.9</v>
      </c>
      <c r="BL15" s="980">
        <f>SUM(BL10:BL14)</f>
        <v>1431.8999999999999</v>
      </c>
      <c r="BM15" s="978">
        <f>SUM(BM10:BM14)</f>
        <v>1431.8999999999999</v>
      </c>
      <c r="BN15" s="982"/>
      <c r="BO15" s="983">
        <f>SUM(BO10:BO14)</f>
        <v>1476.7</v>
      </c>
      <c r="BP15" s="977">
        <f>SUM(BP10:BP14)</f>
        <v>1465.4</v>
      </c>
      <c r="BQ15" s="977">
        <f>SUM(BQ10:BQ14)</f>
        <v>1399.7</v>
      </c>
      <c r="BR15" s="982">
        <f>SUM(BR10:BR14)</f>
        <v>1366.3</v>
      </c>
      <c r="BS15" s="981">
        <f>SUM(BS10:BS14)</f>
        <v>1366.3</v>
      </c>
      <c r="BT15" s="982"/>
      <c r="BU15" s="984">
        <f>SUM(BU10:BU14)</f>
        <v>1304.8</v>
      </c>
      <c r="BV15" s="977">
        <f>SUM(BV10:BV14)</f>
        <v>1354.5</v>
      </c>
      <c r="BW15" s="977">
        <f>SUM(BW10:BW14)</f>
        <v>1386.3999999999999</v>
      </c>
      <c r="BX15" s="982">
        <f>SUM(BX10:BX14)</f>
        <v>1231.5999999999999</v>
      </c>
      <c r="BY15" s="981">
        <f>SUM(BY10:BY14)</f>
        <v>1231.5999999999999</v>
      </c>
      <c r="BZ15" s="982"/>
      <c r="CA15" s="984">
        <f>SUM(CA10:CA14)</f>
        <v>1225.4000000000003</v>
      </c>
      <c r="CB15" s="977">
        <f>SUM(CB10:CB14)</f>
        <v>1215.3999999999999</v>
      </c>
      <c r="CC15" s="977">
        <f>SUM(CC10:CC14)</f>
        <v>1266.7</v>
      </c>
      <c r="CD15" s="982">
        <f>SUM(CD10:CD14)</f>
        <v>1275.8999999999999</v>
      </c>
      <c r="CE15" s="981">
        <f>SUM(CE10:CE14)</f>
        <v>1275.8999999999999</v>
      </c>
      <c r="CF15" s="982"/>
      <c r="CG15" s="984">
        <f>SUM(CG10:CG14)</f>
        <v>1264.0999999999999</v>
      </c>
      <c r="CH15" s="977">
        <f>SUM(CH10:CH14)</f>
        <v>1299.5999999999999</v>
      </c>
      <c r="CI15" s="977">
        <f>SUM(CI10:CI14)</f>
        <v>1336.8</v>
      </c>
      <c r="CJ15" s="982">
        <f>SUM(CJ10:CJ14)</f>
        <v>1358.8</v>
      </c>
      <c r="CK15" s="981">
        <f>SUM(CK10:CK14)</f>
        <v>1358.8</v>
      </c>
      <c r="CL15" s="982"/>
      <c r="CM15" s="984">
        <f>SUM(CM10:CM14)</f>
        <v>1365.0155176644475</v>
      </c>
      <c r="CN15" s="982">
        <f>SUM(CN10:CN14)</f>
        <v>1308.5599186142408</v>
      </c>
      <c r="CO15" s="982">
        <f>SUM(CO10:CO14)</f>
        <v>1329.5069792492852</v>
      </c>
      <c r="CP15" s="982">
        <f>SUM(CP10:CP14)</f>
        <v>1379.7747642766594</v>
      </c>
      <c r="CQ15" s="981">
        <f>SUM(CQ10:CQ14)</f>
        <v>1379.7747642766594</v>
      </c>
      <c r="CR15" s="982"/>
      <c r="CS15" s="984">
        <f>SUM(CS10:CS14)</f>
        <v>1405.6952440430532</v>
      </c>
      <c r="CT15" s="982">
        <f>SUM(CT10:CT14)</f>
        <v>1365.0815739940376</v>
      </c>
      <c r="CU15" s="982">
        <f>SUM(CU10:CU14)</f>
        <v>1377.240099591269</v>
      </c>
      <c r="CV15" s="982">
        <f>SUM(CV10:CV14)</f>
        <v>1426.5472698567969</v>
      </c>
      <c r="CW15" s="981">
        <f>SUM(CW10:CW14)</f>
        <v>1426.5472698567969</v>
      </c>
      <c r="CY15" s="984">
        <f>SUM(CY10:CY14)</f>
        <v>1433.2108953368636</v>
      </c>
      <c r="CZ15" s="982">
        <f>SUM(CZ10:CZ14)</f>
        <v>1395.6218567164301</v>
      </c>
      <c r="DA15" s="982">
        <f>SUM(DA10:DA14)</f>
        <v>1431.7650615478587</v>
      </c>
      <c r="DB15" s="982">
        <f>SUM(DB10:DB14)</f>
        <v>1479.9768131171195</v>
      </c>
      <c r="DC15" s="981">
        <f>SUM(DC10:DC14)</f>
        <v>1479.9768131171195</v>
      </c>
      <c r="DE15" s="984">
        <f>SUM(DE10:DE14)</f>
        <v>1508.3642391991298</v>
      </c>
      <c r="DF15" s="982">
        <f>SUM(DF10:DF14)</f>
        <v>1475.1784681348909</v>
      </c>
      <c r="DG15" s="982">
        <f>SUM(DG10:DG14)</f>
        <v>1502.2251987880413</v>
      </c>
      <c r="DH15" s="982">
        <f>SUM(DH10:DH14)</f>
        <v>1552.3865614825258</v>
      </c>
      <c r="DI15" s="981">
        <f>SUM(DI10:DI14)</f>
        <v>1552.3865614825258</v>
      </c>
    </row>
    <row r="16" spans="1:119" ht="11.25" customHeight="1">
      <c r="A16" s="62" t="s">
        <v>77</v>
      </c>
      <c r="B16" s="52"/>
      <c r="C16" s="1182">
        <v>28.365580000000001</v>
      </c>
      <c r="D16" s="46"/>
      <c r="E16" s="1182">
        <v>25.350999999999999</v>
      </c>
      <c r="F16" s="46"/>
      <c r="G16" s="1182">
        <v>25.527999999999999</v>
      </c>
      <c r="H16" s="46"/>
      <c r="I16" s="1182">
        <v>37.252000000000002</v>
      </c>
      <c r="J16" s="46"/>
      <c r="K16" s="1182">
        <v>73.248999999999995</v>
      </c>
      <c r="L16" s="46"/>
      <c r="M16" s="1182">
        <v>81.353999999999999</v>
      </c>
      <c r="N16" s="46"/>
      <c r="O16" s="1182">
        <v>84.99</v>
      </c>
      <c r="P16" s="46"/>
      <c r="Q16" s="1182">
        <v>85.313000000000002</v>
      </c>
      <c r="R16" s="46"/>
      <c r="S16" s="1174">
        <v>72.816999999999993</v>
      </c>
      <c r="T16" s="1175">
        <v>74.864000000000004</v>
      </c>
      <c r="U16" s="1175">
        <v>87.908000000000001</v>
      </c>
      <c r="V16" s="1176">
        <v>90.349000000000004</v>
      </c>
      <c r="W16" s="45">
        <f t="shared" si="0"/>
        <v>90.349000000000004</v>
      </c>
      <c r="X16" s="46"/>
      <c r="Y16" s="1174">
        <v>91.41</v>
      </c>
      <c r="Z16" s="1175">
        <v>95.034999999999997</v>
      </c>
      <c r="AA16" s="1175">
        <v>101.015</v>
      </c>
      <c r="AB16" s="1176">
        <v>207.6</v>
      </c>
      <c r="AC16" s="45">
        <f t="shared" si="1"/>
        <v>207.6</v>
      </c>
      <c r="AD16" s="46"/>
      <c r="AE16" s="1174">
        <v>231.541</v>
      </c>
      <c r="AF16" s="1175">
        <v>236.321</v>
      </c>
      <c r="AG16" s="1175">
        <v>219.31700000000001</v>
      </c>
      <c r="AH16" s="1176">
        <v>221.3</v>
      </c>
      <c r="AI16" s="45">
        <f t="shared" si="2"/>
        <v>221.3</v>
      </c>
      <c r="AJ16" s="46"/>
      <c r="AK16" s="1174">
        <v>208.6</v>
      </c>
      <c r="AL16" s="1175">
        <v>221.3</v>
      </c>
      <c r="AM16" s="1175">
        <v>226.4</v>
      </c>
      <c r="AN16" s="1176">
        <v>223.4</v>
      </c>
      <c r="AO16" s="45">
        <f t="shared" si="3"/>
        <v>223.4</v>
      </c>
      <c r="AP16" s="46"/>
      <c r="AQ16" s="1174">
        <v>212</v>
      </c>
      <c r="AR16" s="1175">
        <v>199.3</v>
      </c>
      <c r="AS16" s="1175">
        <v>218.7</v>
      </c>
      <c r="AT16" s="1176">
        <v>233.7</v>
      </c>
      <c r="AU16" s="45">
        <f t="shared" si="4"/>
        <v>233.7</v>
      </c>
      <c r="AV16" s="46"/>
      <c r="AW16" s="1174">
        <v>246.8</v>
      </c>
      <c r="AX16" s="1175">
        <v>265.89999999999998</v>
      </c>
      <c r="AY16" s="1175">
        <v>249.4</v>
      </c>
      <c r="AZ16" s="1176">
        <v>249</v>
      </c>
      <c r="BA16" s="45">
        <f t="shared" si="5"/>
        <v>249</v>
      </c>
      <c r="BB16" s="46"/>
      <c r="BC16" s="1180">
        <v>261.8</v>
      </c>
      <c r="BD16" s="1175">
        <v>259.10000000000002</v>
      </c>
      <c r="BE16" s="1175">
        <v>272.5</v>
      </c>
      <c r="BF16" s="1176">
        <v>283.60000000000002</v>
      </c>
      <c r="BG16" s="45">
        <f>BF16</f>
        <v>283.60000000000002</v>
      </c>
      <c r="BH16" s="46"/>
      <c r="BI16" s="1180">
        <v>279.7</v>
      </c>
      <c r="BJ16" s="1175">
        <v>287.8</v>
      </c>
      <c r="BK16" s="1175">
        <v>297.39999999999998</v>
      </c>
      <c r="BL16" s="1176">
        <v>299.5</v>
      </c>
      <c r="BM16" s="45">
        <f t="shared" si="6"/>
        <v>299.5</v>
      </c>
      <c r="BN16" s="47"/>
      <c r="BO16" s="345">
        <v>296.7</v>
      </c>
      <c r="BP16" s="1175">
        <v>293.39999999999998</v>
      </c>
      <c r="BQ16" s="1175">
        <v>265</v>
      </c>
      <c r="BR16" s="295">
        <v>249.9</v>
      </c>
      <c r="BS16" s="55">
        <f t="shared" si="7"/>
        <v>249.9</v>
      </c>
      <c r="BT16" s="47"/>
      <c r="BU16" s="1843">
        <v>228.7</v>
      </c>
      <c r="BV16" s="1842">
        <v>233.1</v>
      </c>
      <c r="BW16" s="1842">
        <v>232.4</v>
      </c>
      <c r="BX16" s="295">
        <v>231.1</v>
      </c>
      <c r="BY16" s="55">
        <f>BX16</f>
        <v>231.1</v>
      </c>
      <c r="BZ16" s="47"/>
      <c r="CA16" s="1843">
        <v>239</v>
      </c>
      <c r="CB16" s="1842">
        <v>236.8</v>
      </c>
      <c r="CC16" s="1842">
        <v>239.4</v>
      </c>
      <c r="CD16" s="295">
        <v>239.1</v>
      </c>
      <c r="CE16" s="55">
        <f t="shared" si="8"/>
        <v>239.1</v>
      </c>
      <c r="CF16" s="47"/>
      <c r="CG16" s="1843">
        <v>241</v>
      </c>
      <c r="CH16" s="1842">
        <v>252.8</v>
      </c>
      <c r="CI16" s="1842">
        <v>260.39999999999998</v>
      </c>
      <c r="CJ16" s="295">
        <v>266.5</v>
      </c>
      <c r="CK16" s="55">
        <f t="shared" si="9"/>
        <v>266.5</v>
      </c>
      <c r="CL16" s="47"/>
      <c r="CM16" s="298">
        <f>CM112</f>
        <v>266.36592109127457</v>
      </c>
      <c r="CN16" s="156">
        <f>CN112</f>
        <v>266.36568301102284</v>
      </c>
      <c r="CO16" s="156">
        <f>CO112</f>
        <v>266.65747062719731</v>
      </c>
      <c r="CP16" s="156">
        <f>CP112</f>
        <v>269.62239426202564</v>
      </c>
      <c r="CQ16" s="55">
        <f>CP16</f>
        <v>269.62239426202564</v>
      </c>
      <c r="CR16" s="47"/>
      <c r="CS16" s="298">
        <f>CS112</f>
        <v>267.95710831514668</v>
      </c>
      <c r="CT16" s="156">
        <f>CT112</f>
        <v>266.59682465006324</v>
      </c>
      <c r="CU16" s="156">
        <f>CU112</f>
        <v>265.29632976363246</v>
      </c>
      <c r="CV16" s="156">
        <f>CV112</f>
        <v>266.90210045963659</v>
      </c>
      <c r="CW16" s="55">
        <f>CV16</f>
        <v>266.90210045963659</v>
      </c>
      <c r="CY16" s="298">
        <f>CY112</f>
        <v>264.91041537793194</v>
      </c>
      <c r="CZ16" s="156">
        <f>CZ112</f>
        <v>263.04892674238522</v>
      </c>
      <c r="DA16" s="156">
        <f>DA112</f>
        <v>261.51933488669658</v>
      </c>
      <c r="DB16" s="156">
        <f>DB112</f>
        <v>262.77732817918286</v>
      </c>
      <c r="DC16" s="55">
        <f>DB16</f>
        <v>262.77732817918286</v>
      </c>
      <c r="DE16" s="298">
        <f>DE112</f>
        <v>260.33936412609592</v>
      </c>
      <c r="DF16" s="156">
        <f>DF112</f>
        <v>258.20776581272719</v>
      </c>
      <c r="DG16" s="156">
        <f>DG112</f>
        <v>256.22252378436826</v>
      </c>
      <c r="DH16" s="156">
        <f>DH112</f>
        <v>257.255358458253</v>
      </c>
      <c r="DI16" s="55">
        <f>DH16</f>
        <v>257.255358458253</v>
      </c>
    </row>
    <row r="17" spans="1:141" ht="11.25" customHeight="1">
      <c r="A17" s="49" t="s">
        <v>78</v>
      </c>
      <c r="B17" s="52"/>
      <c r="C17" s="1183">
        <v>0</v>
      </c>
      <c r="D17" s="52"/>
      <c r="E17" s="1183">
        <v>0</v>
      </c>
      <c r="F17" s="52"/>
      <c r="G17" s="1183">
        <v>0</v>
      </c>
      <c r="H17" s="52"/>
      <c r="I17" s="1183">
        <v>0</v>
      </c>
      <c r="J17" s="52"/>
      <c r="K17" s="239">
        <f>3.343-K18</f>
        <v>3.093</v>
      </c>
      <c r="L17" s="52"/>
      <c r="M17" s="1183">
        <v>10.739000000000001</v>
      </c>
      <c r="N17" s="52"/>
      <c r="O17" s="1183">
        <v>10.739000000000001</v>
      </c>
      <c r="P17" s="52"/>
      <c r="Q17" s="1183">
        <v>17.515999999999998</v>
      </c>
      <c r="R17" s="52"/>
      <c r="S17" s="1177">
        <v>21.5</v>
      </c>
      <c r="T17" s="1178">
        <v>21.5</v>
      </c>
      <c r="U17" s="1178">
        <v>40.6</v>
      </c>
      <c r="V17" s="1179">
        <v>39.777000000000001</v>
      </c>
      <c r="W17" s="51">
        <f t="shared" si="0"/>
        <v>39.777000000000001</v>
      </c>
      <c r="X17" s="52"/>
      <c r="Y17" s="1177">
        <v>41.1</v>
      </c>
      <c r="Z17" s="1178">
        <v>39.6</v>
      </c>
      <c r="AA17" s="1178">
        <v>39.799999999999997</v>
      </c>
      <c r="AB17" s="1179">
        <v>40.799999999999997</v>
      </c>
      <c r="AC17" s="51">
        <f t="shared" si="1"/>
        <v>40.799999999999997</v>
      </c>
      <c r="AD17" s="52"/>
      <c r="AE17" s="1177">
        <v>43</v>
      </c>
      <c r="AF17" s="1178">
        <v>43</v>
      </c>
      <c r="AG17" s="1178">
        <v>48.1</v>
      </c>
      <c r="AH17" s="1179">
        <v>46.4</v>
      </c>
      <c r="AI17" s="51">
        <f t="shared" si="2"/>
        <v>46.4</v>
      </c>
      <c r="AJ17" s="52"/>
      <c r="AK17" s="1177">
        <v>45.6</v>
      </c>
      <c r="AL17" s="1178">
        <v>46.9</v>
      </c>
      <c r="AM17" s="1178">
        <v>47.9</v>
      </c>
      <c r="AN17" s="1179">
        <v>47.5</v>
      </c>
      <c r="AO17" s="51">
        <f t="shared" si="3"/>
        <v>47.5</v>
      </c>
      <c r="AP17" s="52"/>
      <c r="AQ17" s="1177">
        <v>46.2</v>
      </c>
      <c r="AR17" s="1178">
        <v>66.2</v>
      </c>
      <c r="AS17" s="1178">
        <v>48.4</v>
      </c>
      <c r="AT17" s="1179">
        <v>98.3</v>
      </c>
      <c r="AU17" s="51">
        <f t="shared" si="4"/>
        <v>98.3</v>
      </c>
      <c r="AV17" s="52"/>
      <c r="AW17" s="1177">
        <v>98.4</v>
      </c>
      <c r="AX17" s="1178">
        <v>100.1</v>
      </c>
      <c r="AY17" s="1178">
        <v>96.4</v>
      </c>
      <c r="AZ17" s="1179">
        <v>100.2</v>
      </c>
      <c r="BA17" s="51">
        <f t="shared" si="5"/>
        <v>100.2</v>
      </c>
      <c r="BB17" s="52"/>
      <c r="BC17" s="1181">
        <v>110.7</v>
      </c>
      <c r="BD17" s="1178">
        <v>109.8</v>
      </c>
      <c r="BE17" s="1178">
        <v>116.4</v>
      </c>
      <c r="BF17" s="1179">
        <v>115.9</v>
      </c>
      <c r="BG17" s="51">
        <f>BF17</f>
        <v>115.9</v>
      </c>
      <c r="BH17" s="52"/>
      <c r="BI17" s="1181">
        <v>115.2</v>
      </c>
      <c r="BJ17" s="1178">
        <v>115.6</v>
      </c>
      <c r="BK17" s="1178">
        <v>126.6</v>
      </c>
      <c r="BL17" s="1179">
        <v>127.4</v>
      </c>
      <c r="BM17" s="51">
        <f t="shared" si="6"/>
        <v>127.4</v>
      </c>
      <c r="BN17" s="54"/>
      <c r="BO17" s="310">
        <v>127.4</v>
      </c>
      <c r="BP17" s="1178">
        <v>126.9</v>
      </c>
      <c r="BQ17" s="1178">
        <v>135.1</v>
      </c>
      <c r="BR17" s="290">
        <v>127.8</v>
      </c>
      <c r="BS17" s="53">
        <f t="shared" si="7"/>
        <v>127.8</v>
      </c>
      <c r="BT17" s="54"/>
      <c r="BU17" s="1844">
        <v>124.7</v>
      </c>
      <c r="BV17" s="1838">
        <v>125.7</v>
      </c>
      <c r="BW17" s="1838">
        <v>125.1</v>
      </c>
      <c r="BX17" s="290">
        <v>130.6</v>
      </c>
      <c r="BY17" s="53">
        <f>BX17</f>
        <v>130.6</v>
      </c>
      <c r="BZ17" s="54"/>
      <c r="CA17" s="1844">
        <v>131.9</v>
      </c>
      <c r="CB17" s="1838">
        <v>131</v>
      </c>
      <c r="CC17" s="1838">
        <v>131.4</v>
      </c>
      <c r="CD17" s="290">
        <v>130.6</v>
      </c>
      <c r="CE17" s="53">
        <f t="shared" si="8"/>
        <v>130.6</v>
      </c>
      <c r="CF17" s="54"/>
      <c r="CG17" s="1844">
        <v>151.6</v>
      </c>
      <c r="CH17" s="1838">
        <v>165.4</v>
      </c>
      <c r="CI17" s="1838">
        <v>168.6</v>
      </c>
      <c r="CJ17" s="290">
        <v>169.8</v>
      </c>
      <c r="CK17" s="53">
        <f t="shared" si="9"/>
        <v>169.8</v>
      </c>
      <c r="CL17" s="54"/>
      <c r="CM17" s="284">
        <f>CM127</f>
        <v>169.8</v>
      </c>
      <c r="CN17" s="105">
        <f>CN127</f>
        <v>169.8</v>
      </c>
      <c r="CO17" s="105">
        <f>CO127</f>
        <v>169.8</v>
      </c>
      <c r="CP17" s="105">
        <f>CP127</f>
        <v>169.8</v>
      </c>
      <c r="CQ17" s="53">
        <f>CP17</f>
        <v>169.8</v>
      </c>
      <c r="CR17" s="54"/>
      <c r="CS17" s="284">
        <f>CS127</f>
        <v>169.8</v>
      </c>
      <c r="CT17" s="105">
        <f>CT127</f>
        <v>169.8</v>
      </c>
      <c r="CU17" s="105">
        <f>CU127</f>
        <v>169.8</v>
      </c>
      <c r="CV17" s="105">
        <f>CV127</f>
        <v>169.8</v>
      </c>
      <c r="CW17" s="53">
        <f>CV17</f>
        <v>169.8</v>
      </c>
      <c r="CY17" s="284">
        <f>CY127</f>
        <v>169.8</v>
      </c>
      <c r="CZ17" s="105">
        <f>CZ127</f>
        <v>169.8</v>
      </c>
      <c r="DA17" s="105">
        <f>DA127</f>
        <v>169.8</v>
      </c>
      <c r="DB17" s="105">
        <f>DB127</f>
        <v>169.8</v>
      </c>
      <c r="DC17" s="53">
        <f>DB17</f>
        <v>169.8</v>
      </c>
      <c r="DE17" s="284">
        <f>DE127</f>
        <v>169.8</v>
      </c>
      <c r="DF17" s="105">
        <f>DF127</f>
        <v>169.8</v>
      </c>
      <c r="DG17" s="105">
        <f>DG127</f>
        <v>169.8</v>
      </c>
      <c r="DH17" s="105">
        <f>DH127</f>
        <v>169.8</v>
      </c>
      <c r="DI17" s="53">
        <f>DH17</f>
        <v>169.8</v>
      </c>
    </row>
    <row r="18" spans="1:141" ht="11.25" hidden="1" customHeight="1" outlineLevel="1">
      <c r="A18" s="49" t="s">
        <v>205</v>
      </c>
      <c r="B18" s="52"/>
      <c r="C18" s="1183">
        <v>0.24282699999999999</v>
      </c>
      <c r="D18" s="52"/>
      <c r="E18" s="1183">
        <v>0.38600000000000001</v>
      </c>
      <c r="F18" s="52"/>
      <c r="G18" s="1183">
        <v>2.335</v>
      </c>
      <c r="H18" s="52"/>
      <c r="I18" s="1183">
        <v>1.595</v>
      </c>
      <c r="J18" s="52"/>
      <c r="K18" s="1183">
        <v>0.25</v>
      </c>
      <c r="L18" s="52"/>
      <c r="M18" s="1183">
        <v>1.9039999999999999</v>
      </c>
      <c r="N18" s="52"/>
      <c r="O18" s="1183">
        <v>1.431</v>
      </c>
      <c r="P18" s="52"/>
      <c r="Q18" s="1183">
        <v>1.5329999999999999</v>
      </c>
      <c r="R18" s="52"/>
      <c r="S18" s="1177">
        <v>1.284</v>
      </c>
      <c r="T18" s="1178">
        <v>1.92</v>
      </c>
      <c r="U18" s="1178">
        <v>4.0940000000000003</v>
      </c>
      <c r="V18" s="1179">
        <v>5.5789999999999997</v>
      </c>
      <c r="W18" s="51">
        <f t="shared" si="0"/>
        <v>5.5789999999999997</v>
      </c>
      <c r="X18" s="52"/>
      <c r="Y18" s="1177">
        <v>5.1609999999999996</v>
      </c>
      <c r="Z18" s="1178">
        <v>4.7300000000000004</v>
      </c>
      <c r="AA18" s="1178">
        <v>4.4119999999999999</v>
      </c>
      <c r="AB18" s="1179">
        <v>6.2</v>
      </c>
      <c r="AC18" s="51">
        <f t="shared" si="1"/>
        <v>6.2</v>
      </c>
      <c r="AD18" s="52"/>
      <c r="AE18" s="1177">
        <v>6.5330000000000004</v>
      </c>
      <c r="AF18" s="1178">
        <v>6.2039999999999997</v>
      </c>
      <c r="AG18" s="1178">
        <v>6.0010000000000003</v>
      </c>
      <c r="AH18" s="1179">
        <v>6</v>
      </c>
      <c r="AI18" s="51">
        <f t="shared" si="2"/>
        <v>6</v>
      </c>
      <c r="AJ18" s="52"/>
      <c r="AK18" s="1177">
        <v>5.6</v>
      </c>
      <c r="AL18" s="1178">
        <v>5.0999999999999996</v>
      </c>
      <c r="AM18" s="1178">
        <v>5.3</v>
      </c>
      <c r="AN18" s="1179">
        <v>4.9000000000000004</v>
      </c>
      <c r="AO18" s="51">
        <f t="shared" si="3"/>
        <v>4.9000000000000004</v>
      </c>
      <c r="AP18" s="52"/>
      <c r="AQ18" s="1177">
        <v>4.4000000000000004</v>
      </c>
      <c r="AR18" s="1178">
        <v>12.9</v>
      </c>
      <c r="AS18" s="1178">
        <v>24.7</v>
      </c>
      <c r="AT18" s="1179">
        <v>136.1</v>
      </c>
      <c r="AU18" s="51">
        <f t="shared" si="4"/>
        <v>136.1</v>
      </c>
      <c r="AV18" s="52"/>
      <c r="AW18" s="1177">
        <v>136.30000000000001</v>
      </c>
      <c r="AX18" s="1178">
        <v>137.6</v>
      </c>
      <c r="AY18" s="1178">
        <v>133.1</v>
      </c>
      <c r="AZ18" s="1179">
        <v>136.4</v>
      </c>
      <c r="BA18" s="51">
        <f t="shared" si="5"/>
        <v>136.4</v>
      </c>
      <c r="BB18" s="52"/>
      <c r="BC18" s="1181">
        <v>147.1</v>
      </c>
      <c r="BD18" s="1178">
        <v>138.5</v>
      </c>
      <c r="BE18" s="1178">
        <v>133.80000000000001</v>
      </c>
      <c r="BF18" s="1179">
        <v>117</v>
      </c>
      <c r="BG18" s="51">
        <f>BF18</f>
        <v>117</v>
      </c>
      <c r="BH18" s="52"/>
      <c r="BI18" s="1181">
        <v>111.1</v>
      </c>
      <c r="BJ18" s="1178">
        <v>106.1</v>
      </c>
      <c r="BK18" s="1178">
        <v>108.4</v>
      </c>
      <c r="BL18" s="1179">
        <v>105.6</v>
      </c>
      <c r="BM18" s="51">
        <f t="shared" si="6"/>
        <v>105.6</v>
      </c>
      <c r="BN18" s="54"/>
      <c r="BO18" s="310">
        <v>100.5</v>
      </c>
      <c r="BP18" s="1178">
        <v>95.6</v>
      </c>
      <c r="BQ18" s="1178">
        <v>88.6</v>
      </c>
      <c r="BR18" s="290">
        <v>83.8</v>
      </c>
      <c r="BS18" s="53">
        <f t="shared" si="7"/>
        <v>83.8</v>
      </c>
      <c r="BT18" s="54"/>
      <c r="BU18" s="1844">
        <v>78</v>
      </c>
      <c r="BV18" s="1838">
        <v>73.599999999999994</v>
      </c>
      <c r="BW18" s="1838">
        <v>66.2</v>
      </c>
      <c r="BX18" s="290">
        <v>74.7</v>
      </c>
      <c r="BY18" s="53">
        <f>BX18</f>
        <v>74.7</v>
      </c>
      <c r="BZ18" s="54"/>
      <c r="CA18" s="1844">
        <v>70.3</v>
      </c>
      <c r="CB18" s="1838">
        <v>65.8</v>
      </c>
      <c r="CC18" s="1838">
        <v>60.7</v>
      </c>
      <c r="CD18" s="290">
        <v>69.7</v>
      </c>
      <c r="CE18" s="53">
        <f t="shared" si="8"/>
        <v>69.7</v>
      </c>
      <c r="CF18" s="54"/>
      <c r="CG18" s="1844">
        <v>85.9</v>
      </c>
      <c r="CH18" s="1838">
        <v>92.2</v>
      </c>
      <c r="CI18" s="1838">
        <v>89</v>
      </c>
      <c r="CJ18" s="290">
        <v>82.4</v>
      </c>
      <c r="CK18" s="53">
        <f t="shared" si="9"/>
        <v>82.4</v>
      </c>
      <c r="CL18" s="54"/>
      <c r="CM18" s="284">
        <f>CM122</f>
        <v>79.025000000000006</v>
      </c>
      <c r="CN18" s="105">
        <f>CN122</f>
        <v>75.650000000000006</v>
      </c>
      <c r="CO18" s="105">
        <f>CO122</f>
        <v>72.275000000000006</v>
      </c>
      <c r="CP18" s="105">
        <f>CP122</f>
        <v>68.900000000000006</v>
      </c>
      <c r="CQ18" s="53">
        <f>CP18</f>
        <v>68.900000000000006</v>
      </c>
      <c r="CR18" s="54"/>
      <c r="CS18" s="284">
        <f>CS122</f>
        <v>65.525000000000006</v>
      </c>
      <c r="CT18" s="105">
        <f>CT122</f>
        <v>62.150000000000006</v>
      </c>
      <c r="CU18" s="105">
        <f>CU122</f>
        <v>58.775000000000006</v>
      </c>
      <c r="CV18" s="105">
        <f>CV122</f>
        <v>55.400000000000006</v>
      </c>
      <c r="CW18" s="53">
        <f>CV18</f>
        <v>55.400000000000006</v>
      </c>
      <c r="CY18" s="284">
        <f>CY122</f>
        <v>52.025000000000006</v>
      </c>
      <c r="CZ18" s="105">
        <f>CZ122</f>
        <v>48.650000000000006</v>
      </c>
      <c r="DA18" s="105">
        <f>DA122</f>
        <v>45.275000000000006</v>
      </c>
      <c r="DB18" s="105">
        <f>DB122</f>
        <v>41.900000000000006</v>
      </c>
      <c r="DC18" s="53">
        <f>DB18</f>
        <v>41.900000000000006</v>
      </c>
      <c r="DE18" s="284">
        <f>DE122</f>
        <v>38.525000000000006</v>
      </c>
      <c r="DF18" s="105">
        <f>DF122</f>
        <v>35.150000000000006</v>
      </c>
      <c r="DG18" s="105">
        <f>DG122</f>
        <v>31.775000000000006</v>
      </c>
      <c r="DH18" s="105">
        <f>DH122</f>
        <v>28.400000000000006</v>
      </c>
      <c r="DI18" s="53">
        <f>DH18</f>
        <v>28.400000000000006</v>
      </c>
    </row>
    <row r="19" spans="1:141" ht="11.25" hidden="1" customHeight="1" outlineLevel="1">
      <c r="A19" s="56" t="s">
        <v>206</v>
      </c>
      <c r="B19" s="181"/>
      <c r="C19" s="1183">
        <v>5.8958709999999996</v>
      </c>
      <c r="D19" s="181"/>
      <c r="E19" s="1183">
        <v>5.1999999999999998E-2</v>
      </c>
      <c r="F19" s="181"/>
      <c r="G19" s="1183">
        <v>9.27</v>
      </c>
      <c r="H19" s="181"/>
      <c r="I19" s="1183">
        <v>11.305</v>
      </c>
      <c r="J19" s="181"/>
      <c r="K19" s="239">
        <f>0.128+8.871</f>
        <v>8.9990000000000006</v>
      </c>
      <c r="L19" s="181"/>
      <c r="M19" s="239">
        <f>0.155+6.254</f>
        <v>6.4089999999999998</v>
      </c>
      <c r="N19" s="181"/>
      <c r="O19" s="239">
        <f>0.656+2.44</f>
        <v>3.0960000000000001</v>
      </c>
      <c r="P19" s="181"/>
      <c r="Q19" s="239">
        <f>1.01+3.021</f>
        <v>4.0309999999999997</v>
      </c>
      <c r="R19" s="181"/>
      <c r="S19" s="289">
        <f>27.051-S17-S18</f>
        <v>4.2669999999999986</v>
      </c>
      <c r="T19" s="199">
        <f>28.826-T17-T18</f>
        <v>5.4060000000000006</v>
      </c>
      <c r="U19" s="199">
        <f>49.997-U17-U18</f>
        <v>5.3029999999999982</v>
      </c>
      <c r="V19" s="290">
        <f>1.107+1.631</f>
        <v>2.738</v>
      </c>
      <c r="W19" s="51">
        <f t="shared" si="0"/>
        <v>2.738</v>
      </c>
      <c r="X19" s="181"/>
      <c r="Y19" s="289">
        <f>52.609-Y17-Y18</f>
        <v>6.3480000000000008</v>
      </c>
      <c r="Z19" s="199">
        <f>53.791-Z17-Z18</f>
        <v>9.460999999999995</v>
      </c>
      <c r="AA19" s="199">
        <f>53.909-AA17-AA18</f>
        <v>9.6970000000000027</v>
      </c>
      <c r="AB19" s="1179">
        <v>22.4</v>
      </c>
      <c r="AC19" s="51">
        <f t="shared" si="1"/>
        <v>22.4</v>
      </c>
      <c r="AD19" s="181"/>
      <c r="AE19" s="289">
        <f>79.428-AE17-AE18</f>
        <v>29.894999999999996</v>
      </c>
      <c r="AF19" s="199">
        <f>75.895-AF17-AF18</f>
        <v>26.690999999999995</v>
      </c>
      <c r="AG19" s="199">
        <f>86.471-AG17-AG18</f>
        <v>32.370000000000005</v>
      </c>
      <c r="AH19" s="290">
        <f>13.6+8.3</f>
        <v>21.9</v>
      </c>
      <c r="AI19" s="51">
        <f t="shared" si="2"/>
        <v>21.9</v>
      </c>
      <c r="AJ19" s="181"/>
      <c r="AK19" s="289">
        <f>76.2-AK17-AK18</f>
        <v>25</v>
      </c>
      <c r="AL19" s="199">
        <f>77-AL17-AL18</f>
        <v>25</v>
      </c>
      <c r="AM19" s="199">
        <f>79.3-AM17-AM18</f>
        <v>26.099999999999998</v>
      </c>
      <c r="AN19" s="290">
        <f>13.4+9.3</f>
        <v>22.700000000000003</v>
      </c>
      <c r="AO19" s="51">
        <f t="shared" si="3"/>
        <v>22.700000000000003</v>
      </c>
      <c r="AP19" s="181"/>
      <c r="AQ19" s="289">
        <f>73.3-AQ17-AQ18</f>
        <v>22.699999999999996</v>
      </c>
      <c r="AR19" s="199">
        <f>106.6-AR17-AR18</f>
        <v>27.499999999999993</v>
      </c>
      <c r="AS19" s="199">
        <f>104.4-AS17-AS18</f>
        <v>31.300000000000008</v>
      </c>
      <c r="AT19" s="290">
        <f>12.5+18.1</f>
        <v>30.6</v>
      </c>
      <c r="AU19" s="51">
        <f t="shared" si="4"/>
        <v>30.6</v>
      </c>
      <c r="AV19" s="181"/>
      <c r="AW19" s="289">
        <f>261.3-AW17-AW18</f>
        <v>26.599999999999994</v>
      </c>
      <c r="AX19" s="199">
        <f>266.9-AX17-AX18</f>
        <v>29.199999999999989</v>
      </c>
      <c r="AY19" s="199">
        <f>251.9-AY17-AY18</f>
        <v>22.400000000000006</v>
      </c>
      <c r="AZ19" s="290">
        <f>17.2+13.6</f>
        <v>30.799999999999997</v>
      </c>
      <c r="BA19" s="51">
        <f t="shared" si="5"/>
        <v>30.799999999999997</v>
      </c>
      <c r="BB19" s="181"/>
      <c r="BC19" s="281">
        <f>290.1-BC17-BC18</f>
        <v>32.30000000000004</v>
      </c>
      <c r="BD19" s="199">
        <f>278.9-BD17-BD18</f>
        <v>30.599999999999966</v>
      </c>
      <c r="BE19" s="199">
        <f>282.6-SUM(BE17:BE18)</f>
        <v>32.400000000000006</v>
      </c>
      <c r="BF19" s="290">
        <f>263.1-BF17-BF18</f>
        <v>30.200000000000017</v>
      </c>
      <c r="BG19" s="51">
        <f>BF19</f>
        <v>30.200000000000017</v>
      </c>
      <c r="BH19" s="181"/>
      <c r="BI19" s="281">
        <f>254.7-BI18-BI17</f>
        <v>28.399999999999991</v>
      </c>
      <c r="BJ19" s="199">
        <f>250.2-BJ17-BJ18</f>
        <v>28.5</v>
      </c>
      <c r="BK19" s="199">
        <f>265.9-BK17-BK18</f>
        <v>30.899999999999977</v>
      </c>
      <c r="BL19" s="290">
        <f>18.7+5.2</f>
        <v>23.9</v>
      </c>
      <c r="BM19" s="51">
        <f t="shared" si="6"/>
        <v>23.9</v>
      </c>
      <c r="BN19" s="105"/>
      <c r="BO19" s="310">
        <f>254.3-BO17-BO18</f>
        <v>26.400000000000006</v>
      </c>
      <c r="BP19" s="199">
        <f>245.1-BP17-BP18</f>
        <v>22.599999999999994</v>
      </c>
      <c r="BQ19" s="199">
        <f>245.9-BQ17-BQ18</f>
        <v>22.200000000000017</v>
      </c>
      <c r="BR19" s="290">
        <f>29.7+7.3</f>
        <v>37</v>
      </c>
      <c r="BS19" s="53">
        <f t="shared" si="7"/>
        <v>37</v>
      </c>
      <c r="BT19" s="105"/>
      <c r="BU19" s="1844">
        <f>239.2-BU17-BU18</f>
        <v>36.499999999999986</v>
      </c>
      <c r="BV19" s="1838">
        <f>232.8-BV17-BV18</f>
        <v>33.500000000000014</v>
      </c>
      <c r="BW19" s="1838">
        <f>224.1-BW17-BW18</f>
        <v>32.799999999999997</v>
      </c>
      <c r="BX19" s="290">
        <f>53+9.9</f>
        <v>62.9</v>
      </c>
      <c r="BY19" s="53">
        <f>BX19</f>
        <v>62.9</v>
      </c>
      <c r="BZ19" s="105"/>
      <c r="CA19" s="1844">
        <f>275.4-CA17-CA18</f>
        <v>73.199999999999974</v>
      </c>
      <c r="CB19" s="1838">
        <f>268.3-CB17-CB18</f>
        <v>71.500000000000014</v>
      </c>
      <c r="CC19" s="1838">
        <f>291.8-CC17-CC18</f>
        <v>99.7</v>
      </c>
      <c r="CD19" s="290">
        <f>76.5+16.6</f>
        <v>93.1</v>
      </c>
      <c r="CE19" s="53">
        <f t="shared" si="8"/>
        <v>93.1</v>
      </c>
      <c r="CF19" s="105"/>
      <c r="CG19" s="1844">
        <f>334.8-CG17-CG18</f>
        <v>97.300000000000011</v>
      </c>
      <c r="CH19" s="1838">
        <f>195.1-CH18</f>
        <v>102.89999999999999</v>
      </c>
      <c r="CI19" s="1838">
        <f>195.7-CI18</f>
        <v>106.69999999999999</v>
      </c>
      <c r="CJ19" s="290">
        <f>57+14</f>
        <v>71</v>
      </c>
      <c r="CK19" s="53">
        <f t="shared" si="9"/>
        <v>71</v>
      </c>
      <c r="CL19" s="105"/>
      <c r="CM19" s="284">
        <f>CK19-CF!CM18-CF!CM19-CF!CM15</f>
        <v>67.5</v>
      </c>
      <c r="CN19" s="105">
        <f>CM19-CF!CN18-CF!CN19-CF!CN15</f>
        <v>64</v>
      </c>
      <c r="CO19" s="105">
        <f>CN19-CF!CO18-CF!CO19-CF!CO15</f>
        <v>60.5</v>
      </c>
      <c r="CP19" s="105">
        <f>CO19-CF!CP18-CF!CP19-CF!CP15</f>
        <v>57</v>
      </c>
      <c r="CQ19" s="53">
        <f>CP19</f>
        <v>57</v>
      </c>
      <c r="CR19" s="105"/>
      <c r="CS19" s="284">
        <f>CQ19-CF!CS18-CF!CS19-CF!CS15</f>
        <v>53.5</v>
      </c>
      <c r="CT19" s="105">
        <f>CS19-CF!CT18-CF!CT19-CF!CT15</f>
        <v>50</v>
      </c>
      <c r="CU19" s="105">
        <f>CT19-CF!CU18-CF!CU19-CF!CU15</f>
        <v>46.5</v>
      </c>
      <c r="CV19" s="105">
        <f>CU19-CF!CV18-CF!CV19-CF!CV15</f>
        <v>42.96</v>
      </c>
      <c r="CW19" s="53">
        <f>CV19</f>
        <v>42.96</v>
      </c>
      <c r="CX19" s="21"/>
      <c r="CY19" s="284">
        <f>CW19-CF!CY18-CF!CY19-CF!CY15</f>
        <v>39.46</v>
      </c>
      <c r="CZ19" s="105">
        <f>CY19-CF!CZ18-CF!CZ19-CF!CZ15</f>
        <v>35.96</v>
      </c>
      <c r="DA19" s="105">
        <f>CZ19-CF!DA18-CF!DA19-CF!DA15</f>
        <v>32.46</v>
      </c>
      <c r="DB19" s="105">
        <f>DA19-CF!DB18-CF!DB19-CF!DB15</f>
        <v>28.92</v>
      </c>
      <c r="DC19" s="53">
        <f>DB19</f>
        <v>28.92</v>
      </c>
      <c r="DD19" s="21"/>
      <c r="DE19" s="284">
        <f>DC19-CF!DE18-CF!DE19-CF!DE15</f>
        <v>25.42</v>
      </c>
      <c r="DF19" s="105">
        <f>DE19-CF!DF18-CF!DF19-CF!DF15</f>
        <v>21.92</v>
      </c>
      <c r="DG19" s="105">
        <f>DF19-CF!DG18-CF!DG19-CF!DG15</f>
        <v>18.420000000000002</v>
      </c>
      <c r="DH19" s="105">
        <f>DG19-CF!DH18-CF!DH19-CF!DH15</f>
        <v>14.880000000000003</v>
      </c>
      <c r="DI19" s="53">
        <f>DH19</f>
        <v>14.880000000000003</v>
      </c>
      <c r="DP19" s="21"/>
      <c r="DQ19" s="21"/>
      <c r="DR19" s="21"/>
      <c r="DS19" s="21"/>
      <c r="DT19" s="21"/>
      <c r="DU19" s="21"/>
      <c r="DV19" s="21"/>
      <c r="DW19" s="21"/>
      <c r="DX19" s="21"/>
      <c r="DY19" s="21"/>
      <c r="DZ19" s="21"/>
      <c r="EA19" s="21"/>
      <c r="EB19" s="21"/>
      <c r="EC19" s="21"/>
      <c r="ED19" s="21"/>
      <c r="EE19" s="21"/>
      <c r="EF19" s="21"/>
      <c r="EG19" s="21"/>
      <c r="EH19" s="21"/>
      <c r="EI19" s="21"/>
      <c r="EJ19" s="21"/>
      <c r="EK19" s="21"/>
    </row>
    <row r="20" spans="1:141" ht="11.25" customHeight="1" collapsed="1">
      <c r="A20" s="57" t="s">
        <v>79</v>
      </c>
      <c r="B20" s="58"/>
      <c r="C20" s="59">
        <f>SUM(C15:C19)</f>
        <v>63.841314000000004</v>
      </c>
      <c r="D20" s="58"/>
      <c r="E20" s="59">
        <f>SUM(E15:E19)</f>
        <v>67.308999999999997</v>
      </c>
      <c r="F20" s="58"/>
      <c r="G20" s="59">
        <f>SUM(G15:G19)</f>
        <v>183.38200000000001</v>
      </c>
      <c r="H20" s="58"/>
      <c r="I20" s="59">
        <f>SUM(I15:I19)</f>
        <v>189.07400000000001</v>
      </c>
      <c r="J20" s="58"/>
      <c r="K20" s="59">
        <f>SUM(K15:K19)</f>
        <v>342.15300000000008</v>
      </c>
      <c r="L20" s="58"/>
      <c r="M20" s="59">
        <f>SUM(M15:M19)</f>
        <v>351.03099999999995</v>
      </c>
      <c r="N20" s="58"/>
      <c r="O20" s="59">
        <f>SUM(O15:O19)</f>
        <v>371.54699999999997</v>
      </c>
      <c r="P20" s="58"/>
      <c r="Q20" s="59">
        <f>SUM(Q15:Q19)</f>
        <v>423.64200000000005</v>
      </c>
      <c r="R20" s="58"/>
      <c r="S20" s="296">
        <f>SUM(S15:S19)</f>
        <v>369.98</v>
      </c>
      <c r="T20" s="58">
        <f>SUM(T15:T19)</f>
        <v>379.72600000000011</v>
      </c>
      <c r="U20" s="58">
        <f>SUM(U15:U19)</f>
        <v>409.36700000000008</v>
      </c>
      <c r="V20" s="297">
        <f>SUM(V15:V19)</f>
        <v>433.18699999999995</v>
      </c>
      <c r="W20" s="59">
        <f>SUM(W15:W19)</f>
        <v>433.18699999999995</v>
      </c>
      <c r="X20" s="58"/>
      <c r="Y20" s="296">
        <f>SUM(Y15:Y19)</f>
        <v>463.09400000000005</v>
      </c>
      <c r="Z20" s="58">
        <f>SUM(Z15:Z19)</f>
        <v>460.4860000000001</v>
      </c>
      <c r="AA20" s="58">
        <f>SUM(AA15:AA19)</f>
        <v>498.36399999999992</v>
      </c>
      <c r="AB20" s="297">
        <f>SUM(AB15:AB19)</f>
        <v>1310.6999999999998</v>
      </c>
      <c r="AC20" s="59">
        <f>SUM(AC15:AC19)</f>
        <v>1310.6999999999998</v>
      </c>
      <c r="AD20" s="58"/>
      <c r="AE20" s="296">
        <f>SUM(AE15:AE19)</f>
        <v>1397.4289999999999</v>
      </c>
      <c r="AF20" s="58">
        <f>SUM(AF15:AF19)</f>
        <v>1171.442</v>
      </c>
      <c r="AG20" s="58">
        <f>SUM(AG15:AG19)</f>
        <v>1077.5099999999998</v>
      </c>
      <c r="AH20" s="297">
        <f>SUM(AH15:AH19)</f>
        <v>1116.3000000000002</v>
      </c>
      <c r="AI20" s="59">
        <f>SUM(AI15:AI19)</f>
        <v>1116.3000000000002</v>
      </c>
      <c r="AJ20" s="58"/>
      <c r="AK20" s="296">
        <f>SUM(AK15:AK19)</f>
        <v>1059.0999999999999</v>
      </c>
      <c r="AL20" s="58">
        <f>SUM(AL15:AL19)</f>
        <v>1087.5</v>
      </c>
      <c r="AM20" s="58">
        <f>SUM(AM15:AM19)</f>
        <v>1124.2</v>
      </c>
      <c r="AN20" s="297">
        <f>SUM(AN15:AN19)</f>
        <v>1172.3000000000002</v>
      </c>
      <c r="AO20" s="59">
        <f>SUM(AO15:AO19)</f>
        <v>1172.3000000000002</v>
      </c>
      <c r="AP20" s="58"/>
      <c r="AQ20" s="296">
        <f>SUM(AQ15:AQ19)</f>
        <v>1159.6000000000004</v>
      </c>
      <c r="AR20" s="58">
        <f>SUM(AR15:AR19)</f>
        <v>1140.5000000000002</v>
      </c>
      <c r="AS20" s="58">
        <f>SUM(AS15:AS19)</f>
        <v>1277.1000000000001</v>
      </c>
      <c r="AT20" s="297">
        <f>SUM(AT15:AT19)</f>
        <v>1549.8</v>
      </c>
      <c r="AU20" s="59">
        <f>SUM(AU15:AU19)</f>
        <v>1549.8</v>
      </c>
      <c r="AV20" s="58"/>
      <c r="AW20" s="296">
        <f>SUM(AW15:AW19)</f>
        <v>1623.9</v>
      </c>
      <c r="AX20" s="58">
        <f>SUM(AX15:AX19)</f>
        <v>1699.8999999999999</v>
      </c>
      <c r="AY20" s="58">
        <f>SUM(AY15:AY19)</f>
        <v>1670.4</v>
      </c>
      <c r="AZ20" s="297">
        <f>SUM(AZ15:AZ19)</f>
        <v>1710.5000000000002</v>
      </c>
      <c r="BA20" s="59">
        <f>SUM(BA15:BA19)</f>
        <v>1710.5000000000002</v>
      </c>
      <c r="BB20" s="58"/>
      <c r="BC20" s="282">
        <f>SUM(BC15:BC19)</f>
        <v>1797.3</v>
      </c>
      <c r="BD20" s="58">
        <f>SUM(BD15:BD19)</f>
        <v>1750.1000000000001</v>
      </c>
      <c r="BE20" s="58">
        <f>SUM(BE15:BE19)</f>
        <v>1800</v>
      </c>
      <c r="BF20" s="297">
        <f>SUM(BF15:BF19)</f>
        <v>1856.4000000000003</v>
      </c>
      <c r="BG20" s="59">
        <f>SUM(BG15:BG19)</f>
        <v>1856.4000000000003</v>
      </c>
      <c r="BH20" s="58"/>
      <c r="BI20" s="282">
        <f>SUM(BI15:BI19)</f>
        <v>1811.9</v>
      </c>
      <c r="BJ20" s="58">
        <f>SUM(BJ15:BJ19)</f>
        <v>1801.7999999999995</v>
      </c>
      <c r="BK20" s="58">
        <f>SUM(BK15:BK19)</f>
        <v>1936.2000000000003</v>
      </c>
      <c r="BL20" s="297">
        <f>SUM(BL15:BL19)</f>
        <v>1988.3</v>
      </c>
      <c r="BM20" s="59">
        <f>SUM(BM15:BM19)</f>
        <v>1988.3</v>
      </c>
      <c r="BN20" s="61"/>
      <c r="BO20" s="285">
        <f>SUM(BO15:BO19)</f>
        <v>2027.7000000000003</v>
      </c>
      <c r="BP20" s="61">
        <f>SUM(BP15:BP19)</f>
        <v>2003.9</v>
      </c>
      <c r="BQ20" s="61">
        <f>SUM(BQ15:BQ19)</f>
        <v>1910.6</v>
      </c>
      <c r="BR20" s="61">
        <f>SUM(BR15:BR19)</f>
        <v>1864.8</v>
      </c>
      <c r="BS20" s="60">
        <f>SUM(BS15:BS19)</f>
        <v>1864.8</v>
      </c>
      <c r="BT20" s="61"/>
      <c r="BU20" s="285">
        <f>SUM(BU15:BU19)</f>
        <v>1772.7</v>
      </c>
      <c r="BV20" s="61">
        <f>SUM(BV15:BV19)</f>
        <v>1820.3999999999999</v>
      </c>
      <c r="BW20" s="61">
        <f>SUM(BW15:BW19)</f>
        <v>1842.8999999999999</v>
      </c>
      <c r="BX20" s="61">
        <f>SUM(BX15:BX19)</f>
        <v>1730.8999999999999</v>
      </c>
      <c r="BY20" s="60">
        <f>SUM(BY15:BY19)</f>
        <v>1730.8999999999999</v>
      </c>
      <c r="BZ20" s="61"/>
      <c r="CA20" s="285">
        <f>SUM(CA15:CA19)</f>
        <v>1739.8000000000004</v>
      </c>
      <c r="CB20" s="61">
        <f>SUM(CB15:CB19)</f>
        <v>1720.4999999999998</v>
      </c>
      <c r="CC20" s="61">
        <f>SUM(CC15:CC19)</f>
        <v>1797.9000000000003</v>
      </c>
      <c r="CD20" s="61">
        <f>SUM(CD15:CD19)</f>
        <v>1808.3999999999996</v>
      </c>
      <c r="CE20" s="60">
        <f>SUM(CE15:CE19)</f>
        <v>1808.3999999999996</v>
      </c>
      <c r="CF20" s="61"/>
      <c r="CG20" s="285">
        <f>SUM(CG15:CG19)</f>
        <v>1839.8999999999999</v>
      </c>
      <c r="CH20" s="61">
        <f>SUM(CH15:CH19)</f>
        <v>1912.9</v>
      </c>
      <c r="CI20" s="61">
        <f>SUM(CI15:CI19)</f>
        <v>1961.4999999999998</v>
      </c>
      <c r="CJ20" s="61">
        <f>SUM(CJ15:CJ19)</f>
        <v>1948.5</v>
      </c>
      <c r="CK20" s="60">
        <f>SUM(CK15:CK19)</f>
        <v>1948.5</v>
      </c>
      <c r="CL20" s="61"/>
      <c r="CM20" s="285">
        <f>SUM(CM15:CM19)</f>
        <v>1947.7064387557223</v>
      </c>
      <c r="CN20" s="61">
        <f>SUM(CN15:CN19)</f>
        <v>1884.3756016252637</v>
      </c>
      <c r="CO20" s="61">
        <f>SUM(CO15:CO19)</f>
        <v>1898.7394498764827</v>
      </c>
      <c r="CP20" s="61">
        <f>SUM(CP15:CP19)</f>
        <v>1945.0971585386851</v>
      </c>
      <c r="CQ20" s="60">
        <f>SUM(CQ15:CQ19)</f>
        <v>1945.0971585386851</v>
      </c>
      <c r="CR20" s="61"/>
      <c r="CS20" s="285">
        <f>SUM(CS15:CS19)</f>
        <v>1962.4773523582001</v>
      </c>
      <c r="CT20" s="61">
        <f>SUM(CT15:CT19)</f>
        <v>1913.628398644101</v>
      </c>
      <c r="CU20" s="61">
        <f>SUM(CU15:CU19)</f>
        <v>1917.6114293549015</v>
      </c>
      <c r="CV20" s="61">
        <f>SUM(CV15:CV19)</f>
        <v>1961.6093703164336</v>
      </c>
      <c r="CW20" s="60">
        <f>SUM(CW15:CW19)</f>
        <v>1961.6093703164336</v>
      </c>
      <c r="CY20" s="285">
        <f>SUM(CY15:CY19)</f>
        <v>1959.4063107147956</v>
      </c>
      <c r="CZ20" s="61">
        <f>SUM(CZ15:CZ19)</f>
        <v>1913.0807834588154</v>
      </c>
      <c r="DA20" s="61">
        <f>SUM(DA15:DA19)</f>
        <v>1940.8193964345553</v>
      </c>
      <c r="DB20" s="61">
        <f>SUM(DB15:DB19)</f>
        <v>1983.3741412963025</v>
      </c>
      <c r="DC20" s="60">
        <f>SUM(DC15:DC19)</f>
        <v>1983.3741412963025</v>
      </c>
      <c r="DE20" s="285">
        <f>SUM(DE15:DE19)</f>
        <v>2002.4486033252258</v>
      </c>
      <c r="DF20" s="61">
        <f>SUM(DF15:DF19)</f>
        <v>1960.2562339476183</v>
      </c>
      <c r="DG20" s="61">
        <f>SUM(DG15:DG19)</f>
        <v>1978.4427225724096</v>
      </c>
      <c r="DH20" s="61">
        <f>SUM(DH15:DH19)</f>
        <v>2022.7219199407789</v>
      </c>
      <c r="DI20" s="60">
        <f>SUM(DI15:DI19)</f>
        <v>2022.7219199407789</v>
      </c>
    </row>
    <row r="21" spans="1:141" ht="11.25" customHeight="1">
      <c r="A21" s="1003"/>
      <c r="B21" s="187"/>
      <c r="C21" s="1004"/>
      <c r="D21" s="187"/>
      <c r="E21" s="1004"/>
      <c r="F21" s="187"/>
      <c r="G21" s="1004"/>
      <c r="H21" s="187"/>
      <c r="I21" s="1004"/>
      <c r="J21" s="187"/>
      <c r="K21" s="1004"/>
      <c r="L21" s="187"/>
      <c r="M21" s="1004"/>
      <c r="N21" s="187"/>
      <c r="O21" s="1004"/>
      <c r="P21" s="187"/>
      <c r="Q21" s="1004"/>
      <c r="R21" s="187"/>
      <c r="S21" s="1005"/>
      <c r="T21" s="187"/>
      <c r="U21" s="187"/>
      <c r="V21" s="1006"/>
      <c r="W21" s="1004"/>
      <c r="X21" s="187"/>
      <c r="Y21" s="1005"/>
      <c r="Z21" s="187"/>
      <c r="AA21" s="187"/>
      <c r="AB21" s="1006"/>
      <c r="AC21" s="1004"/>
      <c r="AD21" s="187"/>
      <c r="AE21" s="1005"/>
      <c r="AF21" s="187"/>
      <c r="AG21" s="187"/>
      <c r="AH21" s="1006"/>
      <c r="AI21" s="1004"/>
      <c r="AJ21" s="187"/>
      <c r="AK21" s="1005"/>
      <c r="AL21" s="187"/>
      <c r="AM21" s="187"/>
      <c r="AN21" s="1006"/>
      <c r="AO21" s="1004"/>
      <c r="AP21" s="187"/>
      <c r="AQ21" s="1005"/>
      <c r="AR21" s="187"/>
      <c r="AS21" s="187"/>
      <c r="AT21" s="1006"/>
      <c r="AU21" s="1004"/>
      <c r="AV21" s="187"/>
      <c r="AW21" s="1005"/>
      <c r="AX21" s="187"/>
      <c r="AY21" s="187"/>
      <c r="AZ21" s="1006"/>
      <c r="BA21" s="1004"/>
      <c r="BB21" s="187"/>
      <c r="BC21" s="335"/>
      <c r="BD21" s="187"/>
      <c r="BE21" s="187"/>
      <c r="BF21" s="1006"/>
      <c r="BG21" s="1004"/>
      <c r="BH21" s="187"/>
      <c r="BI21" s="335"/>
      <c r="BJ21" s="187"/>
      <c r="BK21" s="187"/>
      <c r="BL21" s="187"/>
      <c r="BM21" s="1007"/>
      <c r="BN21" s="479"/>
      <c r="BO21" s="1008"/>
      <c r="BP21" s="479"/>
      <c r="BQ21" s="479"/>
      <c r="BR21" s="479"/>
      <c r="BS21" s="1007"/>
      <c r="BT21" s="479"/>
      <c r="BU21" s="1008"/>
      <c r="BV21" s="479"/>
      <c r="BW21" s="479"/>
      <c r="BX21" s="479"/>
      <c r="BY21" s="1007"/>
      <c r="BZ21" s="479"/>
      <c r="CA21" s="1008"/>
      <c r="CB21" s="479"/>
      <c r="CC21" s="479"/>
      <c r="CD21" s="479"/>
      <c r="CE21" s="1007"/>
      <c r="CF21" s="479"/>
      <c r="CG21" s="1008"/>
      <c r="CH21" s="479"/>
      <c r="CI21" s="479"/>
      <c r="CJ21" s="479"/>
      <c r="CK21" s="1007"/>
      <c r="CL21" s="479"/>
      <c r="CM21" s="1008"/>
      <c r="CN21" s="479"/>
      <c r="CO21" s="479"/>
      <c r="CP21" s="479"/>
      <c r="CQ21" s="1007"/>
      <c r="CR21" s="479"/>
      <c r="CS21" s="1008"/>
      <c r="CT21" s="479"/>
      <c r="CU21" s="479"/>
      <c r="CV21" s="479"/>
      <c r="CW21" s="1007"/>
      <c r="CY21" s="1008"/>
      <c r="CZ21" s="479"/>
      <c r="DA21" s="479"/>
      <c r="DB21" s="479"/>
      <c r="DC21" s="1007"/>
      <c r="DE21" s="1008"/>
      <c r="DF21" s="479"/>
      <c r="DG21" s="479"/>
      <c r="DH21" s="479"/>
      <c r="DI21" s="1007"/>
    </row>
    <row r="22" spans="1:141" ht="11.25" customHeight="1">
      <c r="A22" s="63" t="s">
        <v>80</v>
      </c>
      <c r="B22" s="64"/>
      <c r="C22" s="51"/>
      <c r="D22" s="52"/>
      <c r="E22" s="51"/>
      <c r="F22" s="52"/>
      <c r="G22" s="51"/>
      <c r="H22" s="52"/>
      <c r="I22" s="51"/>
      <c r="J22" s="52"/>
      <c r="K22" s="51"/>
      <c r="L22" s="52"/>
      <c r="M22" s="51"/>
      <c r="N22" s="52"/>
      <c r="O22" s="51"/>
      <c r="P22" s="52"/>
      <c r="Q22" s="51"/>
      <c r="R22" s="52"/>
      <c r="S22" s="291"/>
      <c r="T22" s="181"/>
      <c r="U22" s="181"/>
      <c r="V22" s="292"/>
      <c r="W22" s="51"/>
      <c r="X22" s="52"/>
      <c r="Y22" s="291"/>
      <c r="Z22" s="181"/>
      <c r="AA22" s="181"/>
      <c r="AB22" s="292"/>
      <c r="AC22" s="51"/>
      <c r="AD22" s="52"/>
      <c r="AE22" s="291"/>
      <c r="AF22" s="181"/>
      <c r="AG22" s="181"/>
      <c r="AH22" s="292"/>
      <c r="AI22" s="51"/>
      <c r="AJ22" s="52"/>
      <c r="AK22" s="291"/>
      <c r="AL22" s="181"/>
      <c r="AM22" s="181"/>
      <c r="AN22" s="292"/>
      <c r="AO22" s="51"/>
      <c r="AP22" s="52"/>
      <c r="AQ22" s="291"/>
      <c r="AR22" s="181"/>
      <c r="AS22" s="181"/>
      <c r="AT22" s="292"/>
      <c r="AU22" s="51"/>
      <c r="AV22" s="52"/>
      <c r="AW22" s="291"/>
      <c r="AX22" s="181"/>
      <c r="AY22" s="181"/>
      <c r="AZ22" s="292"/>
      <c r="BA22" s="51"/>
      <c r="BB22" s="52"/>
      <c r="BC22" s="288"/>
      <c r="BD22" s="181"/>
      <c r="BE22" s="181"/>
      <c r="BF22" s="292"/>
      <c r="BG22" s="51"/>
      <c r="BH22" s="64"/>
      <c r="BI22" s="288"/>
      <c r="BJ22" s="181"/>
      <c r="BK22" s="181"/>
      <c r="BL22" s="181"/>
      <c r="BM22" s="53"/>
      <c r="BN22" s="65"/>
      <c r="BO22" s="284"/>
      <c r="BP22" s="105"/>
      <c r="BQ22" s="105"/>
      <c r="BR22" s="105"/>
      <c r="BS22" s="53"/>
      <c r="BT22" s="65"/>
      <c r="BU22" s="284"/>
      <c r="BV22" s="105"/>
      <c r="BW22" s="105"/>
      <c r="BX22" s="105"/>
      <c r="BY22" s="53"/>
      <c r="BZ22" s="65"/>
      <c r="CA22" s="284"/>
      <c r="CB22" s="105"/>
      <c r="CC22" s="105"/>
      <c r="CD22" s="105"/>
      <c r="CE22" s="53"/>
      <c r="CF22" s="65"/>
      <c r="CG22" s="284"/>
      <c r="CH22" s="105"/>
      <c r="CI22" s="105"/>
      <c r="CJ22" s="105"/>
      <c r="CK22" s="53"/>
      <c r="CL22" s="65"/>
      <c r="CM22" s="284"/>
      <c r="CN22" s="105"/>
      <c r="CO22" s="105"/>
      <c r="CP22" s="105"/>
      <c r="CQ22" s="53"/>
      <c r="CR22" s="65"/>
      <c r="CS22" s="284"/>
      <c r="CT22" s="105"/>
      <c r="CU22" s="105"/>
      <c r="CV22" s="105"/>
      <c r="CW22" s="53"/>
      <c r="CY22" s="284"/>
      <c r="CZ22" s="105"/>
      <c r="DA22" s="105"/>
      <c r="DB22" s="105"/>
      <c r="DC22" s="53"/>
      <c r="DE22" s="284"/>
      <c r="DF22" s="105"/>
      <c r="DG22" s="105"/>
      <c r="DH22" s="105"/>
      <c r="DI22" s="53"/>
    </row>
    <row r="23" spans="1:141" ht="11.25" customHeight="1">
      <c r="A23" s="49" t="s">
        <v>207</v>
      </c>
      <c r="B23" s="52"/>
      <c r="C23" s="1182">
        <v>2.9412389999999999</v>
      </c>
      <c r="D23" s="46"/>
      <c r="E23" s="1182">
        <v>2.496</v>
      </c>
      <c r="F23" s="46"/>
      <c r="G23" s="1182">
        <v>0</v>
      </c>
      <c r="H23" s="46"/>
      <c r="I23" s="1182">
        <v>3.8849999999999998</v>
      </c>
      <c r="J23" s="46"/>
      <c r="K23" s="293">
        <f>11.811+6.599</f>
        <v>18.41</v>
      </c>
      <c r="L23" s="46"/>
      <c r="M23" s="293">
        <f>16.369+2.218</f>
        <v>18.587</v>
      </c>
      <c r="N23" s="46"/>
      <c r="O23" s="293">
        <f>10.186+2.019</f>
        <v>12.205</v>
      </c>
      <c r="P23" s="46"/>
      <c r="Q23" s="293">
        <f>7.323+2.241</f>
        <v>9.5640000000000001</v>
      </c>
      <c r="R23" s="46"/>
      <c r="S23" s="1174">
        <v>9.4659999999999993</v>
      </c>
      <c r="T23" s="1175">
        <v>9.6129999999999995</v>
      </c>
      <c r="U23" s="1175">
        <v>29.376999999999999</v>
      </c>
      <c r="V23" s="295">
        <f>19.396+2.461</f>
        <v>21.856999999999999</v>
      </c>
      <c r="W23" s="45">
        <f>V23</f>
        <v>21.856999999999999</v>
      </c>
      <c r="X23" s="46"/>
      <c r="Y23" s="1174">
        <v>11.601000000000001</v>
      </c>
      <c r="Z23" s="1175">
        <v>15.395</v>
      </c>
      <c r="AA23" s="1175">
        <v>21.013999999999999</v>
      </c>
      <c r="AB23" s="295">
        <f>13.2+22.4</f>
        <v>35.599999999999994</v>
      </c>
      <c r="AC23" s="45">
        <f>AB23</f>
        <v>35.599999999999994</v>
      </c>
      <c r="AD23" s="46"/>
      <c r="AE23" s="1174">
        <v>253.096</v>
      </c>
      <c r="AF23" s="1175">
        <v>66.430999999999997</v>
      </c>
      <c r="AG23" s="1175">
        <v>44.276000000000003</v>
      </c>
      <c r="AH23" s="295">
        <f>22.7+18.3</f>
        <v>41</v>
      </c>
      <c r="AI23" s="45">
        <f>AH23</f>
        <v>41</v>
      </c>
      <c r="AJ23" s="46"/>
      <c r="AK23" s="294">
        <f>6+24.9</f>
        <v>30.9</v>
      </c>
      <c r="AL23" s="204">
        <f>0.6+42.5</f>
        <v>43.1</v>
      </c>
      <c r="AM23" s="204">
        <f>0.4+30.5</f>
        <v>30.9</v>
      </c>
      <c r="AN23" s="295">
        <f>0.1+21.9</f>
        <v>22</v>
      </c>
      <c r="AO23" s="45">
        <f>AN23</f>
        <v>22</v>
      </c>
      <c r="AP23" s="46"/>
      <c r="AQ23" s="294">
        <f>0.1+23.5</f>
        <v>23.6</v>
      </c>
      <c r="AR23" s="1175">
        <v>25.1</v>
      </c>
      <c r="AS23" s="1175">
        <v>27.1</v>
      </c>
      <c r="AT23" s="295">
        <f>185.5+28.9</f>
        <v>214.4</v>
      </c>
      <c r="AU23" s="45">
        <f>AT23</f>
        <v>214.4</v>
      </c>
      <c r="AV23" s="46"/>
      <c r="AW23" s="294">
        <f>185.5+30.9</f>
        <v>216.4</v>
      </c>
      <c r="AX23" s="204">
        <f>185.5+42.1</f>
        <v>227.6</v>
      </c>
      <c r="AY23" s="204">
        <f>217+53.6</f>
        <v>270.60000000000002</v>
      </c>
      <c r="AZ23" s="1176">
        <v>83.7</v>
      </c>
      <c r="BA23" s="45">
        <f>AZ23</f>
        <v>83.7</v>
      </c>
      <c r="BB23" s="46"/>
      <c r="BC23" s="1180">
        <v>76.3</v>
      </c>
      <c r="BD23" s="1175">
        <v>77.599999999999994</v>
      </c>
      <c r="BE23" s="1175">
        <v>38.9</v>
      </c>
      <c r="BF23" s="1176">
        <v>1.3</v>
      </c>
      <c r="BG23" s="45">
        <f>BF23</f>
        <v>1.3</v>
      </c>
      <c r="BH23" s="46"/>
      <c r="BI23" s="1180">
        <v>1.1000000000000001</v>
      </c>
      <c r="BJ23" s="1175">
        <v>1.1000000000000001</v>
      </c>
      <c r="BK23" s="1175">
        <v>1</v>
      </c>
      <c r="BL23" s="1176">
        <v>0.7</v>
      </c>
      <c r="BM23" s="45">
        <f>BL23</f>
        <v>0.7</v>
      </c>
      <c r="BN23" s="47"/>
      <c r="BO23" s="1180">
        <v>0.7</v>
      </c>
      <c r="BP23" s="1175">
        <v>0.8</v>
      </c>
      <c r="BQ23" s="1175">
        <v>0.7</v>
      </c>
      <c r="BR23" s="295">
        <v>0.8</v>
      </c>
      <c r="BS23" s="55">
        <f>BR23</f>
        <v>0.8</v>
      </c>
      <c r="BT23" s="47"/>
      <c r="BU23" s="1839">
        <v>0.7</v>
      </c>
      <c r="BV23" s="1842">
        <v>123.2</v>
      </c>
      <c r="BW23" s="1842">
        <v>130.30000000000001</v>
      </c>
      <c r="BX23" s="295">
        <v>0.7</v>
      </c>
      <c r="BY23" s="55">
        <f>BX23</f>
        <v>0.7</v>
      </c>
      <c r="BZ23" s="47"/>
      <c r="CA23" s="280">
        <v>20.399999999999999</v>
      </c>
      <c r="CB23" s="1842">
        <v>20.3</v>
      </c>
      <c r="CC23" s="1842">
        <v>20.2</v>
      </c>
      <c r="CD23" s="295">
        <v>20.100000000000001</v>
      </c>
      <c r="CE23" s="55">
        <f>CD23</f>
        <v>20.100000000000001</v>
      </c>
      <c r="CF23" s="47"/>
      <c r="CG23" s="280">
        <v>0.1</v>
      </c>
      <c r="CH23" s="1842">
        <v>0.1</v>
      </c>
      <c r="CI23" s="1842">
        <v>0</v>
      </c>
      <c r="CJ23" s="295">
        <v>0</v>
      </c>
      <c r="CK23" s="55">
        <f>CJ23</f>
        <v>0</v>
      </c>
      <c r="CL23" s="47"/>
      <c r="CM23" s="1168">
        <f>Debt!BU33+Debt!BU35</f>
        <v>0</v>
      </c>
      <c r="CN23" s="1167">
        <f>Debt!BV33+Debt!BV35</f>
        <v>0</v>
      </c>
      <c r="CO23" s="1167">
        <f>Debt!BW33+Debt!BW35</f>
        <v>0</v>
      </c>
      <c r="CP23" s="1167">
        <f>Debt!BX33+Debt!BX35</f>
        <v>0</v>
      </c>
      <c r="CQ23" s="55">
        <f>CP23</f>
        <v>0</v>
      </c>
      <c r="CR23" s="47"/>
      <c r="CS23" s="1168">
        <f>Debt!CA33+Debt!CA35</f>
        <v>0</v>
      </c>
      <c r="CT23" s="1167">
        <f>Debt!CB33+Debt!CB35</f>
        <v>0</v>
      </c>
      <c r="CU23" s="1167">
        <f>Debt!CC33+Debt!CC35</f>
        <v>0</v>
      </c>
      <c r="CV23" s="1167">
        <f>Debt!CD33+Debt!CD35</f>
        <v>0</v>
      </c>
      <c r="CW23" s="55">
        <f>CV23</f>
        <v>0</v>
      </c>
      <c r="CY23" s="1168">
        <f>Debt!CG33+Debt!CG35</f>
        <v>0</v>
      </c>
      <c r="CZ23" s="1167">
        <f>Debt!CH33+Debt!CH35</f>
        <v>0</v>
      </c>
      <c r="DA23" s="1167">
        <f>Debt!CI33+Debt!CI35</f>
        <v>0</v>
      </c>
      <c r="DB23" s="1167">
        <f>Debt!CJ33+Debt!CJ35</f>
        <v>0</v>
      </c>
      <c r="DC23" s="55">
        <f>DB23</f>
        <v>0</v>
      </c>
      <c r="DE23" s="1168">
        <f>Debt!CM33+Debt!CM35</f>
        <v>0</v>
      </c>
      <c r="DF23" s="1167">
        <f>Debt!CN33+Debt!CN35</f>
        <v>0</v>
      </c>
      <c r="DG23" s="1167">
        <f>Debt!CO33+Debt!CO35</f>
        <v>0</v>
      </c>
      <c r="DH23" s="1167">
        <f>Debt!CP33+Debt!CP35</f>
        <v>0</v>
      </c>
      <c r="DI23" s="55">
        <f>DH23</f>
        <v>0</v>
      </c>
    </row>
    <row r="24" spans="1:141" ht="11.25" customHeight="1">
      <c r="A24" s="49" t="s">
        <v>81</v>
      </c>
      <c r="B24" s="52"/>
      <c r="C24" s="1183">
        <v>3.2547860000000002</v>
      </c>
      <c r="D24" s="52"/>
      <c r="E24" s="1183">
        <v>6.6609999999999996</v>
      </c>
      <c r="F24" s="52"/>
      <c r="G24" s="1183">
        <v>7.601</v>
      </c>
      <c r="H24" s="52"/>
      <c r="I24" s="1183">
        <v>9.8719999999999999</v>
      </c>
      <c r="J24" s="52"/>
      <c r="K24" s="1183">
        <v>20.655999999999999</v>
      </c>
      <c r="L24" s="52"/>
      <c r="M24" s="1183">
        <v>18.7</v>
      </c>
      <c r="N24" s="52"/>
      <c r="O24" s="1183">
        <v>22.652000000000001</v>
      </c>
      <c r="P24" s="52"/>
      <c r="Q24" s="1183">
        <v>17.210999999999999</v>
      </c>
      <c r="R24" s="52"/>
      <c r="S24" s="1177">
        <v>16.126000000000001</v>
      </c>
      <c r="T24" s="1178">
        <v>12.34</v>
      </c>
      <c r="U24" s="1178">
        <v>21.111999999999998</v>
      </c>
      <c r="V24" s="1179">
        <v>23.102</v>
      </c>
      <c r="W24" s="51">
        <f>V24</f>
        <v>23.102</v>
      </c>
      <c r="X24" s="52"/>
      <c r="Y24" s="1177">
        <v>26.37</v>
      </c>
      <c r="Z24" s="1178">
        <v>27.597000000000001</v>
      </c>
      <c r="AA24" s="1178">
        <v>31.102</v>
      </c>
      <c r="AB24" s="1179">
        <v>52.3</v>
      </c>
      <c r="AC24" s="51">
        <f>AB24</f>
        <v>52.3</v>
      </c>
      <c r="AD24" s="52"/>
      <c r="AE24" s="1177">
        <v>59.21</v>
      </c>
      <c r="AF24" s="1178">
        <v>54.287999999999997</v>
      </c>
      <c r="AG24" s="1178">
        <v>46.527999999999999</v>
      </c>
      <c r="AH24" s="1179">
        <v>43.3</v>
      </c>
      <c r="AI24" s="51">
        <f>AH24</f>
        <v>43.3</v>
      </c>
      <c r="AJ24" s="52"/>
      <c r="AK24" s="1177">
        <v>47.5</v>
      </c>
      <c r="AL24" s="1178">
        <v>40.799999999999997</v>
      </c>
      <c r="AM24" s="1178">
        <v>45.5</v>
      </c>
      <c r="AN24" s="1179">
        <v>49.8</v>
      </c>
      <c r="AO24" s="51">
        <f>AN24</f>
        <v>49.8</v>
      </c>
      <c r="AP24" s="52"/>
      <c r="AQ24" s="1177">
        <v>53.7</v>
      </c>
      <c r="AR24" s="1178">
        <v>53.6</v>
      </c>
      <c r="AS24" s="1178">
        <v>60.1</v>
      </c>
      <c r="AT24" s="1179">
        <v>64</v>
      </c>
      <c r="AU24" s="51">
        <f>AT24</f>
        <v>64</v>
      </c>
      <c r="AV24" s="52"/>
      <c r="AW24" s="1177">
        <v>81</v>
      </c>
      <c r="AX24" s="1178">
        <v>82</v>
      </c>
      <c r="AY24" s="1178">
        <v>76.5</v>
      </c>
      <c r="AZ24" s="1179">
        <v>72.3</v>
      </c>
      <c r="BA24" s="51">
        <f>AZ24</f>
        <v>72.3</v>
      </c>
      <c r="BB24" s="52"/>
      <c r="BC24" s="1181">
        <v>87</v>
      </c>
      <c r="BD24" s="1178">
        <v>77.400000000000006</v>
      </c>
      <c r="BE24" s="1178">
        <v>78</v>
      </c>
      <c r="BF24" s="1179">
        <v>69.599999999999994</v>
      </c>
      <c r="BG24" s="51">
        <f>BF24</f>
        <v>69.599999999999994</v>
      </c>
      <c r="BH24" s="52"/>
      <c r="BI24" s="1181">
        <v>75.8</v>
      </c>
      <c r="BJ24" s="1178">
        <v>69.5</v>
      </c>
      <c r="BK24" s="1178">
        <v>82.9</v>
      </c>
      <c r="BL24" s="1179">
        <v>74.8</v>
      </c>
      <c r="BM24" s="51">
        <f>BL24</f>
        <v>74.8</v>
      </c>
      <c r="BN24" s="54"/>
      <c r="BO24" s="1181">
        <v>116.4</v>
      </c>
      <c r="BP24" s="1178">
        <v>102.2</v>
      </c>
      <c r="BQ24" s="1178">
        <v>98.5</v>
      </c>
      <c r="BR24" s="290">
        <v>76</v>
      </c>
      <c r="BS24" s="53">
        <f>BR24</f>
        <v>76</v>
      </c>
      <c r="BT24" s="54"/>
      <c r="BU24" s="1836">
        <v>87.1</v>
      </c>
      <c r="BV24" s="1838">
        <v>84.4</v>
      </c>
      <c r="BW24" s="1838">
        <v>87.4</v>
      </c>
      <c r="BX24" s="290">
        <v>72.099999999999994</v>
      </c>
      <c r="BY24" s="53">
        <f>BX24</f>
        <v>72.099999999999994</v>
      </c>
      <c r="BZ24" s="54"/>
      <c r="CA24" s="281">
        <v>95.1</v>
      </c>
      <c r="CB24" s="1838">
        <v>88</v>
      </c>
      <c r="CC24" s="1838">
        <v>93.3</v>
      </c>
      <c r="CD24" s="290">
        <v>86.1</v>
      </c>
      <c r="CE24" s="53">
        <f>CD24</f>
        <v>86.1</v>
      </c>
      <c r="CF24" s="54"/>
      <c r="CG24" s="281">
        <v>94.7</v>
      </c>
      <c r="CH24" s="1838">
        <v>91.7</v>
      </c>
      <c r="CI24" s="1838">
        <v>94.8</v>
      </c>
      <c r="CJ24" s="290">
        <v>90.8</v>
      </c>
      <c r="CK24" s="53">
        <f>CJ24</f>
        <v>90.8</v>
      </c>
      <c r="CL24" s="54"/>
      <c r="CM24" s="284">
        <f>IS!CM12*BS!CM73/(365/4)</f>
        <v>99.845455813591926</v>
      </c>
      <c r="CN24" s="105">
        <f>IS!CN12*BS!CN73/(365/4)</f>
        <v>89.027010085046001</v>
      </c>
      <c r="CO24" s="105">
        <f>IS!CO12*BS!CO73/(365/4)</f>
        <v>85.36911406923015</v>
      </c>
      <c r="CP24" s="105">
        <f>IS!CP12*BS!CP73/(365/4)</f>
        <v>78.247415109197831</v>
      </c>
      <c r="CQ24" s="53">
        <f>CP24</f>
        <v>78.247415109197831</v>
      </c>
      <c r="CR24" s="54"/>
      <c r="CS24" s="284">
        <f>IS!CS12*BS!CS73/(365/4)</f>
        <v>96.148050664668645</v>
      </c>
      <c r="CT24" s="105">
        <f>IS!CT12*BS!CT73/(365/4)</f>
        <v>87.522065109897071</v>
      </c>
      <c r="CU24" s="105">
        <f>IS!CU12*BS!CU73/(365/4)</f>
        <v>89.528026904923593</v>
      </c>
      <c r="CV24" s="105">
        <f>IS!CV12*BS!CV73/(365/4)</f>
        <v>92.738538890586099</v>
      </c>
      <c r="CW24" s="53">
        <f>CV24</f>
        <v>92.738538890586099</v>
      </c>
      <c r="CY24" s="284">
        <f>IS!CY12*BS!CY73/(365/4)</f>
        <v>89.109424010355241</v>
      </c>
      <c r="CZ24" s="105">
        <f>IS!CZ12*BS!CZ73/(365/4)</f>
        <v>78.674271228606557</v>
      </c>
      <c r="DA24" s="105">
        <f>IS!DA12*BS!DA73/(365/4)</f>
        <v>82.484385896811148</v>
      </c>
      <c r="DB24" s="105">
        <f>IS!DB12*BS!DB73/(365/4)</f>
        <v>81.996346730572327</v>
      </c>
      <c r="DC24" s="53">
        <f>DB24</f>
        <v>81.996346730572327</v>
      </c>
      <c r="DE24" s="284">
        <f>IS!DE12*BS!DE73/(365/4)</f>
        <v>84.443241282664758</v>
      </c>
      <c r="DF24" s="105">
        <f>IS!DF12*BS!DF73/(365/4)</f>
        <v>75.026098027521755</v>
      </c>
      <c r="DG24" s="105">
        <f>IS!DG12*BS!DG73/(365/4)</f>
        <v>77.368148569869874</v>
      </c>
      <c r="DH24" s="105">
        <f>IS!DH12*BS!DH73/(365/4)</f>
        <v>76.525465172539782</v>
      </c>
      <c r="DI24" s="53">
        <f>DH24</f>
        <v>76.525465172539782</v>
      </c>
    </row>
    <row r="25" spans="1:141" ht="11.25" customHeight="1">
      <c r="A25" s="62" t="s">
        <v>208</v>
      </c>
      <c r="B25" s="52"/>
      <c r="C25" s="1183">
        <v>9.8725129999999996</v>
      </c>
      <c r="D25" s="52"/>
      <c r="E25" s="1183">
        <v>8.3230000000000004</v>
      </c>
      <c r="F25" s="52"/>
      <c r="G25" s="1183">
        <v>15.766</v>
      </c>
      <c r="H25" s="52"/>
      <c r="I25" s="1183">
        <v>14.885</v>
      </c>
      <c r="J25" s="52"/>
      <c r="K25" s="1183">
        <v>25.815000000000001</v>
      </c>
      <c r="L25" s="52"/>
      <c r="M25" s="1183">
        <v>23.193000000000001</v>
      </c>
      <c r="N25" s="52"/>
      <c r="O25" s="1183">
        <v>21.045000000000002</v>
      </c>
      <c r="P25" s="52"/>
      <c r="Q25" s="1183">
        <v>38.174999999999997</v>
      </c>
      <c r="R25" s="52"/>
      <c r="S25" s="1177">
        <v>26.32</v>
      </c>
      <c r="T25" s="1178">
        <v>28.762</v>
      </c>
      <c r="U25" s="1178">
        <v>42.402999999999999</v>
      </c>
      <c r="V25" s="1179">
        <v>49.460999999999999</v>
      </c>
      <c r="W25" s="51">
        <f>V25</f>
        <v>49.460999999999999</v>
      </c>
      <c r="X25" s="52"/>
      <c r="Y25" s="1177">
        <v>52.518000000000001</v>
      </c>
      <c r="Z25" s="1178">
        <v>44.033000000000001</v>
      </c>
      <c r="AA25" s="1178">
        <v>44.344999999999999</v>
      </c>
      <c r="AB25" s="1179">
        <v>233.5</v>
      </c>
      <c r="AC25" s="51">
        <f>AB25</f>
        <v>233.5</v>
      </c>
      <c r="AD25" s="52"/>
      <c r="AE25" s="1177">
        <v>275.24099999999999</v>
      </c>
      <c r="AF25" s="1178">
        <v>220.25399999999999</v>
      </c>
      <c r="AG25" s="1178">
        <v>201.084</v>
      </c>
      <c r="AH25" s="1179">
        <v>199.6</v>
      </c>
      <c r="AI25" s="51">
        <f>AH25</f>
        <v>199.6</v>
      </c>
      <c r="AJ25" s="52"/>
      <c r="AK25" s="1177">
        <v>197.7</v>
      </c>
      <c r="AL25" s="1178">
        <v>202.1</v>
      </c>
      <c r="AM25" s="1178">
        <v>197.1</v>
      </c>
      <c r="AN25" s="1179">
        <v>219.2</v>
      </c>
      <c r="AO25" s="51">
        <f>AN25</f>
        <v>219.2</v>
      </c>
      <c r="AP25" s="52"/>
      <c r="AQ25" s="1177">
        <v>218.3</v>
      </c>
      <c r="AR25" s="1178">
        <v>212</v>
      </c>
      <c r="AS25" s="1178">
        <v>211.7</v>
      </c>
      <c r="AT25" s="1179">
        <v>242.2</v>
      </c>
      <c r="AU25" s="51">
        <f>AT25</f>
        <v>242.2</v>
      </c>
      <c r="AV25" s="52"/>
      <c r="AW25" s="1177">
        <v>264</v>
      </c>
      <c r="AX25" s="1178">
        <v>259.3</v>
      </c>
      <c r="AY25" s="1178">
        <v>250.6</v>
      </c>
      <c r="AZ25" s="1179">
        <v>268.60000000000002</v>
      </c>
      <c r="BA25" s="51">
        <f>AZ25</f>
        <v>268.60000000000002</v>
      </c>
      <c r="BB25" s="52"/>
      <c r="BC25" s="1181">
        <v>300.2</v>
      </c>
      <c r="BD25" s="1178">
        <v>287.3</v>
      </c>
      <c r="BE25" s="1178">
        <v>265.3</v>
      </c>
      <c r="BF25" s="1179">
        <v>267.3</v>
      </c>
      <c r="BG25" s="51">
        <f>BF25</f>
        <v>267.3</v>
      </c>
      <c r="BH25" s="52"/>
      <c r="BI25" s="1181">
        <v>263.10000000000002</v>
      </c>
      <c r="BJ25" s="1178">
        <v>237.6</v>
      </c>
      <c r="BK25" s="1178">
        <v>248.5</v>
      </c>
      <c r="BL25" s="1179">
        <v>258.60000000000002</v>
      </c>
      <c r="BM25" s="51">
        <f>BL25</f>
        <v>258.60000000000002</v>
      </c>
      <c r="BN25" s="54"/>
      <c r="BO25" s="1181">
        <v>251.2</v>
      </c>
      <c r="BP25" s="1178">
        <v>223.5</v>
      </c>
      <c r="BQ25" s="1178">
        <v>210</v>
      </c>
      <c r="BR25" s="290">
        <v>189.5</v>
      </c>
      <c r="BS25" s="53">
        <f>BR25</f>
        <v>189.5</v>
      </c>
      <c r="BT25" s="54"/>
      <c r="BU25" s="1836">
        <v>185.6</v>
      </c>
      <c r="BV25" s="1838">
        <v>174.3</v>
      </c>
      <c r="BW25" s="1838">
        <v>170.4</v>
      </c>
      <c r="BX25" s="290">
        <v>178.3</v>
      </c>
      <c r="BY25" s="53">
        <f>BX25</f>
        <v>178.3</v>
      </c>
      <c r="BZ25" s="54"/>
      <c r="CA25" s="281">
        <v>146.4</v>
      </c>
      <c r="CB25" s="1838">
        <v>153.9</v>
      </c>
      <c r="CC25" s="1838">
        <v>148.19999999999999</v>
      </c>
      <c r="CD25" s="290">
        <v>149</v>
      </c>
      <c r="CE25" s="53">
        <f>CD25</f>
        <v>149</v>
      </c>
      <c r="CF25" s="54"/>
      <c r="CG25" s="281">
        <v>148.9</v>
      </c>
      <c r="CH25" s="1838">
        <v>136.4</v>
      </c>
      <c r="CI25" s="1838">
        <v>126.2</v>
      </c>
      <c r="CJ25" s="290">
        <v>111.7</v>
      </c>
      <c r="CK25" s="53">
        <f>CJ25</f>
        <v>111.7</v>
      </c>
      <c r="CL25" s="54"/>
      <c r="CM25" s="284">
        <f>IS!CM9*BS!CM84*4</f>
        <v>146.95401365878078</v>
      </c>
      <c r="CN25" s="105">
        <f>IS!CN9*BS!CN84*4</f>
        <v>125.40129710774448</v>
      </c>
      <c r="CO25" s="105">
        <f>IS!CO9*BS!CO84*4</f>
        <v>112.62156427123357</v>
      </c>
      <c r="CP25" s="105">
        <f>IS!CP9*BS!CP84*4</f>
        <v>95.134085131463479</v>
      </c>
      <c r="CQ25" s="53">
        <f>CP25</f>
        <v>95.134085131463479</v>
      </c>
      <c r="CR25" s="54"/>
      <c r="CS25" s="284">
        <f>IS!CS9*BS!CS84*4</f>
        <v>140.88788227531859</v>
      </c>
      <c r="CT25" s="105">
        <f>IS!CT9*BS!CT84*4</f>
        <v>120.77912721302603</v>
      </c>
      <c r="CU25" s="105">
        <f>IS!CU9*BS!CU84*4</f>
        <v>105.16122046002111</v>
      </c>
      <c r="CV25" s="105">
        <f>IS!CV9*BS!CV84*4</f>
        <v>88.058383359742265</v>
      </c>
      <c r="CW25" s="53">
        <f>CV25</f>
        <v>88.058383359742265</v>
      </c>
      <c r="CY25" s="284">
        <f>IS!CY9*BS!CY84*4</f>
        <v>135.83322367710355</v>
      </c>
      <c r="CZ25" s="105">
        <f>IS!CZ9*BS!CZ84*4</f>
        <v>112.9081099035229</v>
      </c>
      <c r="DA25" s="105">
        <f>IS!DA9*BS!DA84*4</f>
        <v>99.337260678021948</v>
      </c>
      <c r="DB25" s="105">
        <f>IS!DB9*BS!DB84*4</f>
        <v>77.816425597587028</v>
      </c>
      <c r="DC25" s="53">
        <f>DB25</f>
        <v>77.816425597587028</v>
      </c>
      <c r="DE25" s="284">
        <f>IS!DE9*BS!DE84*4</f>
        <v>129.04319663102532</v>
      </c>
      <c r="DF25" s="105">
        <f>IS!DF9*BS!DF84*4</f>
        <v>107.17630004120377</v>
      </c>
      <c r="DG25" s="105">
        <f>IS!DG9*BS!DG84*4</f>
        <v>91.208511959446255</v>
      </c>
      <c r="DH25" s="105">
        <f>IS!DH9*BS!DH84*4</f>
        <v>67.751366650046918</v>
      </c>
      <c r="DI25" s="53">
        <f>DH25</f>
        <v>67.751366650046918</v>
      </c>
    </row>
    <row r="26" spans="1:141" ht="11.25" customHeight="1">
      <c r="A26" s="56" t="s">
        <v>160</v>
      </c>
      <c r="B26" s="181"/>
      <c r="C26" s="239">
        <f>0.147239+1.720043+1.656727+3.206621+0.199982</f>
        <v>6.930612</v>
      </c>
      <c r="D26" s="181"/>
      <c r="E26" s="239">
        <f>1.496+3.806+1.742+4.739+0.177</f>
        <v>11.959999999999999</v>
      </c>
      <c r="F26" s="181"/>
      <c r="G26" s="239">
        <f>5.537+3.346+2.945</f>
        <v>11.827999999999999</v>
      </c>
      <c r="H26" s="181"/>
      <c r="I26" s="239">
        <f>0.731+5.124+3.019+1.806</f>
        <v>10.68</v>
      </c>
      <c r="J26" s="181"/>
      <c r="K26" s="239">
        <f>1.79+30.222</f>
        <v>32.012</v>
      </c>
      <c r="L26" s="181"/>
      <c r="M26" s="239">
        <f>6.209+41.911</f>
        <v>48.120000000000005</v>
      </c>
      <c r="N26" s="181"/>
      <c r="O26" s="239">
        <f>3.026+52.232</f>
        <v>55.257999999999996</v>
      </c>
      <c r="P26" s="181"/>
      <c r="Q26" s="239">
        <f>6.175+76.734</f>
        <v>82.908999999999992</v>
      </c>
      <c r="R26" s="181"/>
      <c r="S26" s="289">
        <f>59.293+3.281</f>
        <v>62.573999999999998</v>
      </c>
      <c r="T26" s="199">
        <f>62.203+3.472</f>
        <v>65.674999999999997</v>
      </c>
      <c r="U26" s="199">
        <f>76.948+7.746</f>
        <v>84.693999999999988</v>
      </c>
      <c r="V26" s="290">
        <f>5.901+94.807</f>
        <v>100.708</v>
      </c>
      <c r="W26" s="51">
        <f>V26</f>
        <v>100.708</v>
      </c>
      <c r="X26" s="181"/>
      <c r="Y26" s="289">
        <f>99.306+9.916</f>
        <v>109.22199999999999</v>
      </c>
      <c r="Z26" s="199">
        <f>96.959+5.773</f>
        <v>102.732</v>
      </c>
      <c r="AA26" s="199">
        <f>84.672+21.79+7.526</f>
        <v>113.98799999999999</v>
      </c>
      <c r="AB26" s="1179">
        <v>239.7</v>
      </c>
      <c r="AC26" s="51">
        <f>AB26</f>
        <v>239.7</v>
      </c>
      <c r="AD26" s="181"/>
      <c r="AE26" s="1177">
        <v>244.06399999999999</v>
      </c>
      <c r="AF26" s="1178">
        <v>235.45500000000001</v>
      </c>
      <c r="AG26" s="1178">
        <v>217.465</v>
      </c>
      <c r="AH26" s="290">
        <f>10.6+225.2</f>
        <v>235.79999999999998</v>
      </c>
      <c r="AI26" s="51">
        <f>AH26</f>
        <v>235.79999999999998</v>
      </c>
      <c r="AJ26" s="181"/>
      <c r="AK26" s="1177">
        <v>215.8</v>
      </c>
      <c r="AL26" s="1178">
        <v>233.2</v>
      </c>
      <c r="AM26" s="1178">
        <v>247.5</v>
      </c>
      <c r="AN26" s="290">
        <f>13.3+236.2</f>
        <v>249.5</v>
      </c>
      <c r="AO26" s="51">
        <f>AN26</f>
        <v>249.5</v>
      </c>
      <c r="AP26" s="181"/>
      <c r="AQ26" s="1177">
        <v>248.4</v>
      </c>
      <c r="AR26" s="1178">
        <v>252.5</v>
      </c>
      <c r="AS26" s="1178">
        <v>292.7</v>
      </c>
      <c r="AT26" s="290">
        <f>9.2+301.7</f>
        <v>310.89999999999998</v>
      </c>
      <c r="AU26" s="51">
        <f>AT26</f>
        <v>310.89999999999998</v>
      </c>
      <c r="AV26" s="181"/>
      <c r="AW26" s="1177">
        <v>309.89999999999998</v>
      </c>
      <c r="AX26" s="1178">
        <v>332.8</v>
      </c>
      <c r="AY26" s="1178">
        <v>321.8</v>
      </c>
      <c r="AZ26" s="290">
        <f>11.2+320</f>
        <v>331.2</v>
      </c>
      <c r="BA26" s="51">
        <f>AZ26</f>
        <v>331.2</v>
      </c>
      <c r="BB26" s="181"/>
      <c r="BC26" s="1181">
        <v>308</v>
      </c>
      <c r="BD26" s="1178">
        <v>309.60000000000002</v>
      </c>
      <c r="BE26" s="1178">
        <v>304.3</v>
      </c>
      <c r="BF26" s="1179">
        <v>343.6</v>
      </c>
      <c r="BG26" s="51">
        <f>BF26</f>
        <v>343.6</v>
      </c>
      <c r="BH26" s="181"/>
      <c r="BI26" s="1181">
        <v>303.2</v>
      </c>
      <c r="BJ26" s="1178">
        <v>294.60000000000002</v>
      </c>
      <c r="BK26" s="1178">
        <v>314.39999999999998</v>
      </c>
      <c r="BL26" s="1179">
        <f>16.7+297.8</f>
        <v>314.5</v>
      </c>
      <c r="BM26" s="51">
        <f>BL26</f>
        <v>314.5</v>
      </c>
      <c r="BN26" s="105"/>
      <c r="BO26" s="1181">
        <v>302.8</v>
      </c>
      <c r="BP26" s="1178">
        <v>302</v>
      </c>
      <c r="BQ26" s="1178">
        <v>300.8</v>
      </c>
      <c r="BR26" s="290">
        <f>301.4+15</f>
        <v>316.39999999999998</v>
      </c>
      <c r="BS26" s="53">
        <f>BR26</f>
        <v>316.39999999999998</v>
      </c>
      <c r="BT26" s="105"/>
      <c r="BU26" s="1836">
        <v>267.10000000000002</v>
      </c>
      <c r="BV26" s="1838">
        <v>270.10000000000002</v>
      </c>
      <c r="BW26" s="1838">
        <v>288</v>
      </c>
      <c r="BX26" s="290">
        <v>303.5</v>
      </c>
      <c r="BY26" s="53">
        <f>BX26</f>
        <v>303.5</v>
      </c>
      <c r="BZ26" s="105"/>
      <c r="CA26" s="281">
        <v>279.8</v>
      </c>
      <c r="CB26" s="1838">
        <v>272.89999999999998</v>
      </c>
      <c r="CC26" s="1838">
        <v>290.89999999999998</v>
      </c>
      <c r="CD26" s="290">
        <v>269.5</v>
      </c>
      <c r="CE26" s="53">
        <f>CD26</f>
        <v>269.5</v>
      </c>
      <c r="CF26" s="105"/>
      <c r="CG26" s="281">
        <v>271.2</v>
      </c>
      <c r="CH26" s="1838">
        <v>265.39999999999998</v>
      </c>
      <c r="CI26" s="1838">
        <v>292.5</v>
      </c>
      <c r="CJ26" s="290">
        <v>322</v>
      </c>
      <c r="CK26" s="53">
        <f>CJ26</f>
        <v>322</v>
      </c>
      <c r="CL26" s="105"/>
      <c r="CM26" s="284">
        <f>IS!CM9*BS!CM85*4</f>
        <v>288.35410255638021</v>
      </c>
      <c r="CN26" s="105">
        <f>IS!CN9*BS!CN85*4</f>
        <v>267.376784550727</v>
      </c>
      <c r="CO26" s="105">
        <f>IS!CO9*BS!CO85*4</f>
        <v>292.01677454418837</v>
      </c>
      <c r="CP26" s="105">
        <f>IS!CP9*BS!CP85*4</f>
        <v>325.1760415609798</v>
      </c>
      <c r="CQ26" s="53">
        <f>CP26</f>
        <v>325.1760415609798</v>
      </c>
      <c r="CR26" s="105"/>
      <c r="CS26" s="284">
        <f>IS!CS9*BS!CS85*4</f>
        <v>284.74613972310146</v>
      </c>
      <c r="CT26" s="105">
        <f>IS!CT9*BS!CT85*4</f>
        <v>267.69756719447366</v>
      </c>
      <c r="CU26" s="105">
        <f>IS!CU9*BS!CU85*4</f>
        <v>287.25710514002265</v>
      </c>
      <c r="CV26" s="105">
        <f>IS!CV9*BS!CV85*4</f>
        <v>329.27683307191575</v>
      </c>
      <c r="CW26" s="53">
        <f>CV26</f>
        <v>329.27683307191575</v>
      </c>
      <c r="CY26" s="284">
        <f>IS!CY9*BS!CY85*4</f>
        <v>283.57019814456407</v>
      </c>
      <c r="CZ26" s="105">
        <f>IS!CZ9*BS!CZ85*4</f>
        <v>261.2946242661497</v>
      </c>
      <c r="DA26" s="105">
        <f>IS!DA9*BS!DA85*4</f>
        <v>287.7527022969968</v>
      </c>
      <c r="DB26" s="105">
        <f>IS!DB9*BS!DB85*4</f>
        <v>323.6336378939323</v>
      </c>
      <c r="DC26" s="53">
        <f>DB26</f>
        <v>323.6336378939323</v>
      </c>
      <c r="DE26" s="284">
        <f>IS!DE9*BS!DE85*4</f>
        <v>279.18070745528848</v>
      </c>
      <c r="DF26" s="105">
        <f>IS!DF9*BS!DF85*4</f>
        <v>260.34479498914186</v>
      </c>
      <c r="DG26" s="105">
        <f>IS!DG9*BS!DG85*4</f>
        <v>282.44353596487298</v>
      </c>
      <c r="DH26" s="105">
        <f>IS!DH9*BS!DH85*4</f>
        <v>320.49111100862268</v>
      </c>
      <c r="DI26" s="53">
        <f>DH26</f>
        <v>320.49111100862268</v>
      </c>
    </row>
    <row r="27" spans="1:141" ht="11.25" customHeight="1">
      <c r="A27" s="976" t="s">
        <v>82</v>
      </c>
      <c r="B27" s="977"/>
      <c r="C27" s="978">
        <f>SUM(C23:C26)</f>
        <v>22.99915</v>
      </c>
      <c r="D27" s="977"/>
      <c r="E27" s="978">
        <f>SUM(E23:E26)</f>
        <v>29.439999999999998</v>
      </c>
      <c r="F27" s="977"/>
      <c r="G27" s="978">
        <f>SUM(G23:G26)</f>
        <v>35.195</v>
      </c>
      <c r="H27" s="977"/>
      <c r="I27" s="978">
        <f>SUM(I23:I26)</f>
        <v>39.322000000000003</v>
      </c>
      <c r="J27" s="977"/>
      <c r="K27" s="978">
        <f>SUM(K23:K26)</f>
        <v>96.893000000000001</v>
      </c>
      <c r="L27" s="977"/>
      <c r="M27" s="978">
        <f>SUM(M23:M26)</f>
        <v>108.60000000000001</v>
      </c>
      <c r="N27" s="977"/>
      <c r="O27" s="978">
        <f>SUM(O23:O26)</f>
        <v>111.16</v>
      </c>
      <c r="P27" s="977"/>
      <c r="Q27" s="978">
        <f>SUM(Q23:Q26)</f>
        <v>147.85899999999998</v>
      </c>
      <c r="R27" s="977"/>
      <c r="S27" s="979">
        <f>SUM(S23:S26)</f>
        <v>114.48599999999999</v>
      </c>
      <c r="T27" s="977">
        <f>SUM(T23:T26)</f>
        <v>116.39</v>
      </c>
      <c r="U27" s="977">
        <f>SUM(U23:U26)</f>
        <v>177.58599999999998</v>
      </c>
      <c r="V27" s="980">
        <f>SUM(V23:V26)</f>
        <v>195.12799999999999</v>
      </c>
      <c r="W27" s="978">
        <f>SUM(W23:W26)</f>
        <v>195.12799999999999</v>
      </c>
      <c r="X27" s="977"/>
      <c r="Y27" s="979">
        <f>SUM(Y23:Y26)</f>
        <v>199.71100000000001</v>
      </c>
      <c r="Z27" s="977">
        <f>SUM(Z23:Z26)</f>
        <v>189.75700000000001</v>
      </c>
      <c r="AA27" s="977">
        <f>SUM(AA23:AA26)</f>
        <v>210.44899999999998</v>
      </c>
      <c r="AB27" s="980">
        <f>SUM(AB23:AB26)</f>
        <v>561.09999999999991</v>
      </c>
      <c r="AC27" s="978">
        <f>SUM(AC23:AC26)</f>
        <v>561.09999999999991</v>
      </c>
      <c r="AD27" s="977"/>
      <c r="AE27" s="979">
        <f>SUM(AE23:AE26)</f>
        <v>831.61099999999999</v>
      </c>
      <c r="AF27" s="977">
        <f>SUM(AF23:AF26)</f>
        <v>576.428</v>
      </c>
      <c r="AG27" s="977">
        <f>SUM(AG23:AG26)</f>
        <v>509.35300000000007</v>
      </c>
      <c r="AH27" s="980">
        <f>SUM(AH23:AH26)</f>
        <v>519.69999999999993</v>
      </c>
      <c r="AI27" s="978">
        <f>SUM(AI23:AI26)</f>
        <v>519.69999999999993</v>
      </c>
      <c r="AJ27" s="977"/>
      <c r="AK27" s="979">
        <f>SUM(AK23:AK26)</f>
        <v>491.90000000000003</v>
      </c>
      <c r="AL27" s="977">
        <f>SUM(AL23:AL26)</f>
        <v>519.20000000000005</v>
      </c>
      <c r="AM27" s="977">
        <f>SUM(AM23:AM26)</f>
        <v>521</v>
      </c>
      <c r="AN27" s="980">
        <f>SUM(AN23:AN26)</f>
        <v>540.5</v>
      </c>
      <c r="AO27" s="978">
        <f>SUM(AO23:AO26)</f>
        <v>540.5</v>
      </c>
      <c r="AP27" s="977"/>
      <c r="AQ27" s="979">
        <f>SUM(AQ23:AQ26)</f>
        <v>544</v>
      </c>
      <c r="AR27" s="977">
        <f>SUM(AR23:AR26)</f>
        <v>543.20000000000005</v>
      </c>
      <c r="AS27" s="977">
        <f>SUM(AS23:AS26)</f>
        <v>591.59999999999991</v>
      </c>
      <c r="AT27" s="980">
        <f>SUM(AT23:AT26)</f>
        <v>831.49999999999989</v>
      </c>
      <c r="AU27" s="978">
        <f>SUM(AU23:AU26)</f>
        <v>831.49999999999989</v>
      </c>
      <c r="AV27" s="977"/>
      <c r="AW27" s="979">
        <f>SUM(AW23:AW26)</f>
        <v>871.3</v>
      </c>
      <c r="AX27" s="977">
        <f>SUM(AX23:AX26)</f>
        <v>901.7</v>
      </c>
      <c r="AY27" s="977">
        <f>SUM(AY23:AY26)</f>
        <v>919.5</v>
      </c>
      <c r="AZ27" s="980">
        <f>SUM(AZ23:AZ26)</f>
        <v>755.8</v>
      </c>
      <c r="BA27" s="978">
        <f>SUM(BA23:BA26)</f>
        <v>755.8</v>
      </c>
      <c r="BB27" s="977"/>
      <c r="BC27" s="983">
        <f>SUM(BC23:BC26)</f>
        <v>771.5</v>
      </c>
      <c r="BD27" s="977">
        <f>SUM(BD23:BD26)</f>
        <v>751.90000000000009</v>
      </c>
      <c r="BE27" s="977">
        <f>SUM(BE23:BE26)</f>
        <v>686.5</v>
      </c>
      <c r="BF27" s="980">
        <f>SUM(BF23:BF26)</f>
        <v>681.8</v>
      </c>
      <c r="BG27" s="978">
        <f>SUM(BG23:BG26)</f>
        <v>681.8</v>
      </c>
      <c r="BH27" s="977"/>
      <c r="BI27" s="983">
        <f>SUM(BI23:BI26)</f>
        <v>643.20000000000005</v>
      </c>
      <c r="BJ27" s="977">
        <f>SUM(BJ23:BJ26)</f>
        <v>602.79999999999995</v>
      </c>
      <c r="BK27" s="977">
        <f>SUM(BK23:BK26)</f>
        <v>646.79999999999995</v>
      </c>
      <c r="BL27" s="980">
        <f>SUM(BL23:BL26)</f>
        <v>648.6</v>
      </c>
      <c r="BM27" s="978">
        <f>SUM(BM23:BM26)</f>
        <v>648.6</v>
      </c>
      <c r="BN27" s="982"/>
      <c r="BO27" s="983">
        <f>SUM(BO23:BO26)</f>
        <v>671.1</v>
      </c>
      <c r="BP27" s="977">
        <f>SUM(BP23:BP26)</f>
        <v>628.5</v>
      </c>
      <c r="BQ27" s="977">
        <f>SUM(BQ23:BQ26)</f>
        <v>610</v>
      </c>
      <c r="BR27" s="982">
        <f>SUM(BR23:BR26)</f>
        <v>582.70000000000005</v>
      </c>
      <c r="BS27" s="981">
        <f>SUM(BS23:BS26)</f>
        <v>582.70000000000005</v>
      </c>
      <c r="BT27" s="982"/>
      <c r="BU27" s="984">
        <f>SUM(BU23:BU26)</f>
        <v>540.5</v>
      </c>
      <c r="BV27" s="977">
        <f>SUM(BV23:BV26)</f>
        <v>652</v>
      </c>
      <c r="BW27" s="977">
        <f>SUM(BW23:BW26)</f>
        <v>676.1</v>
      </c>
      <c r="BX27" s="982">
        <f>SUM(BX23:BX26)</f>
        <v>554.6</v>
      </c>
      <c r="BY27" s="981">
        <f>SUM(BY23:BY26)</f>
        <v>554.6</v>
      </c>
      <c r="BZ27" s="982"/>
      <c r="CA27" s="984">
        <f>SUM(CA23:CA26)</f>
        <v>541.70000000000005</v>
      </c>
      <c r="CB27" s="977">
        <f>SUM(CB23:CB26)</f>
        <v>535.09999999999991</v>
      </c>
      <c r="CC27" s="977">
        <f>SUM(CC23:CC26)</f>
        <v>552.59999999999991</v>
      </c>
      <c r="CD27" s="982">
        <f>SUM(CD23:CD26)</f>
        <v>524.70000000000005</v>
      </c>
      <c r="CE27" s="981">
        <f>SUM(CE23:CE26)</f>
        <v>524.70000000000005</v>
      </c>
      <c r="CF27" s="982"/>
      <c r="CG27" s="984">
        <f>SUM(CG23:CG26)</f>
        <v>514.9</v>
      </c>
      <c r="CH27" s="977">
        <f>SUM(CH23:CH26)</f>
        <v>493.59999999999997</v>
      </c>
      <c r="CI27" s="977">
        <f>SUM(CI23:CI26)</f>
        <v>513.5</v>
      </c>
      <c r="CJ27" s="982">
        <f>SUM(CJ23:CJ26)</f>
        <v>524.5</v>
      </c>
      <c r="CK27" s="981">
        <f>SUM(CK23:CK26)</f>
        <v>524.5</v>
      </c>
      <c r="CL27" s="982"/>
      <c r="CM27" s="984">
        <f>SUM(CM23:CM26)</f>
        <v>535.15357202875293</v>
      </c>
      <c r="CN27" s="982">
        <f>SUM(CN23:CN26)</f>
        <v>481.80509174351749</v>
      </c>
      <c r="CO27" s="982">
        <f>SUM(CO23:CO26)</f>
        <v>490.00745288465208</v>
      </c>
      <c r="CP27" s="982">
        <f>SUM(CP23:CP26)</f>
        <v>498.55754180164109</v>
      </c>
      <c r="CQ27" s="981">
        <f>SUM(CQ23:CQ26)</f>
        <v>498.55754180164109</v>
      </c>
      <c r="CR27" s="982"/>
      <c r="CS27" s="984">
        <f>SUM(CS23:CS26)</f>
        <v>521.78207266308868</v>
      </c>
      <c r="CT27" s="982">
        <f>SUM(CT23:CT26)</f>
        <v>475.99875951739676</v>
      </c>
      <c r="CU27" s="982">
        <f>SUM(CU23:CU26)</f>
        <v>481.94635250496736</v>
      </c>
      <c r="CV27" s="982">
        <f>SUM(CV23:CV26)</f>
        <v>510.0737553222441</v>
      </c>
      <c r="CW27" s="981">
        <f>SUM(CW23:CW26)</f>
        <v>510.0737553222441</v>
      </c>
      <c r="CY27" s="984">
        <f>SUM(CY23:CY26)</f>
        <v>508.51284583202289</v>
      </c>
      <c r="CZ27" s="982">
        <f>SUM(CZ23:CZ26)</f>
        <v>452.87700539827915</v>
      </c>
      <c r="DA27" s="982">
        <f>SUM(DA23:DA26)</f>
        <v>469.5743488718299</v>
      </c>
      <c r="DB27" s="982">
        <f>SUM(DB23:DB26)</f>
        <v>483.44641022209169</v>
      </c>
      <c r="DC27" s="981">
        <f>SUM(DC23:DC26)</f>
        <v>483.44641022209169</v>
      </c>
      <c r="DE27" s="984">
        <f>SUM(DE23:DE26)</f>
        <v>492.66714536897859</v>
      </c>
      <c r="DF27" s="982">
        <f>SUM(DF23:DF26)</f>
        <v>442.54719305786739</v>
      </c>
      <c r="DG27" s="982">
        <f>SUM(DG23:DG26)</f>
        <v>451.02019649418912</v>
      </c>
      <c r="DH27" s="982">
        <f>SUM(DH23:DH26)</f>
        <v>464.76794283120938</v>
      </c>
      <c r="DI27" s="981">
        <f>SUM(DI23:DI26)</f>
        <v>464.76794283120938</v>
      </c>
    </row>
    <row r="28" spans="1:141" ht="11.25" customHeight="1">
      <c r="A28" s="66"/>
      <c r="B28" s="64"/>
      <c r="C28" s="51"/>
      <c r="D28" s="52"/>
      <c r="E28" s="51"/>
      <c r="F28" s="52"/>
      <c r="G28" s="51"/>
      <c r="H28" s="52"/>
      <c r="I28" s="51"/>
      <c r="J28" s="52"/>
      <c r="K28" s="51"/>
      <c r="L28" s="52"/>
      <c r="M28" s="51"/>
      <c r="N28" s="52"/>
      <c r="O28" s="51"/>
      <c r="P28" s="52"/>
      <c r="Q28" s="51"/>
      <c r="R28" s="52"/>
      <c r="S28" s="291"/>
      <c r="T28" s="181"/>
      <c r="U28" s="181"/>
      <c r="V28" s="292"/>
      <c r="W28" s="51"/>
      <c r="X28" s="52"/>
      <c r="Y28" s="291"/>
      <c r="Z28" s="181"/>
      <c r="AA28" s="181"/>
      <c r="AB28" s="292"/>
      <c r="AC28" s="51"/>
      <c r="AD28" s="52"/>
      <c r="AE28" s="291"/>
      <c r="AF28" s="181"/>
      <c r="AG28" s="181"/>
      <c r="AH28" s="292"/>
      <c r="AI28" s="51"/>
      <c r="AJ28" s="52"/>
      <c r="AK28" s="291"/>
      <c r="AL28" s="181"/>
      <c r="AM28" s="181"/>
      <c r="AN28" s="292"/>
      <c r="AO28" s="51"/>
      <c r="AP28" s="52"/>
      <c r="AQ28" s="291"/>
      <c r="AR28" s="181"/>
      <c r="AS28" s="181"/>
      <c r="AT28" s="292"/>
      <c r="AU28" s="51"/>
      <c r="AV28" s="52"/>
      <c r="AW28" s="291"/>
      <c r="AX28" s="181"/>
      <c r="AY28" s="181"/>
      <c r="AZ28" s="292"/>
      <c r="BA28" s="51"/>
      <c r="BB28" s="52"/>
      <c r="BC28" s="288"/>
      <c r="BD28" s="181"/>
      <c r="BE28" s="181"/>
      <c r="BF28" s="292"/>
      <c r="BG28" s="51"/>
      <c r="BH28" s="64"/>
      <c r="BI28" s="288"/>
      <c r="BJ28" s="181"/>
      <c r="BK28" s="181"/>
      <c r="BL28" s="181"/>
      <c r="BM28" s="53"/>
      <c r="BN28" s="65"/>
      <c r="BO28" s="284"/>
      <c r="BP28" s="181"/>
      <c r="BQ28" s="181"/>
      <c r="BR28" s="105"/>
      <c r="BS28" s="53"/>
      <c r="BT28" s="65"/>
      <c r="BU28" s="284"/>
      <c r="BV28" s="181"/>
      <c r="BW28" s="181"/>
      <c r="BX28" s="105"/>
      <c r="BY28" s="53"/>
      <c r="BZ28" s="65"/>
      <c r="CA28" s="284"/>
      <c r="CB28" s="181"/>
      <c r="CC28" s="181"/>
      <c r="CD28" s="105"/>
      <c r="CE28" s="53"/>
      <c r="CF28" s="65"/>
      <c r="CG28" s="284"/>
      <c r="CH28" s="181"/>
      <c r="CI28" s="181"/>
      <c r="CJ28" s="105"/>
      <c r="CK28" s="53"/>
      <c r="CL28" s="65"/>
      <c r="CM28" s="284"/>
      <c r="CN28" s="105"/>
      <c r="CO28" s="105"/>
      <c r="CP28" s="105"/>
      <c r="CQ28" s="53"/>
      <c r="CR28" s="65"/>
      <c r="CS28" s="284"/>
      <c r="CT28" s="105"/>
      <c r="CU28" s="105"/>
      <c r="CV28" s="105"/>
      <c r="CW28" s="53"/>
      <c r="CY28" s="284"/>
      <c r="CZ28" s="105"/>
      <c r="DA28" s="105"/>
      <c r="DB28" s="105"/>
      <c r="DC28" s="53"/>
      <c r="DE28" s="284"/>
      <c r="DF28" s="105"/>
      <c r="DG28" s="105"/>
      <c r="DH28" s="105"/>
      <c r="DI28" s="53"/>
    </row>
    <row r="29" spans="1:141" ht="11.25" customHeight="1">
      <c r="A29" s="62" t="s">
        <v>209</v>
      </c>
      <c r="B29" s="52"/>
      <c r="C29" s="1182">
        <v>14.982498</v>
      </c>
      <c r="D29" s="46"/>
      <c r="E29" s="1182">
        <v>12.843999999999999</v>
      </c>
      <c r="F29" s="46"/>
      <c r="G29" s="1182">
        <v>12.037000000000001</v>
      </c>
      <c r="H29" s="46"/>
      <c r="I29" s="1182">
        <v>11.323</v>
      </c>
      <c r="J29" s="46"/>
      <c r="K29" s="1182">
        <v>17.358000000000001</v>
      </c>
      <c r="L29" s="46"/>
      <c r="M29" s="1182">
        <v>26.373999999999999</v>
      </c>
      <c r="N29" s="46"/>
      <c r="O29" s="1182">
        <v>27.763000000000002</v>
      </c>
      <c r="P29" s="46"/>
      <c r="Q29" s="1182">
        <v>25.07</v>
      </c>
      <c r="R29" s="46"/>
      <c r="S29" s="1174">
        <v>21.372</v>
      </c>
      <c r="T29" s="1175">
        <v>21.969000000000001</v>
      </c>
      <c r="U29" s="1175">
        <v>27.021999999999998</v>
      </c>
      <c r="V29" s="1176">
        <v>22.863</v>
      </c>
      <c r="W29" s="45">
        <f>V29</f>
        <v>22.863</v>
      </c>
      <c r="X29" s="46"/>
      <c r="Y29" s="1174">
        <v>22.782</v>
      </c>
      <c r="Z29" s="1175">
        <v>17.564</v>
      </c>
      <c r="AA29" s="1175">
        <v>18.077999999999999</v>
      </c>
      <c r="AB29" s="1176">
        <v>8.6</v>
      </c>
      <c r="AC29" s="45">
        <f>AB29</f>
        <v>8.6</v>
      </c>
      <c r="AD29" s="46"/>
      <c r="AE29" s="1174">
        <v>169.428</v>
      </c>
      <c r="AF29" s="1175">
        <v>175.71899999999999</v>
      </c>
      <c r="AG29" s="1175">
        <v>169.703</v>
      </c>
      <c r="AH29" s="1176">
        <v>182.8</v>
      </c>
      <c r="AI29" s="45">
        <f>AH29</f>
        <v>182.8</v>
      </c>
      <c r="AJ29" s="46"/>
      <c r="AK29" s="1174">
        <v>172.7</v>
      </c>
      <c r="AL29" s="1175">
        <v>127.6</v>
      </c>
      <c r="AM29" s="1175">
        <v>120.4</v>
      </c>
      <c r="AN29" s="1176">
        <v>115.7</v>
      </c>
      <c r="AO29" s="45">
        <f>AN29</f>
        <v>115.7</v>
      </c>
      <c r="AP29" s="46"/>
      <c r="AQ29" s="1174">
        <v>109.6</v>
      </c>
      <c r="AR29" s="1175">
        <v>101.6</v>
      </c>
      <c r="AS29" s="1175">
        <v>94.3</v>
      </c>
      <c r="AT29" s="1176">
        <v>86.6</v>
      </c>
      <c r="AU29" s="45">
        <f>AT29</f>
        <v>86.6</v>
      </c>
      <c r="AV29" s="46"/>
      <c r="AW29" s="1174">
        <v>79</v>
      </c>
      <c r="AX29" s="1175">
        <v>60.2</v>
      </c>
      <c r="AY29" s="1175">
        <v>40.799999999999997</v>
      </c>
      <c r="AZ29" s="1176">
        <v>219.4</v>
      </c>
      <c r="BA29" s="45">
        <f>AZ29</f>
        <v>219.4</v>
      </c>
      <c r="BB29" s="46"/>
      <c r="BC29" s="1180">
        <v>243.3</v>
      </c>
      <c r="BD29" s="1175">
        <v>243.3</v>
      </c>
      <c r="BE29" s="1175">
        <v>298</v>
      </c>
      <c r="BF29" s="1176">
        <v>335.9</v>
      </c>
      <c r="BG29" s="45">
        <f>BF29</f>
        <v>335.9</v>
      </c>
      <c r="BH29" s="46"/>
      <c r="BI29" s="1180">
        <v>335.5</v>
      </c>
      <c r="BJ29" s="1175">
        <v>335.4</v>
      </c>
      <c r="BK29" s="1175">
        <v>354.7</v>
      </c>
      <c r="BL29" s="1176">
        <v>354.3</v>
      </c>
      <c r="BM29" s="55">
        <f>BL29</f>
        <v>354.3</v>
      </c>
      <c r="BN29" s="47"/>
      <c r="BO29" s="1180">
        <v>354.1</v>
      </c>
      <c r="BP29" s="1175">
        <v>354.9</v>
      </c>
      <c r="BQ29" s="1175">
        <v>354.5</v>
      </c>
      <c r="BR29" s="295">
        <v>354.2</v>
      </c>
      <c r="BS29" s="55">
        <f>BR29</f>
        <v>354.2</v>
      </c>
      <c r="BT29" s="47"/>
      <c r="BU29" s="1839">
        <v>353.9</v>
      </c>
      <c r="BV29" s="1842">
        <v>241.4</v>
      </c>
      <c r="BW29" s="1842">
        <v>241.1</v>
      </c>
      <c r="BX29" s="295">
        <v>266</v>
      </c>
      <c r="BY29" s="55">
        <f>BX29</f>
        <v>266</v>
      </c>
      <c r="BZ29" s="47"/>
      <c r="CA29" s="1839">
        <v>281.8</v>
      </c>
      <c r="CB29" s="1842">
        <v>322.7</v>
      </c>
      <c r="CC29" s="1842">
        <v>344.7</v>
      </c>
      <c r="CD29" s="295">
        <v>391.6</v>
      </c>
      <c r="CE29" s="55">
        <f>CD29</f>
        <v>391.6</v>
      </c>
      <c r="CF29" s="47"/>
      <c r="CG29" s="1839">
        <v>384.7</v>
      </c>
      <c r="CH29" s="1842">
        <v>430.7</v>
      </c>
      <c r="CI29" s="1842">
        <v>480.5</v>
      </c>
      <c r="CJ29" s="295">
        <v>415.6</v>
      </c>
      <c r="CK29" s="55">
        <f>CJ29</f>
        <v>415.6</v>
      </c>
      <c r="CL29" s="47"/>
      <c r="CM29" s="1168">
        <f>Debt!BU34</f>
        <v>415.6</v>
      </c>
      <c r="CN29" s="1167">
        <f>Debt!BV34</f>
        <v>415.6</v>
      </c>
      <c r="CO29" s="1167">
        <f>Debt!BW34</f>
        <v>415.6</v>
      </c>
      <c r="CP29" s="1167">
        <f>Debt!BX34</f>
        <v>415.6</v>
      </c>
      <c r="CQ29" s="55">
        <f>CP29</f>
        <v>415.6</v>
      </c>
      <c r="CR29" s="47"/>
      <c r="CS29" s="1168">
        <f>Debt!CA34</f>
        <v>415.6</v>
      </c>
      <c r="CT29" s="1167">
        <f>Debt!CB34</f>
        <v>415.6</v>
      </c>
      <c r="CU29" s="1167">
        <f>Debt!CC34</f>
        <v>415.6</v>
      </c>
      <c r="CV29" s="1167">
        <f>Debt!CD34</f>
        <v>415.6</v>
      </c>
      <c r="CW29" s="55">
        <f>CV29</f>
        <v>415.6</v>
      </c>
      <c r="CY29" s="1168">
        <f>Debt!CG34</f>
        <v>415.6</v>
      </c>
      <c r="CZ29" s="1167">
        <f>Debt!CH34</f>
        <v>415.6</v>
      </c>
      <c r="DA29" s="1167">
        <f>Debt!CI34</f>
        <v>415.6</v>
      </c>
      <c r="DB29" s="1167">
        <f>Debt!CJ34</f>
        <v>415.6</v>
      </c>
      <c r="DC29" s="55">
        <f>DB29</f>
        <v>415.6</v>
      </c>
      <c r="DE29" s="1168">
        <f>Debt!CM34</f>
        <v>415.6</v>
      </c>
      <c r="DF29" s="1167">
        <f>Debt!CN34</f>
        <v>415.6</v>
      </c>
      <c r="DG29" s="1167">
        <f>Debt!CO34</f>
        <v>415.6</v>
      </c>
      <c r="DH29" s="1167">
        <f>Debt!CP34</f>
        <v>415.6</v>
      </c>
      <c r="DI29" s="55">
        <f>DH29</f>
        <v>415.6</v>
      </c>
    </row>
    <row r="30" spans="1:141" ht="11.25" customHeight="1">
      <c r="A30" s="56" t="s">
        <v>84</v>
      </c>
      <c r="B30" s="181"/>
      <c r="C30" s="239">
        <f>0.099841+8.667382+6.752312</f>
        <v>15.519534999999999</v>
      </c>
      <c r="D30" s="181"/>
      <c r="E30" s="239">
        <f>0.393+8.786+5.788</f>
        <v>14.967000000000001</v>
      </c>
      <c r="F30" s="181"/>
      <c r="G30" s="239">
        <f>0.371+7.475+4.132</f>
        <v>11.978</v>
      </c>
      <c r="H30" s="181"/>
      <c r="I30" s="239">
        <f>0.675+7.717+2.49</f>
        <v>10.882</v>
      </c>
      <c r="J30" s="181"/>
      <c r="K30" s="239">
        <f>11.023+4.858+26.623</f>
        <v>42.504000000000005</v>
      </c>
      <c r="L30" s="181"/>
      <c r="M30" s="239">
        <f>6.621+6.886+0.124</f>
        <v>13.631000000000002</v>
      </c>
      <c r="N30" s="181"/>
      <c r="O30" s="239">
        <f>6.691+8.465+0.193</f>
        <v>15.348999999999998</v>
      </c>
      <c r="P30" s="181"/>
      <c r="Q30" s="239">
        <f>11.675+8.518+1.113</f>
        <v>21.306000000000001</v>
      </c>
      <c r="R30" s="181"/>
      <c r="S30" s="1177">
        <v>21.748000000000001</v>
      </c>
      <c r="T30" s="1178">
        <v>23.292999999999999</v>
      </c>
      <c r="U30" s="1178">
        <v>28.288</v>
      </c>
      <c r="V30" s="290">
        <f>12.375+11.116+0.239</f>
        <v>23.73</v>
      </c>
      <c r="W30" s="51">
        <f>V30</f>
        <v>23.73</v>
      </c>
      <c r="X30" s="181"/>
      <c r="Y30" s="1177">
        <v>26.023</v>
      </c>
      <c r="Z30" s="1178">
        <v>31.515000000000001</v>
      </c>
      <c r="AA30" s="1178">
        <v>31.321000000000002</v>
      </c>
      <c r="AB30" s="290">
        <f>39.1+21.8+44.6+0.5</f>
        <v>106</v>
      </c>
      <c r="AC30" s="51">
        <f>AB30</f>
        <v>106</v>
      </c>
      <c r="AD30" s="181"/>
      <c r="AE30" s="289">
        <f>106.005</f>
        <v>106.005</v>
      </c>
      <c r="AF30" s="199">
        <f>109.713</f>
        <v>109.71299999999999</v>
      </c>
      <c r="AG30" s="199">
        <f>103.274</f>
        <v>103.274</v>
      </c>
      <c r="AH30" s="290">
        <f>35.4+21+31.9+12.8</f>
        <v>101.1</v>
      </c>
      <c r="AI30" s="51">
        <f>AH30</f>
        <v>101.1</v>
      </c>
      <c r="AJ30" s="181"/>
      <c r="AK30" s="1177">
        <v>96.7</v>
      </c>
      <c r="AL30" s="1178">
        <v>104.2</v>
      </c>
      <c r="AM30" s="1178">
        <v>109.3</v>
      </c>
      <c r="AN30" s="290">
        <f>34.1+25.2+27.7+10.3</f>
        <v>97.3</v>
      </c>
      <c r="AO30" s="51">
        <f>AN30</f>
        <v>97.3</v>
      </c>
      <c r="AP30" s="181"/>
      <c r="AQ30" s="1177">
        <v>88.1</v>
      </c>
      <c r="AR30" s="1178">
        <v>83.1</v>
      </c>
      <c r="AS30" s="1178">
        <v>97.2</v>
      </c>
      <c r="AT30" s="290">
        <f>29.3+18.8+39.4+16.8</f>
        <v>104.3</v>
      </c>
      <c r="AU30" s="51">
        <f>AT30</f>
        <v>104.3</v>
      </c>
      <c r="AV30" s="181"/>
      <c r="AW30" s="1177">
        <v>102.1</v>
      </c>
      <c r="AX30" s="1178">
        <v>107.2</v>
      </c>
      <c r="AY30" s="1178">
        <v>107</v>
      </c>
      <c r="AZ30" s="290">
        <f>32.7+23.8+39.2+14.7</f>
        <v>110.4</v>
      </c>
      <c r="BA30" s="51">
        <f>AZ30</f>
        <v>110.4</v>
      </c>
      <c r="BB30" s="181"/>
      <c r="BC30" s="1181">
        <v>120.4</v>
      </c>
      <c r="BD30" s="1178">
        <v>113.3</v>
      </c>
      <c r="BE30" s="1178">
        <v>119.8</v>
      </c>
      <c r="BF30" s="1179">
        <v>129</v>
      </c>
      <c r="BG30" s="51">
        <f>BF30</f>
        <v>129</v>
      </c>
      <c r="BH30" s="181"/>
      <c r="BI30" s="1181">
        <v>140.6</v>
      </c>
      <c r="BJ30" s="1178">
        <v>140.9</v>
      </c>
      <c r="BK30" s="1178">
        <v>154.1</v>
      </c>
      <c r="BL30" s="1179">
        <v>135.19999999999999</v>
      </c>
      <c r="BM30" s="53">
        <f>BL30</f>
        <v>135.19999999999999</v>
      </c>
      <c r="BN30" s="105"/>
      <c r="BO30" s="1181">
        <v>134.19999999999999</v>
      </c>
      <c r="BP30" s="1178">
        <v>135.1</v>
      </c>
      <c r="BQ30" s="1178">
        <v>133</v>
      </c>
      <c r="BR30" s="290">
        <f>37.1+17.8+66.2+35.1</f>
        <v>156.20000000000002</v>
      </c>
      <c r="BS30" s="53">
        <f>BR30</f>
        <v>156.20000000000002</v>
      </c>
      <c r="BT30" s="105"/>
      <c r="BU30" s="1836">
        <v>156.69999999999999</v>
      </c>
      <c r="BV30" s="1838">
        <v>159.5</v>
      </c>
      <c r="BW30" s="1838">
        <v>157.69999999999999</v>
      </c>
      <c r="BX30" s="290">
        <f>44.4+9.5+91.6+31.9</f>
        <v>177.4</v>
      </c>
      <c r="BY30" s="53">
        <f>BX30</f>
        <v>177.4</v>
      </c>
      <c r="BZ30" s="105"/>
      <c r="CA30" s="1836">
        <v>207.2</v>
      </c>
      <c r="CB30" s="1838">
        <v>192.3</v>
      </c>
      <c r="CC30" s="1838">
        <v>199.7</v>
      </c>
      <c r="CD30" s="290">
        <f>46.8+10.1+102.5+39.6</f>
        <v>199</v>
      </c>
      <c r="CE30" s="53">
        <f>CD30</f>
        <v>199</v>
      </c>
      <c r="CF30" s="105"/>
      <c r="CG30" s="1836">
        <v>208.7</v>
      </c>
      <c r="CH30" s="1838">
        <v>225.5</v>
      </c>
      <c r="CI30" s="1838">
        <v>227.6</v>
      </c>
      <c r="CJ30" s="290">
        <f>48.7+24.3+105.6+96.3</f>
        <v>274.89999999999998</v>
      </c>
      <c r="CK30" s="53">
        <f>CJ30</f>
        <v>274.89999999999998</v>
      </c>
      <c r="CL30" s="105"/>
      <c r="CM30" s="284">
        <f>CK30+CF!CM40+CF!CM46</f>
        <v>274.89999999999998</v>
      </c>
      <c r="CN30" s="105">
        <f>CM30+CF!CN40+CF!CN46</f>
        <v>274.89999999999998</v>
      </c>
      <c r="CO30" s="105">
        <f>CN30+CF!CO40+CF!CO46</f>
        <v>274.89999999999998</v>
      </c>
      <c r="CP30" s="105">
        <f>CO30+CF!CP40+CF!CP46</f>
        <v>274.89999999999998</v>
      </c>
      <c r="CQ30" s="53">
        <f>CP30</f>
        <v>274.89999999999998</v>
      </c>
      <c r="CR30" s="105"/>
      <c r="CS30" s="284">
        <f>CQ30+CF!CS40+CF!CS46</f>
        <v>274.89999999999998</v>
      </c>
      <c r="CT30" s="105">
        <f>CS30+CF!CT40+CF!CT46</f>
        <v>274.89999999999998</v>
      </c>
      <c r="CU30" s="105">
        <f>CT30+CF!CU40+CF!CU46</f>
        <v>274.89999999999998</v>
      </c>
      <c r="CV30" s="105">
        <f>CU30+CF!CV40+CF!CV46</f>
        <v>274.89999999999998</v>
      </c>
      <c r="CW30" s="53">
        <f>CV30</f>
        <v>274.89999999999998</v>
      </c>
      <c r="CX30" s="21"/>
      <c r="CY30" s="284">
        <f>CW30+CF!CY40+CF!CY46</f>
        <v>274.89999999999998</v>
      </c>
      <c r="CZ30" s="105">
        <f>CY30+CF!CZ40+CF!CZ46</f>
        <v>274.89999999999998</v>
      </c>
      <c r="DA30" s="105">
        <f>CZ30+CF!DA40+CF!DA46</f>
        <v>274.89999999999998</v>
      </c>
      <c r="DB30" s="105">
        <f>DA30+CF!DB40+CF!DB46</f>
        <v>274.89999999999998</v>
      </c>
      <c r="DC30" s="53">
        <f>DB30</f>
        <v>274.89999999999998</v>
      </c>
      <c r="DD30" s="21"/>
      <c r="DE30" s="284">
        <f>DC30+CF!DE40+CF!DE46</f>
        <v>274.89999999999998</v>
      </c>
      <c r="DF30" s="105">
        <f>DE30+CF!DF40+CF!DF46</f>
        <v>274.89999999999998</v>
      </c>
      <c r="DG30" s="105">
        <f>DF30+CF!DG40+CF!DG46</f>
        <v>274.89999999999998</v>
      </c>
      <c r="DH30" s="105">
        <f>DG30+CF!DH40+CF!DH46</f>
        <v>274.89999999999998</v>
      </c>
      <c r="DI30" s="53">
        <f>DH30</f>
        <v>274.89999999999998</v>
      </c>
      <c r="DP30" s="21"/>
      <c r="DQ30" s="21"/>
    </row>
    <row r="31" spans="1:141" ht="11.25" customHeight="1">
      <c r="A31" s="976" t="s">
        <v>85</v>
      </c>
      <c r="B31" s="977"/>
      <c r="C31" s="978">
        <f>C20-C42</f>
        <v>53.501183000000005</v>
      </c>
      <c r="D31" s="977"/>
      <c r="E31" s="978">
        <f>SUM(E27,E29:E30)</f>
        <v>57.250999999999998</v>
      </c>
      <c r="F31" s="977"/>
      <c r="G31" s="978">
        <f>SUM(G27,G29:G30)</f>
        <v>59.21</v>
      </c>
      <c r="H31" s="977"/>
      <c r="I31" s="978">
        <f>SUM(I27,I29:I30)</f>
        <v>61.527000000000001</v>
      </c>
      <c r="J31" s="977"/>
      <c r="K31" s="978">
        <f>SUM(K27,K29:K30)</f>
        <v>156.755</v>
      </c>
      <c r="L31" s="977"/>
      <c r="M31" s="978">
        <f>SUM(M27,M29:M30)</f>
        <v>148.60500000000002</v>
      </c>
      <c r="N31" s="977"/>
      <c r="O31" s="978">
        <f>SUM(O27,O29:O30)</f>
        <v>154.27199999999999</v>
      </c>
      <c r="P31" s="977"/>
      <c r="Q31" s="978">
        <f>SUM(Q27,Q29:Q30)</f>
        <v>194.23499999999999</v>
      </c>
      <c r="R31" s="977"/>
      <c r="S31" s="979">
        <f>SUM(S27,S29:S30)</f>
        <v>157.60599999999999</v>
      </c>
      <c r="T31" s="977">
        <f>SUM(T27,T29:T30)</f>
        <v>161.65200000000002</v>
      </c>
      <c r="U31" s="977">
        <f>SUM(U27,U29:U30)</f>
        <v>232.89599999999999</v>
      </c>
      <c r="V31" s="980">
        <f>SUM(V27,V29:V30)</f>
        <v>241.72099999999998</v>
      </c>
      <c r="W31" s="978">
        <f>SUM(W27,W29:W30)</f>
        <v>241.72099999999998</v>
      </c>
      <c r="X31" s="977"/>
      <c r="Y31" s="979">
        <f>SUM(Y27,Y29:Y30)</f>
        <v>248.51600000000002</v>
      </c>
      <c r="Z31" s="977">
        <f>SUM(Z27,Z29:Z30)</f>
        <v>238.83600000000001</v>
      </c>
      <c r="AA31" s="977">
        <f>SUM(AA27,AA29:AA30)</f>
        <v>259.84800000000001</v>
      </c>
      <c r="AB31" s="980">
        <f>SUM(AB27,AB29:AB30)</f>
        <v>675.69999999999993</v>
      </c>
      <c r="AC31" s="978">
        <f>SUM(AC27,AC29:AC30)</f>
        <v>675.69999999999993</v>
      </c>
      <c r="AD31" s="977"/>
      <c r="AE31" s="979">
        <f>SUM(AE27,AE29:AE30)</f>
        <v>1107.0439999999999</v>
      </c>
      <c r="AF31" s="977">
        <f>SUM(AF27,AF29:AF30)</f>
        <v>861.8599999999999</v>
      </c>
      <c r="AG31" s="977">
        <f>SUM(AG27,AG29:AG30)</f>
        <v>782.33</v>
      </c>
      <c r="AH31" s="980">
        <f>SUM(AH27,AH29:AH30)</f>
        <v>803.6</v>
      </c>
      <c r="AI31" s="978">
        <f>SUM(AI27,AI29:AI30)</f>
        <v>803.6</v>
      </c>
      <c r="AJ31" s="977"/>
      <c r="AK31" s="979">
        <f>SUM(AK27,AK29:AK30)</f>
        <v>761.30000000000007</v>
      </c>
      <c r="AL31" s="977">
        <f>SUM(AL27,AL29:AL30)</f>
        <v>751.00000000000011</v>
      </c>
      <c r="AM31" s="977">
        <f>SUM(AM27,AM29:AM30)</f>
        <v>750.69999999999993</v>
      </c>
      <c r="AN31" s="980">
        <f>SUM(AN27,AN29:AN30)</f>
        <v>753.5</v>
      </c>
      <c r="AO31" s="978">
        <f>SUM(AO27,AO29:AO30)</f>
        <v>753.5</v>
      </c>
      <c r="AP31" s="977"/>
      <c r="AQ31" s="979">
        <f>SUM(AQ27,AQ29:AQ30)</f>
        <v>741.7</v>
      </c>
      <c r="AR31" s="977">
        <f>SUM(AR27,AR29:AR30)</f>
        <v>727.90000000000009</v>
      </c>
      <c r="AS31" s="977">
        <f>SUM(AS27,AS29:AS30)</f>
        <v>783.09999999999991</v>
      </c>
      <c r="AT31" s="980">
        <f>SUM(AT27,AT29:AT30)</f>
        <v>1022.3999999999999</v>
      </c>
      <c r="AU31" s="978">
        <f>SUM(AU27,AU29:AU30)</f>
        <v>1022.3999999999999</v>
      </c>
      <c r="AV31" s="977"/>
      <c r="AW31" s="979">
        <f>SUM(AW27,AW29:AW30)</f>
        <v>1052.3999999999999</v>
      </c>
      <c r="AX31" s="977">
        <f>SUM(AX27,AX29:AX30)</f>
        <v>1069.1000000000001</v>
      </c>
      <c r="AY31" s="977">
        <f>SUM(AY27,AY29:AY30)</f>
        <v>1067.3</v>
      </c>
      <c r="AZ31" s="980">
        <f>SUM(AZ27,AZ29:AZ30)</f>
        <v>1085.5999999999999</v>
      </c>
      <c r="BA31" s="978">
        <f>SUM(BA27,BA29:BA30)</f>
        <v>1085.5999999999999</v>
      </c>
      <c r="BB31" s="977"/>
      <c r="BC31" s="983">
        <f>SUM(BC27,BC29:BC30)</f>
        <v>1135.2</v>
      </c>
      <c r="BD31" s="977">
        <f>SUM(BD27,BD29:BD30)</f>
        <v>1108.5</v>
      </c>
      <c r="BE31" s="977">
        <f>SUM(BE27,BE29:BE30)</f>
        <v>1104.3</v>
      </c>
      <c r="BF31" s="980">
        <f>SUM(BF27,BF29:BF30)</f>
        <v>1146.6999999999998</v>
      </c>
      <c r="BG31" s="978">
        <f>SUM(BG27,BG29:BG30)</f>
        <v>1146.6999999999998</v>
      </c>
      <c r="BH31" s="977"/>
      <c r="BI31" s="983">
        <f>SUM(BI27,BI29:BI30)</f>
        <v>1119.3</v>
      </c>
      <c r="BJ31" s="977">
        <f>SUM(BJ27,BJ29:BJ30)</f>
        <v>1079.0999999999999</v>
      </c>
      <c r="BK31" s="977">
        <f>SUM(BK27,BK29:BK30)</f>
        <v>1155.5999999999999</v>
      </c>
      <c r="BL31" s="980">
        <f>SUM(BL27,BL29:BL30)</f>
        <v>1138.1000000000001</v>
      </c>
      <c r="BM31" s="981">
        <f>SUM(BM27,BM29:BM30)</f>
        <v>1138.1000000000001</v>
      </c>
      <c r="BN31" s="982"/>
      <c r="BO31" s="983">
        <f>SUM(BO27,BO29:BO30)</f>
        <v>1159.4000000000001</v>
      </c>
      <c r="BP31" s="977">
        <f>SUM(BP27,BP29:BP30)</f>
        <v>1118.5</v>
      </c>
      <c r="BQ31" s="977">
        <f>SUM(BQ27,BQ29:BQ30)</f>
        <v>1097.5</v>
      </c>
      <c r="BR31" s="982">
        <f>SUM(BR27,BR29:BR30)</f>
        <v>1093.1000000000001</v>
      </c>
      <c r="BS31" s="981">
        <f>SUM(BS27,BS29:BS30)</f>
        <v>1093.1000000000001</v>
      </c>
      <c r="BT31" s="982"/>
      <c r="BU31" s="984">
        <f>SUM(BU27,BU29:BU30)</f>
        <v>1051.0999999999999</v>
      </c>
      <c r="BV31" s="977">
        <f>SUM(BV27,BV29:BV30)</f>
        <v>1052.9000000000001</v>
      </c>
      <c r="BW31" s="977">
        <f>SUM(BW27,BW29:BW30)</f>
        <v>1074.9000000000001</v>
      </c>
      <c r="BX31" s="982">
        <f>SUM(BX27,BX29:BX30)</f>
        <v>998</v>
      </c>
      <c r="BY31" s="981">
        <f>SUM(BY27,BY29:BY30)</f>
        <v>998</v>
      </c>
      <c r="BZ31" s="982"/>
      <c r="CA31" s="984">
        <f>SUM(CA27,CA29:CA30)</f>
        <v>1030.7</v>
      </c>
      <c r="CB31" s="977">
        <f>SUM(CB27,CB29:CB30)</f>
        <v>1050.0999999999999</v>
      </c>
      <c r="CC31" s="977">
        <f>SUM(CC27,CC29:CC30)</f>
        <v>1097</v>
      </c>
      <c r="CD31" s="982">
        <f>SUM(CD27,CD29:CD30)</f>
        <v>1115.3000000000002</v>
      </c>
      <c r="CE31" s="981">
        <f>SUM(CE27,CE29:CE30)</f>
        <v>1115.3000000000002</v>
      </c>
      <c r="CF31" s="982"/>
      <c r="CG31" s="984">
        <f>SUM(CG27,CG29:CG30)</f>
        <v>1108.3</v>
      </c>
      <c r="CH31" s="977">
        <f>SUM(CH27,CH29:CH30)</f>
        <v>1149.8</v>
      </c>
      <c r="CI31" s="977">
        <f>SUM(CI27,CI29:CI30)</f>
        <v>1221.5999999999999</v>
      </c>
      <c r="CJ31" s="982">
        <f>SUM(CJ27,CJ29:CJ30)</f>
        <v>1215</v>
      </c>
      <c r="CK31" s="981">
        <f>SUM(CK27,CK29:CK30)</f>
        <v>1215</v>
      </c>
      <c r="CL31" s="982"/>
      <c r="CM31" s="984">
        <f>SUM(CM27,CM29:CM30)</f>
        <v>1225.6535720287529</v>
      </c>
      <c r="CN31" s="982">
        <f>SUM(CN27,CN29:CN30)</f>
        <v>1172.3050917435176</v>
      </c>
      <c r="CO31" s="982">
        <f>SUM(CO27,CO29:CO30)</f>
        <v>1180.5074528846521</v>
      </c>
      <c r="CP31" s="982">
        <f>SUM(CP27,CP29:CP30)</f>
        <v>1189.057541801641</v>
      </c>
      <c r="CQ31" s="981">
        <f>SUM(CQ27,CQ29:CQ30)</f>
        <v>1189.057541801641</v>
      </c>
      <c r="CR31" s="982"/>
      <c r="CS31" s="984">
        <f>SUM(CS27,CS29:CS30)</f>
        <v>1212.2820726630887</v>
      </c>
      <c r="CT31" s="982">
        <f>SUM(CT27,CT29:CT30)</f>
        <v>1166.4987595173966</v>
      </c>
      <c r="CU31" s="982">
        <f>SUM(CU27,CU29:CU30)</f>
        <v>1172.4463525049673</v>
      </c>
      <c r="CV31" s="982">
        <f>SUM(CV27,CV29:CV30)</f>
        <v>1200.5737553222441</v>
      </c>
      <c r="CW31" s="981">
        <f>SUM(CW27,CW29:CW30)</f>
        <v>1200.5737553222441</v>
      </c>
      <c r="CY31" s="984">
        <f>SUM(CY27,CY29:CY30)</f>
        <v>1199.0128458320228</v>
      </c>
      <c r="CZ31" s="982">
        <f>SUM(CZ27,CZ29:CZ30)</f>
        <v>1143.3770053982792</v>
      </c>
      <c r="DA31" s="982">
        <f>SUM(DA27,DA29:DA30)</f>
        <v>1160.0743488718299</v>
      </c>
      <c r="DB31" s="982">
        <f>SUM(DB27,DB29:DB30)</f>
        <v>1173.9464102220918</v>
      </c>
      <c r="DC31" s="981">
        <f>SUM(DC27,DC29:DC30)</f>
        <v>1173.9464102220918</v>
      </c>
      <c r="DE31" s="984">
        <f>SUM(DE27,DE29:DE30)</f>
        <v>1183.1671453689787</v>
      </c>
      <c r="DF31" s="982">
        <f>SUM(DF27,DF29:DF30)</f>
        <v>1133.0471930578674</v>
      </c>
      <c r="DG31" s="982">
        <f>SUM(DG27,DG29:DG30)</f>
        <v>1141.5201964941891</v>
      </c>
      <c r="DH31" s="982">
        <f>SUM(DH27,DH29:DH30)</f>
        <v>1155.2679428312094</v>
      </c>
      <c r="DI31" s="981">
        <f>SUM(DI27,DI29:DI30)</f>
        <v>1155.2679428312094</v>
      </c>
    </row>
    <row r="32" spans="1:141" ht="11.25" customHeight="1">
      <c r="A32" s="49" t="s">
        <v>86</v>
      </c>
      <c r="B32" s="52"/>
      <c r="C32" s="1182">
        <v>0</v>
      </c>
      <c r="D32" s="46"/>
      <c r="E32" s="1182">
        <v>0</v>
      </c>
      <c r="F32" s="46"/>
      <c r="G32" s="1182">
        <v>0</v>
      </c>
      <c r="H32" s="46"/>
      <c r="I32" s="1182">
        <v>0</v>
      </c>
      <c r="J32" s="46"/>
      <c r="K32" s="1182">
        <v>0</v>
      </c>
      <c r="L32" s="46"/>
      <c r="M32" s="1182">
        <v>0</v>
      </c>
      <c r="N32" s="46"/>
      <c r="O32" s="1182">
        <v>0</v>
      </c>
      <c r="P32" s="46"/>
      <c r="Q32" s="1182">
        <v>0</v>
      </c>
      <c r="R32" s="46"/>
      <c r="S32" s="1174">
        <v>0</v>
      </c>
      <c r="T32" s="1175">
        <v>0</v>
      </c>
      <c r="U32" s="1175">
        <v>0</v>
      </c>
      <c r="V32" s="1176">
        <v>0</v>
      </c>
      <c r="W32" s="45">
        <f>V32</f>
        <v>0</v>
      </c>
      <c r="X32" s="46"/>
      <c r="Y32" s="1174">
        <v>0</v>
      </c>
      <c r="Z32" s="1175">
        <v>0</v>
      </c>
      <c r="AA32" s="1175">
        <v>0</v>
      </c>
      <c r="AB32" s="1176">
        <v>0</v>
      </c>
      <c r="AC32" s="45">
        <f>AB32</f>
        <v>0</v>
      </c>
      <c r="AD32" s="46"/>
      <c r="AE32" s="1174">
        <v>0</v>
      </c>
      <c r="AF32" s="1175">
        <v>0</v>
      </c>
      <c r="AG32" s="1175">
        <v>0</v>
      </c>
      <c r="AH32" s="1176">
        <v>0</v>
      </c>
      <c r="AI32" s="45">
        <f>AH32</f>
        <v>0</v>
      </c>
      <c r="AJ32" s="46"/>
      <c r="AK32" s="1174">
        <v>0</v>
      </c>
      <c r="AL32" s="1175">
        <v>0</v>
      </c>
      <c r="AM32" s="1175">
        <v>0</v>
      </c>
      <c r="AN32" s="1176">
        <v>0</v>
      </c>
      <c r="AO32" s="45">
        <f>AN32</f>
        <v>0</v>
      </c>
      <c r="AP32" s="46"/>
      <c r="AQ32" s="1174">
        <v>0</v>
      </c>
      <c r="AR32" s="1175">
        <v>0</v>
      </c>
      <c r="AS32" s="1175">
        <v>0</v>
      </c>
      <c r="AT32" s="1176">
        <v>0</v>
      </c>
      <c r="AU32" s="45">
        <f>AT32</f>
        <v>0</v>
      </c>
      <c r="AV32" s="46"/>
      <c r="AW32" s="1174">
        <v>0</v>
      </c>
      <c r="AX32" s="1175">
        <v>0</v>
      </c>
      <c r="AY32" s="1175">
        <v>0</v>
      </c>
      <c r="AZ32" s="1176">
        <v>0</v>
      </c>
      <c r="BA32" s="45">
        <f>AZ32</f>
        <v>0</v>
      </c>
      <c r="BB32" s="46"/>
      <c r="BC32" s="1180">
        <v>0</v>
      </c>
      <c r="BD32" s="1175">
        <v>0</v>
      </c>
      <c r="BE32" s="1175">
        <v>0</v>
      </c>
      <c r="BF32" s="1176">
        <v>0</v>
      </c>
      <c r="BG32" s="45">
        <f>BF32</f>
        <v>0</v>
      </c>
      <c r="BH32" s="46"/>
      <c r="BI32" s="1180">
        <v>0</v>
      </c>
      <c r="BJ32" s="1175">
        <v>0</v>
      </c>
      <c r="BK32" s="1175">
        <v>0</v>
      </c>
      <c r="BL32" s="1176">
        <v>0</v>
      </c>
      <c r="BM32" s="55">
        <f>BL32</f>
        <v>0</v>
      </c>
      <c r="BN32" s="47"/>
      <c r="BO32" s="1180">
        <f>BM32</f>
        <v>0</v>
      </c>
      <c r="BP32" s="1175">
        <v>0</v>
      </c>
      <c r="BQ32" s="1175">
        <v>0</v>
      </c>
      <c r="BR32" s="1176">
        <v>0</v>
      </c>
      <c r="BS32" s="55">
        <f>BR32</f>
        <v>0</v>
      </c>
      <c r="BT32" s="47"/>
      <c r="BU32" s="1839">
        <v>0</v>
      </c>
      <c r="BV32" s="1842">
        <v>0</v>
      </c>
      <c r="BW32" s="1842">
        <v>0</v>
      </c>
      <c r="BX32" s="1176">
        <v>0</v>
      </c>
      <c r="BY32" s="55">
        <f>BX32</f>
        <v>0</v>
      </c>
      <c r="BZ32" s="47"/>
      <c r="CA32" s="1839">
        <v>0</v>
      </c>
      <c r="CB32" s="1842">
        <v>0</v>
      </c>
      <c r="CC32" s="1842">
        <v>0</v>
      </c>
      <c r="CD32" s="1176">
        <v>0</v>
      </c>
      <c r="CE32" s="55">
        <f>CD32</f>
        <v>0</v>
      </c>
      <c r="CF32" s="47"/>
      <c r="CG32" s="1839">
        <v>0</v>
      </c>
      <c r="CH32" s="1842">
        <v>0</v>
      </c>
      <c r="CI32" s="1842">
        <v>0</v>
      </c>
      <c r="CJ32" s="1176">
        <v>0</v>
      </c>
      <c r="CK32" s="55">
        <f>CJ32</f>
        <v>0</v>
      </c>
      <c r="CL32" s="47"/>
      <c r="CM32" s="298">
        <f>CK32</f>
        <v>0</v>
      </c>
      <c r="CN32" s="156">
        <f>CM32</f>
        <v>0</v>
      </c>
      <c r="CO32" s="156">
        <f>CN32</f>
        <v>0</v>
      </c>
      <c r="CP32" s="156">
        <f>CO32</f>
        <v>0</v>
      </c>
      <c r="CQ32" s="55">
        <f>CP32</f>
        <v>0</v>
      </c>
      <c r="CR32" s="47"/>
      <c r="CS32" s="298">
        <f>CQ32</f>
        <v>0</v>
      </c>
      <c r="CT32" s="156">
        <f>CS32</f>
        <v>0</v>
      </c>
      <c r="CU32" s="156">
        <f>CT32</f>
        <v>0</v>
      </c>
      <c r="CV32" s="156">
        <f>CU32</f>
        <v>0</v>
      </c>
      <c r="CW32" s="55">
        <f>CV32</f>
        <v>0</v>
      </c>
      <c r="CY32" s="298">
        <f>CW32</f>
        <v>0</v>
      </c>
      <c r="CZ32" s="156">
        <f>CY32</f>
        <v>0</v>
      </c>
      <c r="DA32" s="156">
        <f>CZ32</f>
        <v>0</v>
      </c>
      <c r="DB32" s="156">
        <f>DA32</f>
        <v>0</v>
      </c>
      <c r="DC32" s="55">
        <f>DB32</f>
        <v>0</v>
      </c>
      <c r="DE32" s="298">
        <f>DC32</f>
        <v>0</v>
      </c>
      <c r="DF32" s="156">
        <f>DE32</f>
        <v>0</v>
      </c>
      <c r="DG32" s="156">
        <f>DF32</f>
        <v>0</v>
      </c>
      <c r="DH32" s="156">
        <f>DG32</f>
        <v>0</v>
      </c>
      <c r="DI32" s="55">
        <f>DH32</f>
        <v>0</v>
      </c>
    </row>
    <row r="33" spans="1:132" ht="11.25" customHeight="1">
      <c r="A33" s="49"/>
      <c r="B33" s="52"/>
      <c r="C33" s="51"/>
      <c r="D33" s="52"/>
      <c r="E33" s="51"/>
      <c r="F33" s="52"/>
      <c r="G33" s="51"/>
      <c r="H33" s="52"/>
      <c r="I33" s="51"/>
      <c r="J33" s="52"/>
      <c r="K33" s="51"/>
      <c r="L33" s="52"/>
      <c r="M33" s="51"/>
      <c r="N33" s="52"/>
      <c r="O33" s="51"/>
      <c r="P33" s="52"/>
      <c r="Q33" s="51"/>
      <c r="R33" s="52"/>
      <c r="S33" s="291"/>
      <c r="T33" s="181"/>
      <c r="U33" s="181"/>
      <c r="V33" s="292"/>
      <c r="W33" s="51"/>
      <c r="X33" s="52"/>
      <c r="Y33" s="291"/>
      <c r="Z33" s="181"/>
      <c r="AA33" s="181"/>
      <c r="AB33" s="292"/>
      <c r="AC33" s="51"/>
      <c r="AD33" s="52"/>
      <c r="AE33" s="291"/>
      <c r="AF33" s="181"/>
      <c r="AG33" s="181"/>
      <c r="AH33" s="292"/>
      <c r="AI33" s="51"/>
      <c r="AJ33" s="52"/>
      <c r="AK33" s="291"/>
      <c r="AL33" s="181"/>
      <c r="AM33" s="181"/>
      <c r="AN33" s="292"/>
      <c r="AO33" s="51"/>
      <c r="AP33" s="52"/>
      <c r="AQ33" s="291"/>
      <c r="AR33" s="181"/>
      <c r="AS33" s="181"/>
      <c r="AT33" s="292"/>
      <c r="AU33" s="51"/>
      <c r="AV33" s="52"/>
      <c r="AW33" s="291"/>
      <c r="AX33" s="181"/>
      <c r="AY33" s="181"/>
      <c r="AZ33" s="292"/>
      <c r="BA33" s="51"/>
      <c r="BB33" s="52"/>
      <c r="BC33" s="288"/>
      <c r="BD33" s="181"/>
      <c r="BE33" s="181"/>
      <c r="BF33" s="292"/>
      <c r="BG33" s="51"/>
      <c r="BH33" s="52"/>
      <c r="BI33" s="288"/>
      <c r="BJ33" s="181"/>
      <c r="BK33" s="181"/>
      <c r="BL33" s="181"/>
      <c r="BM33" s="53"/>
      <c r="BN33" s="54"/>
      <c r="BO33" s="284"/>
      <c r="BP33" s="181"/>
      <c r="BQ33" s="181"/>
      <c r="BR33" s="105"/>
      <c r="BS33" s="53"/>
      <c r="BT33" s="54"/>
      <c r="BU33" s="1844"/>
      <c r="BV33" s="1838"/>
      <c r="BW33" s="1838"/>
      <c r="BX33" s="105"/>
      <c r="BY33" s="53"/>
      <c r="BZ33" s="54"/>
      <c r="CA33" s="1844"/>
      <c r="CB33" s="1838"/>
      <c r="CC33" s="1838"/>
      <c r="CD33" s="105"/>
      <c r="CE33" s="53"/>
      <c r="CF33" s="54"/>
      <c r="CG33" s="1844"/>
      <c r="CH33" s="1838"/>
      <c r="CI33" s="1838"/>
      <c r="CJ33" s="105"/>
      <c r="CK33" s="53"/>
      <c r="CL33" s="54"/>
      <c r="CM33" s="284"/>
      <c r="CN33" s="105"/>
      <c r="CO33" s="105"/>
      <c r="CP33" s="105"/>
      <c r="CQ33" s="53"/>
      <c r="CR33" s="54"/>
      <c r="CS33" s="284"/>
      <c r="CT33" s="105"/>
      <c r="CU33" s="105"/>
      <c r="CV33" s="105"/>
      <c r="CW33" s="53"/>
      <c r="CY33" s="284"/>
      <c r="CZ33" s="105"/>
      <c r="DA33" s="105"/>
      <c r="DB33" s="105"/>
      <c r="DC33" s="53"/>
      <c r="DE33" s="284"/>
      <c r="DF33" s="105"/>
      <c r="DG33" s="105"/>
      <c r="DH33" s="105"/>
      <c r="DI33" s="53"/>
    </row>
    <row r="34" spans="1:132" ht="11.25" customHeight="1">
      <c r="A34" s="67" t="s">
        <v>87</v>
      </c>
      <c r="B34" s="64"/>
      <c r="C34" s="51"/>
      <c r="D34" s="52"/>
      <c r="E34" s="51"/>
      <c r="F34" s="52"/>
      <c r="G34" s="51"/>
      <c r="H34" s="52"/>
      <c r="I34" s="51"/>
      <c r="J34" s="52"/>
      <c r="K34" s="51"/>
      <c r="L34" s="52"/>
      <c r="M34" s="51"/>
      <c r="N34" s="52"/>
      <c r="O34" s="51"/>
      <c r="P34" s="52"/>
      <c r="Q34" s="51"/>
      <c r="R34" s="52"/>
      <c r="S34" s="291"/>
      <c r="T34" s="181"/>
      <c r="U34" s="181"/>
      <c r="V34" s="292"/>
      <c r="W34" s="51"/>
      <c r="X34" s="52"/>
      <c r="Y34" s="291"/>
      <c r="Z34" s="181"/>
      <c r="AA34" s="181"/>
      <c r="AB34" s="292"/>
      <c r="AC34" s="51"/>
      <c r="AD34" s="52"/>
      <c r="AE34" s="291"/>
      <c r="AF34" s="181"/>
      <c r="AG34" s="181"/>
      <c r="AH34" s="292"/>
      <c r="AI34" s="51"/>
      <c r="AJ34" s="52"/>
      <c r="AK34" s="291"/>
      <c r="AL34" s="181"/>
      <c r="AM34" s="181"/>
      <c r="AN34" s="292"/>
      <c r="AO34" s="51"/>
      <c r="AP34" s="52"/>
      <c r="AQ34" s="291"/>
      <c r="AR34" s="181"/>
      <c r="AS34" s="181"/>
      <c r="AT34" s="292"/>
      <c r="AU34" s="51"/>
      <c r="AV34" s="52"/>
      <c r="AW34" s="291"/>
      <c r="AX34" s="181"/>
      <c r="AY34" s="181"/>
      <c r="AZ34" s="292"/>
      <c r="BA34" s="51"/>
      <c r="BB34" s="52"/>
      <c r="BC34" s="288"/>
      <c r="BD34" s="181"/>
      <c r="BE34" s="181"/>
      <c r="BF34" s="292"/>
      <c r="BG34" s="51"/>
      <c r="BH34" s="64"/>
      <c r="BI34" s="288"/>
      <c r="BJ34" s="181"/>
      <c r="BK34" s="181"/>
      <c r="BL34" s="181"/>
      <c r="BM34" s="53"/>
      <c r="BN34" s="65"/>
      <c r="BO34" s="284"/>
      <c r="BP34" s="181"/>
      <c r="BQ34" s="181"/>
      <c r="BR34" s="105"/>
      <c r="BS34" s="53"/>
      <c r="BT34" s="65"/>
      <c r="BU34" s="1844"/>
      <c r="BV34" s="1838"/>
      <c r="BW34" s="1838"/>
      <c r="BX34" s="105"/>
      <c r="BY34" s="53"/>
      <c r="BZ34" s="65"/>
      <c r="CA34" s="1844"/>
      <c r="CB34" s="1838"/>
      <c r="CC34" s="1838"/>
      <c r="CD34" s="105"/>
      <c r="CE34" s="53"/>
      <c r="CF34" s="65"/>
      <c r="CG34" s="1844"/>
      <c r="CH34" s="1838"/>
      <c r="CI34" s="1838"/>
      <c r="CJ34" s="105"/>
      <c r="CK34" s="53"/>
      <c r="CL34" s="65"/>
      <c r="CM34" s="284"/>
      <c r="CN34" s="105"/>
      <c r="CO34" s="105"/>
      <c r="CP34" s="105"/>
      <c r="CQ34" s="53"/>
      <c r="CR34" s="65"/>
      <c r="CS34" s="284"/>
      <c r="CT34" s="105"/>
      <c r="CU34" s="105"/>
      <c r="CV34" s="105"/>
      <c r="CW34" s="53"/>
      <c r="CY34" s="284"/>
      <c r="CZ34" s="105"/>
      <c r="DA34" s="105"/>
      <c r="DB34" s="105"/>
      <c r="DC34" s="53"/>
      <c r="DE34" s="284"/>
      <c r="DF34" s="105"/>
      <c r="DG34" s="105"/>
      <c r="DH34" s="105"/>
      <c r="DI34" s="53"/>
    </row>
    <row r="35" spans="1:132" ht="11.25" customHeight="1">
      <c r="A35" s="49" t="s">
        <v>88</v>
      </c>
      <c r="B35" s="52"/>
      <c r="C35" s="1182">
        <v>0.45500000000000002</v>
      </c>
      <c r="D35" s="46"/>
      <c r="E35" s="1182">
        <v>0.45500000000000002</v>
      </c>
      <c r="F35" s="46"/>
      <c r="G35" s="1182">
        <v>0.54800000000000004</v>
      </c>
      <c r="H35" s="46"/>
      <c r="I35" s="1182">
        <v>0.54900000000000004</v>
      </c>
      <c r="J35" s="46"/>
      <c r="K35" s="1182">
        <v>0.77</v>
      </c>
      <c r="L35" s="46"/>
      <c r="M35" s="1182">
        <v>0.86499999999999999</v>
      </c>
      <c r="N35" s="46"/>
      <c r="O35" s="1182">
        <v>0.89500000000000002</v>
      </c>
      <c r="P35" s="46"/>
      <c r="Q35" s="1182">
        <v>1.0109999999999999</v>
      </c>
      <c r="R35" s="46"/>
      <c r="S35" s="1174">
        <v>0.90100000000000002</v>
      </c>
      <c r="T35" s="1175">
        <v>0.90100000000000002</v>
      </c>
      <c r="U35" s="1175">
        <v>1.0169999999999999</v>
      </c>
      <c r="V35" s="1176">
        <v>1.02</v>
      </c>
      <c r="W35" s="45">
        <f t="shared" ref="W35:W41" si="10">V35</f>
        <v>1.02</v>
      </c>
      <c r="X35" s="46"/>
      <c r="Y35" s="1174">
        <v>1.046</v>
      </c>
      <c r="Z35" s="1175">
        <v>1.0469999999999999</v>
      </c>
      <c r="AA35" s="1175">
        <v>1.0469999999999999</v>
      </c>
      <c r="AB35" s="1176">
        <v>1.6</v>
      </c>
      <c r="AC35" s="45">
        <f t="shared" ref="AC35:AC41" si="11">AB35</f>
        <v>1.6</v>
      </c>
      <c r="AD35" s="46"/>
      <c r="AE35" s="1174">
        <v>1.6259999999999999</v>
      </c>
      <c r="AF35" s="1175">
        <v>1.6279999999999999</v>
      </c>
      <c r="AG35" s="1175">
        <v>1.633</v>
      </c>
      <c r="AH35" s="1176">
        <v>1.6</v>
      </c>
      <c r="AI35" s="45">
        <f t="shared" ref="AI35:AI41" si="12">AH35</f>
        <v>1.6</v>
      </c>
      <c r="AJ35" s="46"/>
      <c r="AK35" s="1174">
        <v>1.6</v>
      </c>
      <c r="AL35" s="1175">
        <v>1.6</v>
      </c>
      <c r="AM35" s="1175">
        <v>1.6</v>
      </c>
      <c r="AN35" s="1176">
        <v>1.6</v>
      </c>
      <c r="AO35" s="45">
        <f t="shared" ref="AO35:AO41" si="13">AN35</f>
        <v>1.6</v>
      </c>
      <c r="AP35" s="46"/>
      <c r="AQ35" s="1174">
        <v>1.6</v>
      </c>
      <c r="AR35" s="1175">
        <v>1.6</v>
      </c>
      <c r="AS35" s="1175">
        <v>1.6</v>
      </c>
      <c r="AT35" s="1176">
        <v>1.6</v>
      </c>
      <c r="AU35" s="45">
        <f t="shared" ref="AU35:AU41" si="14">AT35</f>
        <v>1.6</v>
      </c>
      <c r="AV35" s="46"/>
      <c r="AW35" s="1174">
        <v>1.6</v>
      </c>
      <c r="AX35" s="1175">
        <v>1.6</v>
      </c>
      <c r="AY35" s="1175">
        <v>1.6</v>
      </c>
      <c r="AZ35" s="1176">
        <v>1.7</v>
      </c>
      <c r="BA35" s="45">
        <f t="shared" ref="BA35:BA41" si="15">AZ35</f>
        <v>1.7</v>
      </c>
      <c r="BB35" s="46"/>
      <c r="BC35" s="1180">
        <v>1.7</v>
      </c>
      <c r="BD35" s="1175">
        <v>1.7</v>
      </c>
      <c r="BE35" s="1175">
        <v>1.7</v>
      </c>
      <c r="BF35" s="1176">
        <v>1.7</v>
      </c>
      <c r="BG35" s="45">
        <f t="shared" ref="BG35:BG41" si="16">BF35</f>
        <v>1.7</v>
      </c>
      <c r="BH35" s="46"/>
      <c r="BI35" s="1180">
        <v>1.7</v>
      </c>
      <c r="BJ35" s="1175">
        <v>1.7</v>
      </c>
      <c r="BK35" s="1175">
        <v>1.7</v>
      </c>
      <c r="BL35" s="204">
        <v>1.7</v>
      </c>
      <c r="BM35" s="55">
        <f t="shared" ref="BM35:BM41" si="17">BL35</f>
        <v>1.7</v>
      </c>
      <c r="BN35" s="47"/>
      <c r="BO35" s="1180">
        <v>1.7</v>
      </c>
      <c r="BP35" s="1175">
        <v>1.7</v>
      </c>
      <c r="BQ35" s="1175">
        <v>1.7</v>
      </c>
      <c r="BR35" s="204">
        <v>1.7</v>
      </c>
      <c r="BS35" s="55">
        <f t="shared" ref="BS35:BS41" si="18">BR35</f>
        <v>1.7</v>
      </c>
      <c r="BT35" s="47"/>
      <c r="BU35" s="1839">
        <v>1.7</v>
      </c>
      <c r="BV35" s="1842">
        <v>1.7</v>
      </c>
      <c r="BW35" s="1842">
        <v>1.7</v>
      </c>
      <c r="BX35" s="204">
        <v>1.7</v>
      </c>
      <c r="BY35" s="55">
        <f>BX35</f>
        <v>1.7</v>
      </c>
      <c r="BZ35" s="47"/>
      <c r="CA35" s="1839">
        <v>1.7</v>
      </c>
      <c r="CB35" s="1842">
        <v>1.7</v>
      </c>
      <c r="CC35" s="1842">
        <v>1.7</v>
      </c>
      <c r="CD35" s="204">
        <v>1.7</v>
      </c>
      <c r="CE35" s="55">
        <f t="shared" ref="CE35:CE41" si="19">CD35</f>
        <v>1.7</v>
      </c>
      <c r="CF35" s="47"/>
      <c r="CG35" s="1839">
        <v>1.7</v>
      </c>
      <c r="CH35" s="1842">
        <v>1.7</v>
      </c>
      <c r="CI35" s="1842">
        <v>1.7</v>
      </c>
      <c r="CJ35" s="204">
        <v>1.7</v>
      </c>
      <c r="CK35" s="55">
        <f t="shared" ref="CK35:CK41" si="20">CJ35</f>
        <v>1.7</v>
      </c>
      <c r="CL35" s="47"/>
      <c r="CM35" s="298">
        <f>CK35</f>
        <v>1.7</v>
      </c>
      <c r="CN35" s="156">
        <f>CM35</f>
        <v>1.7</v>
      </c>
      <c r="CO35" s="156">
        <f>CN35</f>
        <v>1.7</v>
      </c>
      <c r="CP35" s="156">
        <f>CO35</f>
        <v>1.7</v>
      </c>
      <c r="CQ35" s="55">
        <f>CP35</f>
        <v>1.7</v>
      </c>
      <c r="CR35" s="47"/>
      <c r="CS35" s="298">
        <f>CQ35</f>
        <v>1.7</v>
      </c>
      <c r="CT35" s="156">
        <f>CS35</f>
        <v>1.7</v>
      </c>
      <c r="CU35" s="156">
        <f>CT35</f>
        <v>1.7</v>
      </c>
      <c r="CV35" s="156">
        <f>CU35</f>
        <v>1.7</v>
      </c>
      <c r="CW35" s="55">
        <f>CV35</f>
        <v>1.7</v>
      </c>
      <c r="CY35" s="298">
        <f>CW35</f>
        <v>1.7</v>
      </c>
      <c r="CZ35" s="156">
        <f>CY35</f>
        <v>1.7</v>
      </c>
      <c r="DA35" s="156">
        <f>CZ35</f>
        <v>1.7</v>
      </c>
      <c r="DB35" s="156">
        <f>DA35</f>
        <v>1.7</v>
      </c>
      <c r="DC35" s="55">
        <f>DB35</f>
        <v>1.7</v>
      </c>
      <c r="DE35" s="298">
        <f>DC35</f>
        <v>1.7</v>
      </c>
      <c r="DF35" s="156">
        <f>DE35</f>
        <v>1.7</v>
      </c>
      <c r="DG35" s="156">
        <f>DF35</f>
        <v>1.7</v>
      </c>
      <c r="DH35" s="156">
        <f>DG35</f>
        <v>1.7</v>
      </c>
      <c r="DI35" s="55">
        <f>DH35</f>
        <v>1.7</v>
      </c>
    </row>
    <row r="36" spans="1:132" ht="11.25" customHeight="1">
      <c r="A36" s="62" t="s">
        <v>90</v>
      </c>
      <c r="B36" s="52"/>
      <c r="C36" s="1183">
        <v>0</v>
      </c>
      <c r="D36" s="52"/>
      <c r="E36" s="1183">
        <v>0</v>
      </c>
      <c r="F36" s="52"/>
      <c r="G36" s="1183">
        <v>0</v>
      </c>
      <c r="H36" s="52"/>
      <c r="I36" s="1183">
        <v>0</v>
      </c>
      <c r="J36" s="52"/>
      <c r="K36" s="1183">
        <v>-3.0880000000000001</v>
      </c>
      <c r="L36" s="52"/>
      <c r="M36" s="1183">
        <v>-2.3319999999999999</v>
      </c>
      <c r="N36" s="52"/>
      <c r="O36" s="1183">
        <v>0</v>
      </c>
      <c r="P36" s="52"/>
      <c r="Q36" s="1183">
        <v>0</v>
      </c>
      <c r="R36" s="52"/>
      <c r="S36" s="1177">
        <v>0</v>
      </c>
      <c r="T36" s="1178">
        <v>0</v>
      </c>
      <c r="U36" s="1178">
        <v>0</v>
      </c>
      <c r="V36" s="1179">
        <v>0</v>
      </c>
      <c r="W36" s="51">
        <f t="shared" si="10"/>
        <v>0</v>
      </c>
      <c r="X36" s="52"/>
      <c r="Y36" s="1177">
        <v>-3.3000000000000002E-2</v>
      </c>
      <c r="Z36" s="1178">
        <v>-9.1999999999999998E-2</v>
      </c>
      <c r="AA36" s="1178">
        <v>-9.1999999999999998E-2</v>
      </c>
      <c r="AB36" s="1179">
        <v>0</v>
      </c>
      <c r="AC36" s="51">
        <f t="shared" si="11"/>
        <v>0</v>
      </c>
      <c r="AD36" s="52"/>
      <c r="AE36" s="1177">
        <v>-9.8000000000000004E-2</v>
      </c>
      <c r="AF36" s="1178">
        <v>-0.109</v>
      </c>
      <c r="AG36" s="1178">
        <v>-0.115</v>
      </c>
      <c r="AH36" s="1179">
        <v>-0.1</v>
      </c>
      <c r="AI36" s="51">
        <f t="shared" si="12"/>
        <v>-0.1</v>
      </c>
      <c r="AJ36" s="52"/>
      <c r="AK36" s="1177">
        <v>-0.1</v>
      </c>
      <c r="AL36" s="1178">
        <v>-0.1</v>
      </c>
      <c r="AM36" s="1178">
        <v>-0.1</v>
      </c>
      <c r="AN36" s="1179">
        <v>-0.1</v>
      </c>
      <c r="AO36" s="51">
        <f t="shared" si="13"/>
        <v>-0.1</v>
      </c>
      <c r="AP36" s="52"/>
      <c r="AQ36" s="1177">
        <v>-0.2</v>
      </c>
      <c r="AR36" s="1178">
        <v>-0.2</v>
      </c>
      <c r="AS36" s="1178">
        <v>-0.2</v>
      </c>
      <c r="AT36" s="1179">
        <v>-0.2</v>
      </c>
      <c r="AU36" s="51">
        <f t="shared" si="14"/>
        <v>-0.2</v>
      </c>
      <c r="AV36" s="52"/>
      <c r="AW36" s="1177">
        <v>-0.2</v>
      </c>
      <c r="AX36" s="1178">
        <v>-0.2</v>
      </c>
      <c r="AY36" s="1178">
        <v>-0.2</v>
      </c>
      <c r="AZ36" s="1179">
        <v>-0.2</v>
      </c>
      <c r="BA36" s="51">
        <f t="shared" si="15"/>
        <v>-0.2</v>
      </c>
      <c r="BB36" s="52"/>
      <c r="BC36" s="1181">
        <v>-0.2</v>
      </c>
      <c r="BD36" s="1178">
        <v>-0.2</v>
      </c>
      <c r="BE36" s="1178">
        <v>-0.2</v>
      </c>
      <c r="BF36" s="1179">
        <v>-0.2</v>
      </c>
      <c r="BG36" s="51">
        <f t="shared" si="16"/>
        <v>-0.2</v>
      </c>
      <c r="BH36" s="52"/>
      <c r="BI36" s="1181">
        <v>-0.2</v>
      </c>
      <c r="BJ36" s="1178">
        <v>-0.4</v>
      </c>
      <c r="BK36" s="1178">
        <v>-0.6</v>
      </c>
      <c r="BL36" s="199">
        <v>-0.6</v>
      </c>
      <c r="BM36" s="53">
        <f t="shared" si="17"/>
        <v>-0.6</v>
      </c>
      <c r="BN36" s="54"/>
      <c r="BO36" s="1181">
        <v>-0.6</v>
      </c>
      <c r="BP36" s="1178">
        <v>-0.6</v>
      </c>
      <c r="BQ36" s="1178">
        <v>-0.9</v>
      </c>
      <c r="BR36" s="199">
        <v>-0.9</v>
      </c>
      <c r="BS36" s="53">
        <f t="shared" si="18"/>
        <v>-0.9</v>
      </c>
      <c r="BT36" s="54"/>
      <c r="BU36" s="1836">
        <v>-0.9</v>
      </c>
      <c r="BV36" s="1838">
        <v>-18.100000000000001</v>
      </c>
      <c r="BW36" s="1838">
        <v>-25.9</v>
      </c>
      <c r="BX36" s="199">
        <v>-90.9</v>
      </c>
      <c r="BY36" s="53">
        <f>BX36</f>
        <v>-90.9</v>
      </c>
      <c r="BZ36" s="54"/>
      <c r="CA36" s="1836">
        <v>-174.1</v>
      </c>
      <c r="CB36" s="1838">
        <v>-208.7</v>
      </c>
      <c r="CC36" s="1838">
        <v>-234.9</v>
      </c>
      <c r="CD36" s="199">
        <v>-249.3</v>
      </c>
      <c r="CE36" s="53">
        <f t="shared" si="19"/>
        <v>-249.3</v>
      </c>
      <c r="CF36" s="54"/>
      <c r="CG36" s="1836">
        <v>-249.3</v>
      </c>
      <c r="CH36" s="1838">
        <v>-293.3</v>
      </c>
      <c r="CI36" s="1838">
        <v>-380.9</v>
      </c>
      <c r="CJ36" s="199">
        <v>-401.2</v>
      </c>
      <c r="CK36" s="53">
        <f t="shared" si="20"/>
        <v>-401.2</v>
      </c>
      <c r="CL36" s="54"/>
      <c r="CM36" s="284">
        <f>CK36+CF!CM84</f>
        <v>-436.2</v>
      </c>
      <c r="CN36" s="105">
        <f>CM36+CF!CN84</f>
        <v>-471.2</v>
      </c>
      <c r="CO36" s="105">
        <f>CN36+CF!CO84</f>
        <v>-506.2</v>
      </c>
      <c r="CP36" s="105">
        <f>CO36+CF!CP84</f>
        <v>-541.20000000000005</v>
      </c>
      <c r="CQ36" s="53">
        <f>CP36</f>
        <v>-541.20000000000005</v>
      </c>
      <c r="CR36" s="54"/>
      <c r="CS36" s="284">
        <f>CQ36+CF!CS84</f>
        <v>-586.20000000000005</v>
      </c>
      <c r="CT36" s="105">
        <f>CS36+CF!CT84</f>
        <v>-631.20000000000005</v>
      </c>
      <c r="CU36" s="105">
        <f>CT36+CF!CU84</f>
        <v>-676.2</v>
      </c>
      <c r="CV36" s="105">
        <f>CU36+CF!CV84</f>
        <v>-721.2</v>
      </c>
      <c r="CW36" s="53">
        <f>CV36</f>
        <v>-721.2</v>
      </c>
      <c r="CY36" s="284">
        <f>CW36+CF!CY84</f>
        <v>-766.2</v>
      </c>
      <c r="CZ36" s="105">
        <f>CY36+CF!CZ84</f>
        <v>-811.2</v>
      </c>
      <c r="DA36" s="105">
        <f>CZ36+CF!DA84</f>
        <v>-856.2</v>
      </c>
      <c r="DB36" s="105">
        <f>DA36+CF!DB84</f>
        <v>-901.2</v>
      </c>
      <c r="DC36" s="53">
        <f>DB36</f>
        <v>-901.2</v>
      </c>
      <c r="DE36" s="284">
        <f>DC36+CF!DE84</f>
        <v>-946.2</v>
      </c>
      <c r="DF36" s="105">
        <f>DE36+CF!DF84</f>
        <v>-991.2</v>
      </c>
      <c r="DG36" s="105">
        <f>DF36+CF!DG84</f>
        <v>-1036.2</v>
      </c>
      <c r="DH36" s="105">
        <f>DG36+CF!DH84</f>
        <v>-1081.2</v>
      </c>
      <c r="DI36" s="53">
        <f>DH36</f>
        <v>-1081.2</v>
      </c>
    </row>
    <row r="37" spans="1:132" ht="11.25" hidden="1" customHeight="1" outlineLevel="1">
      <c r="A37" s="49" t="s">
        <v>210</v>
      </c>
      <c r="B37" s="52"/>
      <c r="C37" s="1183">
        <v>6.0449999999999999</v>
      </c>
      <c r="D37" s="52"/>
      <c r="E37" s="1183">
        <v>6.0449999999999999</v>
      </c>
      <c r="F37" s="52"/>
      <c r="G37" s="1183">
        <v>118.014</v>
      </c>
      <c r="H37" s="52"/>
      <c r="I37" s="1183">
        <v>119.66800000000001</v>
      </c>
      <c r="J37" s="52"/>
      <c r="K37" s="1183">
        <v>180.584</v>
      </c>
      <c r="L37" s="52"/>
      <c r="M37" s="1183">
        <v>201.78100000000001</v>
      </c>
      <c r="N37" s="52"/>
      <c r="O37" s="1183">
        <v>213.87200000000001</v>
      </c>
      <c r="P37" s="52"/>
      <c r="Q37" s="1183">
        <v>217.71600000000001</v>
      </c>
      <c r="R37" s="52"/>
      <c r="S37" s="289">
        <f>211.473-S38-S39</f>
        <v>196.77100000000002</v>
      </c>
      <c r="T37" s="199">
        <f>217.173-T38-T39</f>
        <v>198.26500000000001</v>
      </c>
      <c r="U37" s="199">
        <f>175.454-U38-U39</f>
        <v>152.83900000000003</v>
      </c>
      <c r="V37" s="1179">
        <v>149.46</v>
      </c>
      <c r="W37" s="51">
        <f t="shared" si="10"/>
        <v>149.46</v>
      </c>
      <c r="X37" s="52"/>
      <c r="Y37" s="289">
        <f>213.565-Y38-Y39</f>
        <v>155.596</v>
      </c>
      <c r="Z37" s="199">
        <f>220.695-Z38-Z39</f>
        <v>143.874</v>
      </c>
      <c r="AA37" s="199">
        <f>237.561-AA38-AA39</f>
        <v>118.15400000000005</v>
      </c>
      <c r="AB37" s="1179">
        <v>202.3</v>
      </c>
      <c r="AC37" s="51">
        <f t="shared" si="11"/>
        <v>202.3</v>
      </c>
      <c r="AD37" s="52"/>
      <c r="AE37" s="289">
        <f>288.185-AE38-AE39</f>
        <v>-170.315</v>
      </c>
      <c r="AF37" s="199">
        <f>307.31-AF38-AF39</f>
        <v>-165.08999999999997</v>
      </c>
      <c r="AG37" s="199">
        <f>292.852-AG38-AG39</f>
        <v>-186.84800000000001</v>
      </c>
      <c r="AH37" s="1179">
        <v>0</v>
      </c>
      <c r="AI37" s="51">
        <f t="shared" si="12"/>
        <v>0</v>
      </c>
      <c r="AJ37" s="52"/>
      <c r="AK37" s="289">
        <f>295.5-AK38-AK39</f>
        <v>-14.799999999999983</v>
      </c>
      <c r="AL37" s="199">
        <f>333.8-AL38-AL39</f>
        <v>6.7000000000000455</v>
      </c>
      <c r="AM37" s="199">
        <f>371.2-AM38-AM39</f>
        <v>25.900000000000063</v>
      </c>
      <c r="AN37" s="1179">
        <v>8.4</v>
      </c>
      <c r="AO37" s="51">
        <f t="shared" si="13"/>
        <v>8.4</v>
      </c>
      <c r="AP37" s="52"/>
      <c r="AQ37" s="289">
        <f>414.9-AQ38-AQ39</f>
        <v>-8.7000000000000455</v>
      </c>
      <c r="AR37" s="199">
        <f>409.5-AR38-AR39</f>
        <v>-21.299999999999983</v>
      </c>
      <c r="AS37" s="199">
        <f>490.4-AS38-AS39</f>
        <v>26.000000000000028</v>
      </c>
      <c r="AT37" s="1179">
        <v>21.7</v>
      </c>
      <c r="AU37" s="51">
        <f t="shared" si="14"/>
        <v>21.7</v>
      </c>
      <c r="AV37" s="52"/>
      <c r="AW37" s="289">
        <f>566.9-AW38-AW39</f>
        <v>47.499999999999972</v>
      </c>
      <c r="AX37" s="199">
        <f>626-AX38-AX39</f>
        <v>79.499999999999858</v>
      </c>
      <c r="AY37" s="199">
        <f>598.1-AY38-AY39</f>
        <v>44.299999999999869</v>
      </c>
      <c r="AZ37" s="1179">
        <v>36</v>
      </c>
      <c r="BA37" s="51">
        <f t="shared" si="15"/>
        <v>36</v>
      </c>
      <c r="BB37" s="52"/>
      <c r="BC37" s="281">
        <f>657.1-BC38-BC39</f>
        <v>61.600000000000051</v>
      </c>
      <c r="BD37" s="199">
        <f>170.7-BD39</f>
        <v>42.899999999999991</v>
      </c>
      <c r="BE37" s="199">
        <f>185-BE39</f>
        <v>56.099999999999994</v>
      </c>
      <c r="BF37" s="290">
        <f>567.3-BF38</f>
        <v>48.299999999999841</v>
      </c>
      <c r="BG37" s="51">
        <f t="shared" si="16"/>
        <v>48.299999999999841</v>
      </c>
      <c r="BH37" s="52"/>
      <c r="BI37" s="281">
        <f>578.5-BI38</f>
        <v>54.099999999999795</v>
      </c>
      <c r="BJ37" s="199">
        <f>603.4-BJ38</f>
        <v>56.099999999999795</v>
      </c>
      <c r="BK37" s="199">
        <f>625.2-BK38</f>
        <v>61.299999999999955</v>
      </c>
      <c r="BL37" s="199">
        <v>63.5</v>
      </c>
      <c r="BM37" s="53">
        <f t="shared" si="17"/>
        <v>63.5</v>
      </c>
      <c r="BN37" s="54"/>
      <c r="BO37" s="281">
        <f>676.3-BO38</f>
        <v>68.499999999999773</v>
      </c>
      <c r="BP37" s="199">
        <f>697.5-BP38</f>
        <v>73.299999999999841</v>
      </c>
      <c r="BQ37" s="199">
        <f>708-BQ38</f>
        <v>78.299999999999841</v>
      </c>
      <c r="BR37" s="199">
        <v>81.099999999999994</v>
      </c>
      <c r="BS37" s="53">
        <f t="shared" si="18"/>
        <v>81.099999999999994</v>
      </c>
      <c r="BT37" s="54"/>
      <c r="BU37" s="1836">
        <f>751-BU38</f>
        <v>88.699999999999704</v>
      </c>
      <c r="BV37" s="1838">
        <f>777.1-BV38</f>
        <v>92.89999999999975</v>
      </c>
      <c r="BW37" s="1838">
        <f>792.2-BW38</f>
        <v>96.199999999999818</v>
      </c>
      <c r="BX37" s="199">
        <v>102.1</v>
      </c>
      <c r="BY37" s="53">
        <f>BX37</f>
        <v>102.1</v>
      </c>
      <c r="BZ37" s="54"/>
      <c r="CA37" s="1836">
        <f>886.3-CA38</f>
        <v>111.79999999999984</v>
      </c>
      <c r="CB37" s="1838">
        <f>899-CB38</f>
        <v>116.49999999999977</v>
      </c>
      <c r="CC37" s="1838">
        <f>942.5-CC38</f>
        <v>119.89999999999975</v>
      </c>
      <c r="CD37" s="140">
        <v>124.7</v>
      </c>
      <c r="CE37" s="53">
        <f t="shared" si="19"/>
        <v>124.7</v>
      </c>
      <c r="CF37" s="54"/>
      <c r="CG37" s="1836">
        <f>1032.5-CG38</f>
        <v>132.0999999999998</v>
      </c>
      <c r="CH37" s="1838">
        <f>1060.3-CH38</f>
        <v>142.89999999999975</v>
      </c>
      <c r="CI37" s="1838">
        <f>1100.5-CI38</f>
        <v>152.39999999999975</v>
      </c>
      <c r="CJ37" s="140">
        <v>155.9</v>
      </c>
      <c r="CK37" s="53">
        <f t="shared" si="20"/>
        <v>155.9</v>
      </c>
      <c r="CL37" s="54"/>
      <c r="CM37" s="284">
        <f>CK37+CF!CM80+CF!CM17+CF!CM43</f>
        <v>158.41067006417771</v>
      </c>
      <c r="CN37" s="105">
        <f>CM37+CF!CN80+CF!CN17+CF!CN43</f>
        <v>160.93858363243876</v>
      </c>
      <c r="CO37" s="105">
        <f>CN37+CF!CO80+CF!CO17+CF!CO43</f>
        <v>163.50574101975417</v>
      </c>
      <c r="CP37" s="105">
        <f>CO37+CF!CP80+CF!CP17+CF!CP43</f>
        <v>166.43097718254813</v>
      </c>
      <c r="CQ37" s="53">
        <f>CP37</f>
        <v>166.43097718254813</v>
      </c>
      <c r="CR37" s="54"/>
      <c r="CS37" s="284">
        <f>CQ37+CF!CS80+CF!CS17+CF!CS43</f>
        <v>168.88905939374442</v>
      </c>
      <c r="CT37" s="105">
        <f>CS37+CF!CT80+CF!CT17+CF!CT43</f>
        <v>171.39337229898317</v>
      </c>
      <c r="CU37" s="105">
        <f>CT37+CF!CU80+CF!CU17+CF!CU43</f>
        <v>173.90901941292705</v>
      </c>
      <c r="CV37" s="105">
        <f>CU37+CF!CV80+CF!CV17+CF!CV43</f>
        <v>176.85605996919725</v>
      </c>
      <c r="CW37" s="53">
        <f>CV37</f>
        <v>176.85605996919725</v>
      </c>
      <c r="CY37" s="284">
        <f>CW37+CF!CY80+CF!CY17+CF!CY43</f>
        <v>179.28270614578514</v>
      </c>
      <c r="CZ37" s="105">
        <f>CY37+CF!CZ80+CF!CZ17+CF!CZ43</f>
        <v>181.73182232124009</v>
      </c>
      <c r="DA37" s="105">
        <f>CZ37+CF!DA80+CF!DA17+CF!DA43</f>
        <v>184.23398562379342</v>
      </c>
      <c r="DB37" s="105">
        <f>DA37+CF!DB80+CF!DB17+CF!DB43</f>
        <v>187.15218964397019</v>
      </c>
      <c r="DC37" s="53">
        <f>DB37</f>
        <v>187.15218964397019</v>
      </c>
      <c r="DE37" s="284">
        <f>DC37+CF!DE80+CF!DE17+CF!DE43</f>
        <v>189.53737155483415</v>
      </c>
      <c r="DF37" s="105">
        <f>DE37+CF!DF80+CF!DF17+CF!DF43</f>
        <v>191.9726456898494</v>
      </c>
      <c r="DG37" s="105">
        <f>DF37+CF!DG80+CF!DG17+CF!DG43</f>
        <v>194.43562497362731</v>
      </c>
      <c r="DH37" s="105">
        <f>DG37+CF!DH80+CF!DH17+CF!DH43</f>
        <v>197.3502114016996</v>
      </c>
      <c r="DI37" s="53">
        <f>DH37</f>
        <v>197.3502114016996</v>
      </c>
    </row>
    <row r="38" spans="1:132" ht="11.25" customHeight="1" collapsed="1">
      <c r="A38" s="49" t="s">
        <v>89</v>
      </c>
      <c r="B38" s="52"/>
      <c r="C38" s="1183">
        <v>5.1629589999999999</v>
      </c>
      <c r="D38" s="52"/>
      <c r="E38" s="1183">
        <v>6.4119999999999999</v>
      </c>
      <c r="F38" s="52"/>
      <c r="G38" s="1183">
        <v>8.6620000000000008</v>
      </c>
      <c r="H38" s="52"/>
      <c r="I38" s="1183">
        <v>12.298999999999999</v>
      </c>
      <c r="J38" s="52"/>
      <c r="K38" s="1183">
        <v>4.41</v>
      </c>
      <c r="L38" s="52"/>
      <c r="M38" s="1183">
        <v>-14.359</v>
      </c>
      <c r="N38" s="52"/>
      <c r="O38" s="1183">
        <v>-22.19</v>
      </c>
      <c r="P38" s="52"/>
      <c r="Q38" s="1183">
        <v>-1.014</v>
      </c>
      <c r="R38" s="52"/>
      <c r="S38" s="291">
        <f>Q38+IS!S34</f>
        <v>2.2449999999999957</v>
      </c>
      <c r="T38" s="181">
        <f>S38+IS!T34</f>
        <v>4.7829999999999844</v>
      </c>
      <c r="U38" s="181">
        <f>T38+IS!U34</f>
        <v>7.7589999999999915</v>
      </c>
      <c r="V38" s="1179">
        <v>17.466999999999999</v>
      </c>
      <c r="W38" s="51">
        <f t="shared" si="10"/>
        <v>17.466999999999999</v>
      </c>
      <c r="X38" s="52"/>
      <c r="Y38" s="291">
        <f>W38+IS!Y34</f>
        <v>31.817000000000007</v>
      </c>
      <c r="Z38" s="181">
        <f>Y38+IS!Z34</f>
        <v>49.47399999999999</v>
      </c>
      <c r="AA38" s="181">
        <f>Z38+IS!AA34</f>
        <v>76.144999999999953</v>
      </c>
      <c r="AB38" s="1179">
        <v>282.60000000000002</v>
      </c>
      <c r="AC38" s="51">
        <f t="shared" si="11"/>
        <v>282.60000000000002</v>
      </c>
      <c r="AD38" s="52"/>
      <c r="AE38" s="291">
        <f>AC38+IS!AE34</f>
        <v>281.8</v>
      </c>
      <c r="AF38" s="181">
        <f>AE38+IS!AF34</f>
        <v>303.5</v>
      </c>
      <c r="AG38" s="181">
        <f>AF38+IS!AG34</f>
        <v>321.3</v>
      </c>
      <c r="AH38" s="1179">
        <v>172.6</v>
      </c>
      <c r="AI38" s="51">
        <f t="shared" si="12"/>
        <v>172.6</v>
      </c>
      <c r="AJ38" s="52"/>
      <c r="AK38" s="291">
        <f>AI38+IS!AK34</f>
        <v>180.99999999999997</v>
      </c>
      <c r="AL38" s="181">
        <f>AK38+IS!AL34</f>
        <v>193.89999999999995</v>
      </c>
      <c r="AM38" s="181">
        <f>AL38+IS!AM34</f>
        <v>210.2999999999999</v>
      </c>
      <c r="AN38" s="1179">
        <v>253.8</v>
      </c>
      <c r="AO38" s="51">
        <f t="shared" si="13"/>
        <v>253.8</v>
      </c>
      <c r="AP38" s="52"/>
      <c r="AQ38" s="291">
        <f>AO38+IS!AQ34</f>
        <v>269.90000000000003</v>
      </c>
      <c r="AR38" s="181">
        <f>AQ38+IS!AR34</f>
        <v>292.5</v>
      </c>
      <c r="AS38" s="181">
        <f>AR38+IS!AS34</f>
        <v>319.89999999999998</v>
      </c>
      <c r="AT38" s="1179">
        <v>349.2</v>
      </c>
      <c r="AU38" s="51">
        <f t="shared" si="14"/>
        <v>349.2</v>
      </c>
      <c r="AV38" s="52"/>
      <c r="AW38" s="291">
        <f>AU38+IS!AW34</f>
        <v>360.5</v>
      </c>
      <c r="AX38" s="181">
        <f>AW38+IS!AX34</f>
        <v>382.60000000000014</v>
      </c>
      <c r="AY38" s="181">
        <f>AX38+IS!AY34</f>
        <v>402.40000000000015</v>
      </c>
      <c r="AZ38" s="1179">
        <v>441.5</v>
      </c>
      <c r="BA38" s="51">
        <f t="shared" si="15"/>
        <v>441.5</v>
      </c>
      <c r="BB38" s="52"/>
      <c r="BC38" s="291">
        <f>BA38+IS!BC34</f>
        <v>456.59999999999997</v>
      </c>
      <c r="BD38" s="1178">
        <v>466.5</v>
      </c>
      <c r="BE38" s="1178">
        <v>506.2</v>
      </c>
      <c r="BF38" s="292">
        <f>BE38+IS!BF34</f>
        <v>519.00000000000011</v>
      </c>
      <c r="BG38" s="51">
        <f t="shared" si="16"/>
        <v>519.00000000000011</v>
      </c>
      <c r="BH38" s="52"/>
      <c r="BI38" s="291">
        <f>BF38+IS!BI34</f>
        <v>524.4000000000002</v>
      </c>
      <c r="BJ38" s="181">
        <f>BI38+IS!BJ34</f>
        <v>547.30000000000018</v>
      </c>
      <c r="BK38" s="181">
        <f>BJ38+IS!BK34</f>
        <v>563.90000000000009</v>
      </c>
      <c r="BL38" s="181">
        <f>BK38+IS!BL34</f>
        <v>599.10000000000014</v>
      </c>
      <c r="BM38" s="53">
        <f t="shared" si="17"/>
        <v>599.10000000000014</v>
      </c>
      <c r="BN38" s="54"/>
      <c r="BO38" s="291">
        <f>BM38+IS!BO34</f>
        <v>607.80000000000018</v>
      </c>
      <c r="BP38" s="181">
        <f>BO38+IS!BP34</f>
        <v>624.20000000000016</v>
      </c>
      <c r="BQ38" s="181">
        <f>BP38+IS!BQ34</f>
        <v>629.70000000000016</v>
      </c>
      <c r="BR38" s="181">
        <f>BQ38+IS!BR34</f>
        <v>655.8000000000003</v>
      </c>
      <c r="BS38" s="53">
        <f t="shared" si="18"/>
        <v>655.8000000000003</v>
      </c>
      <c r="BT38" s="54"/>
      <c r="BU38" s="291">
        <f>BS38+IS!BU34</f>
        <v>662.3000000000003</v>
      </c>
      <c r="BV38" s="181">
        <f>BU38+IS!BV34</f>
        <v>684.20000000000027</v>
      </c>
      <c r="BW38" s="181">
        <f>BV38+IS!BW34</f>
        <v>696.00000000000023</v>
      </c>
      <c r="BX38" s="181">
        <f>BW38+IS!BX34</f>
        <v>757.40000000000009</v>
      </c>
      <c r="BY38" s="53">
        <f>BX38</f>
        <v>757.40000000000009</v>
      </c>
      <c r="BZ38" s="54"/>
      <c r="CA38" s="2043">
        <f>BX38+IS!CA34+CF!CA38</f>
        <v>774.50000000000011</v>
      </c>
      <c r="CB38" s="181">
        <f>CA38+IS!CB34+CF!CB38</f>
        <v>782.50000000000023</v>
      </c>
      <c r="CC38" s="181">
        <f>CB38+IS!CC34+CF!CC38</f>
        <v>822.60000000000025</v>
      </c>
      <c r="CD38" s="105">
        <f>CC38+IS!CD34+CF!CD38</f>
        <v>885.20000000000016</v>
      </c>
      <c r="CE38" s="53">
        <f>CD38</f>
        <v>885.20000000000016</v>
      </c>
      <c r="CF38" s="54"/>
      <c r="CG38" s="2043">
        <f>CE38+IS!CG34+CF!CG38</f>
        <v>900.4000000000002</v>
      </c>
      <c r="CH38" s="181">
        <f>CG38+IS!CH34+CF!CH38</f>
        <v>917.4000000000002</v>
      </c>
      <c r="CI38" s="181">
        <f>CH38+IS!CI34+CF!CI38</f>
        <v>948.10000000000025</v>
      </c>
      <c r="CJ38" s="105">
        <v>942</v>
      </c>
      <c r="CK38" s="53">
        <f t="shared" si="20"/>
        <v>942</v>
      </c>
      <c r="CL38" s="54"/>
      <c r="CM38" s="284">
        <f>CK38+IS!CM34+CF!CM38</f>
        <v>962.64219666279132</v>
      </c>
      <c r="CN38" s="105">
        <f>CM38+IS!CN34+CF!CN38</f>
        <v>984.73192624930732</v>
      </c>
      <c r="CO38" s="105">
        <f>CN38+IS!CO34+CF!CO38</f>
        <v>1022.926255972076</v>
      </c>
      <c r="CP38" s="105">
        <f>CO38+IS!CP34+CF!CP38</f>
        <v>1092.4086395544955</v>
      </c>
      <c r="CQ38" s="53">
        <f>CP38</f>
        <v>1092.4086395544955</v>
      </c>
      <c r="CR38" s="54"/>
      <c r="CS38" s="284">
        <f>CQ38+IS!CS34+CF!CS38</f>
        <v>1128.7062203013663</v>
      </c>
      <c r="CT38" s="105">
        <f>CS38+IS!CT34+CF!CT38</f>
        <v>1167.7362668277203</v>
      </c>
      <c r="CU38" s="105">
        <f>CT38+IS!CU34+CF!CU38</f>
        <v>1207.8560574370063</v>
      </c>
      <c r="CV38" s="105">
        <f>CU38+IS!CV34+CF!CV38</f>
        <v>1265.3795550249918</v>
      </c>
      <c r="CW38" s="53">
        <f>CV38</f>
        <v>1265.3795550249918</v>
      </c>
      <c r="CY38" s="284">
        <f>CW38+IS!CY34+CF!CY38</f>
        <v>1306.910758736987</v>
      </c>
      <c r="CZ38" s="105">
        <f>CY38+IS!CZ34+CF!CZ38</f>
        <v>1358.3719557392953</v>
      </c>
      <c r="DA38" s="105">
        <f>CZ38+IS!DA34+CF!DA38</f>
        <v>1411.5110619389316</v>
      </c>
      <c r="DB38" s="105">
        <f>DA38+IS!DB34+CF!DB38</f>
        <v>1481.87554143024</v>
      </c>
      <c r="DC38" s="53">
        <f>DB38</f>
        <v>1481.87554143024</v>
      </c>
      <c r="DE38" s="284">
        <f>DC38+IS!DE34+CF!DE38</f>
        <v>1533.9440864014127</v>
      </c>
      <c r="DF38" s="105">
        <f>DE38+IS!DF34+CF!DF38</f>
        <v>1584.0363951999011</v>
      </c>
      <c r="DG38" s="105">
        <f>DF38+IS!DG34+CF!DG38</f>
        <v>1635.8869011045929</v>
      </c>
      <c r="DH38" s="105">
        <f>DG38+IS!DH34+CF!DH38</f>
        <v>1708.1037657078696</v>
      </c>
      <c r="DI38" s="53">
        <f>DH38</f>
        <v>1708.1037657078696</v>
      </c>
    </row>
    <row r="39" spans="1:132" ht="11.25" customHeight="1">
      <c r="A39" s="56" t="s">
        <v>211</v>
      </c>
      <c r="B39" s="181"/>
      <c r="C39" s="1183">
        <v>-1.3228279999999999</v>
      </c>
      <c r="D39" s="181"/>
      <c r="E39" s="1183">
        <v>-2.8540000000000001</v>
      </c>
      <c r="F39" s="181"/>
      <c r="G39" s="1183">
        <v>-3.052</v>
      </c>
      <c r="H39" s="181"/>
      <c r="I39" s="1183">
        <v>-4.9690000000000003</v>
      </c>
      <c r="J39" s="181"/>
      <c r="K39" s="1183">
        <v>2.722</v>
      </c>
      <c r="L39" s="181"/>
      <c r="M39" s="1183">
        <v>16.471</v>
      </c>
      <c r="N39" s="181"/>
      <c r="O39" s="1183">
        <v>24.698</v>
      </c>
      <c r="P39" s="181"/>
      <c r="Q39" s="1183">
        <v>11.694000000000001</v>
      </c>
      <c r="R39" s="181"/>
      <c r="S39" s="291">
        <f>Q39+CF!S49</f>
        <v>12.457000000000001</v>
      </c>
      <c r="T39" s="181">
        <f>S39+CF!T49</f>
        <v>14.125</v>
      </c>
      <c r="U39" s="181">
        <f>T39+CF!U49</f>
        <v>14.856</v>
      </c>
      <c r="V39" s="1179">
        <v>23.518999999999998</v>
      </c>
      <c r="W39" s="51">
        <f t="shared" si="10"/>
        <v>23.518999999999998</v>
      </c>
      <c r="X39" s="181"/>
      <c r="Y39" s="291">
        <f>W39+CF!Y49</f>
        <v>26.151999999999997</v>
      </c>
      <c r="Z39" s="181">
        <f>Y39+CF!Z49</f>
        <v>27.346999999999998</v>
      </c>
      <c r="AA39" s="181">
        <f>Z39+CF!AA49</f>
        <v>43.262</v>
      </c>
      <c r="AB39" s="1179">
        <v>148.5</v>
      </c>
      <c r="AC39" s="51">
        <f t="shared" si="11"/>
        <v>148.5</v>
      </c>
      <c r="AD39" s="181"/>
      <c r="AE39" s="291">
        <f>AC39+CF!AE49</f>
        <v>176.7</v>
      </c>
      <c r="AF39" s="181">
        <f>AE39+CF!AF49</f>
        <v>168.89999999999998</v>
      </c>
      <c r="AG39" s="181">
        <f>AF39+CF!AG49</f>
        <v>158.39999999999998</v>
      </c>
      <c r="AH39" s="1179">
        <v>137.80000000000001</v>
      </c>
      <c r="AI39" s="51">
        <f t="shared" si="12"/>
        <v>137.80000000000001</v>
      </c>
      <c r="AJ39" s="181"/>
      <c r="AK39" s="291">
        <f>AI39+CF!AK49</f>
        <v>129.30000000000001</v>
      </c>
      <c r="AL39" s="181">
        <f>AK39+CF!AL49</f>
        <v>133.20000000000002</v>
      </c>
      <c r="AM39" s="181">
        <f>AL39+CF!AM49</f>
        <v>135.00000000000003</v>
      </c>
      <c r="AN39" s="1179">
        <v>153.5</v>
      </c>
      <c r="AO39" s="51">
        <f t="shared" si="13"/>
        <v>153.5</v>
      </c>
      <c r="AP39" s="181"/>
      <c r="AQ39" s="291">
        <f>AO39+CF!AQ49</f>
        <v>153.69999999999999</v>
      </c>
      <c r="AR39" s="181">
        <f>AQ39+CF!AR49</f>
        <v>138.29999999999998</v>
      </c>
      <c r="AS39" s="181">
        <f>AR39+CF!AS49</f>
        <v>144.49999999999997</v>
      </c>
      <c r="AT39" s="1179">
        <v>152.4</v>
      </c>
      <c r="AU39" s="51">
        <f t="shared" si="14"/>
        <v>152.4</v>
      </c>
      <c r="AV39" s="181"/>
      <c r="AW39" s="291">
        <f>AU39+CF!AW49</f>
        <v>158.9</v>
      </c>
      <c r="AX39" s="181">
        <f>AW39+CF!AX49</f>
        <v>163.9</v>
      </c>
      <c r="AY39" s="181">
        <f>AX39+CF!AY49</f>
        <v>151.4</v>
      </c>
      <c r="AZ39" s="1179">
        <v>142.5</v>
      </c>
      <c r="BA39" s="51">
        <f t="shared" si="15"/>
        <v>142.5</v>
      </c>
      <c r="BB39" s="181"/>
      <c r="BC39" s="1177">
        <v>138.9</v>
      </c>
      <c r="BD39" s="1178">
        <v>127.8</v>
      </c>
      <c r="BE39" s="1178">
        <v>128.9</v>
      </c>
      <c r="BF39" s="1179">
        <v>137.80000000000001</v>
      </c>
      <c r="BG39" s="51">
        <f t="shared" si="16"/>
        <v>137.80000000000001</v>
      </c>
      <c r="BH39" s="181"/>
      <c r="BI39" s="1177">
        <v>109.2</v>
      </c>
      <c r="BJ39" s="1178">
        <v>114.2</v>
      </c>
      <c r="BK39" s="1178">
        <v>150.80000000000001</v>
      </c>
      <c r="BL39" s="199">
        <v>182.4</v>
      </c>
      <c r="BM39" s="53">
        <f t="shared" si="17"/>
        <v>182.4</v>
      </c>
      <c r="BN39" s="105"/>
      <c r="BO39" s="1177">
        <v>185.2</v>
      </c>
      <c r="BP39" s="1178">
        <v>181.7</v>
      </c>
      <c r="BQ39" s="1178">
        <v>98.7</v>
      </c>
      <c r="BR39" s="199">
        <v>28.2</v>
      </c>
      <c r="BS39" s="53">
        <f t="shared" si="18"/>
        <v>28.2</v>
      </c>
      <c r="BT39" s="105"/>
      <c r="BU39" s="1836">
        <v>-36</v>
      </c>
      <c r="BV39" s="1838">
        <v>0.2</v>
      </c>
      <c r="BW39" s="1838">
        <v>-7.7</v>
      </c>
      <c r="BX39" s="199">
        <v>-44.2</v>
      </c>
      <c r="BY39" s="53">
        <f>BX39</f>
        <v>-44.2</v>
      </c>
      <c r="BZ39" s="105"/>
      <c r="CA39" s="1836">
        <v>-11.8</v>
      </c>
      <c r="CB39" s="1838">
        <v>-28.7</v>
      </c>
      <c r="CC39" s="1838">
        <v>-15.4</v>
      </c>
      <c r="CD39" s="199">
        <v>-75.900000000000006</v>
      </c>
      <c r="CE39" s="53">
        <f t="shared" si="19"/>
        <v>-75.900000000000006</v>
      </c>
      <c r="CF39" s="105"/>
      <c r="CG39" s="1836">
        <v>-60.2</v>
      </c>
      <c r="CH39" s="1838">
        <v>-13</v>
      </c>
      <c r="CI39" s="1838">
        <v>10.5</v>
      </c>
      <c r="CJ39" s="199">
        <v>27</v>
      </c>
      <c r="CK39" s="53">
        <f t="shared" si="20"/>
        <v>27</v>
      </c>
      <c r="CL39" s="105"/>
      <c r="CM39" s="284">
        <f>CK39+CF!CM49</f>
        <v>27</v>
      </c>
      <c r="CN39" s="105">
        <f>CM39+CF!CN49</f>
        <v>27</v>
      </c>
      <c r="CO39" s="105">
        <f>CN39+CF!CO49</f>
        <v>27</v>
      </c>
      <c r="CP39" s="105">
        <f>CO39+CF!CP49</f>
        <v>27</v>
      </c>
      <c r="CQ39" s="53">
        <f>CP39</f>
        <v>27</v>
      </c>
      <c r="CR39" s="105"/>
      <c r="CS39" s="284">
        <f>CQ39+CF!CS49</f>
        <v>27</v>
      </c>
      <c r="CT39" s="105">
        <f>CS39+CF!CT49</f>
        <v>27</v>
      </c>
      <c r="CU39" s="105">
        <f>CT39+CF!CU49</f>
        <v>27</v>
      </c>
      <c r="CV39" s="105">
        <f>CU39+CF!CV49</f>
        <v>27</v>
      </c>
      <c r="CW39" s="53">
        <f>CV39</f>
        <v>27</v>
      </c>
      <c r="CX39" s="21"/>
      <c r="CY39" s="284">
        <f>CW39+CF!CY49</f>
        <v>27</v>
      </c>
      <c r="CZ39" s="105">
        <f>CY39+CF!CZ49</f>
        <v>27</v>
      </c>
      <c r="DA39" s="105">
        <f>CZ39+CF!DA49</f>
        <v>27</v>
      </c>
      <c r="DB39" s="105">
        <f>DA39+CF!DB49</f>
        <v>27</v>
      </c>
      <c r="DC39" s="53">
        <f>DB39</f>
        <v>27</v>
      </c>
      <c r="DD39" s="21"/>
      <c r="DE39" s="284">
        <f>DC39+CF!DE49</f>
        <v>27</v>
      </c>
      <c r="DF39" s="105">
        <f>DE39+CF!DF49</f>
        <v>27</v>
      </c>
      <c r="DG39" s="105">
        <f>DF39+CF!DG49</f>
        <v>27</v>
      </c>
      <c r="DH39" s="105">
        <f>DG39+CF!DH49</f>
        <v>27</v>
      </c>
      <c r="DI39" s="53">
        <f>DH39</f>
        <v>27</v>
      </c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</row>
    <row r="40" spans="1:132" s="583" customFormat="1" ht="11.25" customHeight="1">
      <c r="A40" s="989" t="s">
        <v>212</v>
      </c>
      <c r="B40" s="985"/>
      <c r="C40" s="990">
        <f>SUM(C35:C39)</f>
        <v>10.340131000000001</v>
      </c>
      <c r="D40" s="991"/>
      <c r="E40" s="990">
        <f>SUM(E35:E39)</f>
        <v>10.058</v>
      </c>
      <c r="F40" s="991"/>
      <c r="G40" s="990">
        <f>SUM(G35:G39)</f>
        <v>124.172</v>
      </c>
      <c r="H40" s="991"/>
      <c r="I40" s="990">
        <f>SUM(I35:I39)</f>
        <v>127.54700000000003</v>
      </c>
      <c r="J40" s="991"/>
      <c r="K40" s="990">
        <f>SUM(K35:K39)</f>
        <v>185.398</v>
      </c>
      <c r="L40" s="991"/>
      <c r="M40" s="990">
        <f>SUM(M35:M39)</f>
        <v>202.42599999999999</v>
      </c>
      <c r="N40" s="991"/>
      <c r="O40" s="990">
        <f>SUM(O35:O39)</f>
        <v>217.27500000000003</v>
      </c>
      <c r="P40" s="991"/>
      <c r="Q40" s="990">
        <f>SUM(Q35:Q39)</f>
        <v>229.40699999999998</v>
      </c>
      <c r="R40" s="991"/>
      <c r="S40" s="992">
        <f>SUM(S35:S39)</f>
        <v>212.37400000000002</v>
      </c>
      <c r="T40" s="991">
        <f>SUM(T35:T39)</f>
        <v>218.07400000000001</v>
      </c>
      <c r="U40" s="991">
        <f>SUM(U35:U39)</f>
        <v>176.471</v>
      </c>
      <c r="V40" s="993">
        <f>SUM(V35:V39)</f>
        <v>191.46600000000001</v>
      </c>
      <c r="W40" s="990">
        <f>SUM(W35:W39)</f>
        <v>191.46600000000001</v>
      </c>
      <c r="X40" s="991"/>
      <c r="Y40" s="992">
        <f>SUM(Y35:Y39)</f>
        <v>214.578</v>
      </c>
      <c r="Z40" s="991">
        <f>SUM(Z35:Z39)</f>
        <v>221.65</v>
      </c>
      <c r="AA40" s="991">
        <f>SUM(AA35:AA39)</f>
        <v>238.51600000000002</v>
      </c>
      <c r="AB40" s="993">
        <f>SUM(AB35:AB39)</f>
        <v>635</v>
      </c>
      <c r="AC40" s="990">
        <f>SUM(AC35:AC39)</f>
        <v>635</v>
      </c>
      <c r="AD40" s="991"/>
      <c r="AE40" s="992">
        <f>SUM(AE35:AE39)</f>
        <v>289.71299999999997</v>
      </c>
      <c r="AF40" s="991">
        <f>SUM(AF35:AF39)</f>
        <v>308.82900000000001</v>
      </c>
      <c r="AG40" s="991">
        <f>SUM(AG35:AG39)</f>
        <v>294.37</v>
      </c>
      <c r="AH40" s="993">
        <f>SUM(AH35:AH39)</f>
        <v>311.89999999999998</v>
      </c>
      <c r="AI40" s="990">
        <f>SUM(AI35:AI39)</f>
        <v>311.89999999999998</v>
      </c>
      <c r="AJ40" s="991"/>
      <c r="AK40" s="992">
        <f>SUM(AK35:AK39)</f>
        <v>297</v>
      </c>
      <c r="AL40" s="991">
        <f>SUM(AL35:AL39)</f>
        <v>335.3</v>
      </c>
      <c r="AM40" s="991">
        <f>SUM(AM35:AM39)</f>
        <v>372.7</v>
      </c>
      <c r="AN40" s="993">
        <f>SUM(AN35:AN39)</f>
        <v>417.2</v>
      </c>
      <c r="AO40" s="990">
        <f>SUM(AO35:AO39)</f>
        <v>417.2</v>
      </c>
      <c r="AP40" s="991"/>
      <c r="AQ40" s="992">
        <f>SUM(AQ35:AQ39)</f>
        <v>416.29999999999995</v>
      </c>
      <c r="AR40" s="991">
        <f>SUM(AR35:AR39)</f>
        <v>410.9</v>
      </c>
      <c r="AS40" s="991">
        <f>SUM(AS35:AS39)</f>
        <v>491.79999999999995</v>
      </c>
      <c r="AT40" s="993">
        <f>SUM(AT35:AT39)</f>
        <v>524.70000000000005</v>
      </c>
      <c r="AU40" s="990">
        <f>SUM(AU35:AU39)</f>
        <v>524.70000000000005</v>
      </c>
      <c r="AV40" s="991"/>
      <c r="AW40" s="992">
        <f>SUM(AW35:AW39)</f>
        <v>568.29999999999995</v>
      </c>
      <c r="AX40" s="991">
        <f>SUM(AX35:AX39)</f>
        <v>627.4</v>
      </c>
      <c r="AY40" s="991">
        <f>SUM(AY35:AY39)</f>
        <v>599.5</v>
      </c>
      <c r="AZ40" s="993">
        <f>SUM(AZ35:AZ39)</f>
        <v>621.5</v>
      </c>
      <c r="BA40" s="990">
        <f>SUM(BA35:BA39)</f>
        <v>621.5</v>
      </c>
      <c r="BB40" s="991"/>
      <c r="BC40" s="996">
        <f>SUM(BC35:BC39)</f>
        <v>658.6</v>
      </c>
      <c r="BD40" s="991">
        <f>SUM(BD35:BD39)</f>
        <v>638.69999999999993</v>
      </c>
      <c r="BE40" s="991">
        <f>SUM(BE35:BE39)</f>
        <v>692.69999999999993</v>
      </c>
      <c r="BF40" s="993">
        <f>SUM(BF35:BF39)</f>
        <v>706.59999999999991</v>
      </c>
      <c r="BG40" s="990">
        <f>SUM(BG35:BG39)</f>
        <v>706.59999999999991</v>
      </c>
      <c r="BH40" s="991"/>
      <c r="BI40" s="996">
        <f>SUM(BI35:BI39)</f>
        <v>689.2</v>
      </c>
      <c r="BJ40" s="991">
        <f>SUM(BJ35:BJ39)</f>
        <v>718.9</v>
      </c>
      <c r="BK40" s="991">
        <f>SUM(BK35:BK39)</f>
        <v>777.10000000000014</v>
      </c>
      <c r="BL40" s="991">
        <f>SUM(BL35:BL39)</f>
        <v>846.10000000000014</v>
      </c>
      <c r="BM40" s="994">
        <f>SUM(BM35:BM39)</f>
        <v>846.10000000000014</v>
      </c>
      <c r="BN40" s="995"/>
      <c r="BO40" s="996">
        <f>SUM(BO35:BO39)</f>
        <v>862.59999999999991</v>
      </c>
      <c r="BP40" s="991">
        <f>SUM(BP35:BP39)</f>
        <v>880.3</v>
      </c>
      <c r="BQ40" s="991">
        <f>SUM(BQ35:BQ39)</f>
        <v>807.5</v>
      </c>
      <c r="BR40" s="995">
        <f>SUM(BR35:BR39)</f>
        <v>765.90000000000032</v>
      </c>
      <c r="BS40" s="994">
        <f>SUM(BS35:BS39)</f>
        <v>765.90000000000032</v>
      </c>
      <c r="BT40" s="995"/>
      <c r="BU40" s="997">
        <f>SUM(BU35:BU39)</f>
        <v>715.8</v>
      </c>
      <c r="BV40" s="991">
        <f>SUM(BV35:BV39)</f>
        <v>760.90000000000009</v>
      </c>
      <c r="BW40" s="991">
        <f>SUM(BW35:BW39)</f>
        <v>760.3</v>
      </c>
      <c r="BX40" s="995">
        <f>SUM(BX35:BX39)</f>
        <v>726.1</v>
      </c>
      <c r="BY40" s="994">
        <f>SUM(BY35:BY39)</f>
        <v>726.1</v>
      </c>
      <c r="BZ40" s="995"/>
      <c r="CA40" s="997">
        <f>SUM(CA35:CA39)</f>
        <v>702.1</v>
      </c>
      <c r="CB40" s="991">
        <f>SUM(CB35:CB39)</f>
        <v>663.3</v>
      </c>
      <c r="CC40" s="991">
        <f>SUM(CC35:CC39)</f>
        <v>693.9</v>
      </c>
      <c r="CD40" s="995">
        <f>SUM(CD35:CD39)</f>
        <v>686.4000000000002</v>
      </c>
      <c r="CE40" s="994">
        <f>SUM(CE35:CE39)</f>
        <v>686.4000000000002</v>
      </c>
      <c r="CF40" s="995"/>
      <c r="CG40" s="997">
        <f>SUM(CG35:CG39)</f>
        <v>724.69999999999993</v>
      </c>
      <c r="CH40" s="991">
        <f>SUM(CH35:CH39)</f>
        <v>755.69999999999993</v>
      </c>
      <c r="CI40" s="991">
        <f>SUM(CI35:CI39)</f>
        <v>731.8</v>
      </c>
      <c r="CJ40" s="995">
        <f>SUM(CJ35:CJ39)</f>
        <v>725.4</v>
      </c>
      <c r="CK40" s="994">
        <f>SUM(CK35:CK39)</f>
        <v>725.4</v>
      </c>
      <c r="CL40" s="995"/>
      <c r="CM40" s="997">
        <f>SUM(CM35:CM39)</f>
        <v>713.552866726969</v>
      </c>
      <c r="CN40" s="995">
        <f>SUM(CN35:CN39)</f>
        <v>703.17050988174606</v>
      </c>
      <c r="CO40" s="995">
        <f>SUM(CO35:CO39)</f>
        <v>708.93199699183015</v>
      </c>
      <c r="CP40" s="995">
        <f>SUM(CP35:CP39)</f>
        <v>746.33961673704357</v>
      </c>
      <c r="CQ40" s="994">
        <f>SUM(CQ35:CQ39)</f>
        <v>746.33961673704357</v>
      </c>
      <c r="CR40" s="995"/>
      <c r="CS40" s="997">
        <f>SUM(CS35:CS39)</f>
        <v>740.09527969511078</v>
      </c>
      <c r="CT40" s="995">
        <f>SUM(CT35:CT39)</f>
        <v>736.62963912670352</v>
      </c>
      <c r="CU40" s="995">
        <f>SUM(CU35:CU39)</f>
        <v>734.26507684993328</v>
      </c>
      <c r="CV40" s="995">
        <f>SUM(CV35:CV39)</f>
        <v>749.73561499418906</v>
      </c>
      <c r="CW40" s="994">
        <f>SUM(CW35:CW39)</f>
        <v>749.73561499418906</v>
      </c>
      <c r="CY40" s="997">
        <f>SUM(CY35:CY39)</f>
        <v>748.6934648827721</v>
      </c>
      <c r="CZ40" s="995">
        <f>SUM(CZ35:CZ39)</f>
        <v>757.60377806053543</v>
      </c>
      <c r="DA40" s="995">
        <f>SUM(DA35:DA39)</f>
        <v>768.24504756272495</v>
      </c>
      <c r="DB40" s="995">
        <f>SUM(DB35:DB39)</f>
        <v>796.52773107421012</v>
      </c>
      <c r="DC40" s="994">
        <f>SUM(DC35:DC39)</f>
        <v>796.52773107421012</v>
      </c>
      <c r="DE40" s="997">
        <f>SUM(DE35:DE39)</f>
        <v>805.98145795624691</v>
      </c>
      <c r="DF40" s="995">
        <f>SUM(DF35:DF39)</f>
        <v>813.50904088975051</v>
      </c>
      <c r="DG40" s="995">
        <f>SUM(DG35:DG39)</f>
        <v>822.82252607822022</v>
      </c>
      <c r="DH40" s="995">
        <f>SUM(DH35:DH39)</f>
        <v>852.95397710956922</v>
      </c>
      <c r="DI40" s="994">
        <f>SUM(DI35:DI39)</f>
        <v>852.95397710956922</v>
      </c>
      <c r="DJ40"/>
      <c r="DK40"/>
      <c r="DL40"/>
      <c r="DM40"/>
      <c r="DN40"/>
      <c r="DO40"/>
    </row>
    <row r="41" spans="1:132" ht="11.25" customHeight="1">
      <c r="A41" s="998" t="s">
        <v>234</v>
      </c>
      <c r="B41" s="999"/>
      <c r="C41" s="1184">
        <v>0</v>
      </c>
      <c r="D41" s="999"/>
      <c r="E41" s="1184">
        <v>0</v>
      </c>
      <c r="F41" s="999"/>
      <c r="G41" s="1184">
        <v>0</v>
      </c>
      <c r="H41" s="999"/>
      <c r="I41" s="1184">
        <v>0</v>
      </c>
      <c r="J41" s="999"/>
      <c r="K41" s="1184">
        <v>0</v>
      </c>
      <c r="L41" s="999"/>
      <c r="M41" s="1184">
        <v>0</v>
      </c>
      <c r="N41" s="999"/>
      <c r="O41" s="1184">
        <v>0</v>
      </c>
      <c r="P41" s="999"/>
      <c r="Q41" s="1184">
        <v>0</v>
      </c>
      <c r="R41" s="999"/>
      <c r="S41" s="1185">
        <v>0</v>
      </c>
      <c r="T41" s="1186">
        <v>0</v>
      </c>
      <c r="U41" s="1186">
        <v>0</v>
      </c>
      <c r="V41" s="1187">
        <v>0</v>
      </c>
      <c r="W41" s="1245">
        <f t="shared" si="10"/>
        <v>0</v>
      </c>
      <c r="X41" s="999"/>
      <c r="Y41" s="1185">
        <v>0</v>
      </c>
      <c r="Z41" s="1186">
        <v>0</v>
      </c>
      <c r="AA41" s="1186">
        <v>0</v>
      </c>
      <c r="AB41" s="1187">
        <v>0</v>
      </c>
      <c r="AC41" s="1245">
        <f t="shared" si="11"/>
        <v>0</v>
      </c>
      <c r="AD41" s="999"/>
      <c r="AE41" s="1185">
        <v>0.67200000000000004</v>
      </c>
      <c r="AF41" s="1186">
        <v>0.753</v>
      </c>
      <c r="AG41" s="1186">
        <v>0.81</v>
      </c>
      <c r="AH41" s="1187">
        <v>0.8</v>
      </c>
      <c r="AI41" s="1245">
        <f t="shared" si="12"/>
        <v>0.8</v>
      </c>
      <c r="AJ41" s="999"/>
      <c r="AK41" s="1185">
        <v>0.8</v>
      </c>
      <c r="AL41" s="1186">
        <v>1.2</v>
      </c>
      <c r="AM41" s="1186">
        <v>0.8</v>
      </c>
      <c r="AN41" s="1187">
        <v>1.6</v>
      </c>
      <c r="AO41" s="1245">
        <f t="shared" si="13"/>
        <v>1.6</v>
      </c>
      <c r="AP41" s="999"/>
      <c r="AQ41" s="1185">
        <v>1.6</v>
      </c>
      <c r="AR41" s="1186">
        <v>1.7</v>
      </c>
      <c r="AS41" s="1186">
        <v>2.2000000000000002</v>
      </c>
      <c r="AT41" s="1187">
        <v>2.7</v>
      </c>
      <c r="AU41" s="1245">
        <f t="shared" si="14"/>
        <v>2.7</v>
      </c>
      <c r="AV41" s="999"/>
      <c r="AW41" s="1185">
        <v>3.2</v>
      </c>
      <c r="AX41" s="1186">
        <v>3.4</v>
      </c>
      <c r="AY41" s="1186">
        <v>3.6</v>
      </c>
      <c r="AZ41" s="1187">
        <v>3.4</v>
      </c>
      <c r="BA41" s="1245">
        <f t="shared" si="15"/>
        <v>3.4</v>
      </c>
      <c r="BB41" s="999"/>
      <c r="BC41" s="1188">
        <v>3.5</v>
      </c>
      <c r="BD41" s="1186">
        <v>2.9</v>
      </c>
      <c r="BE41" s="1186">
        <v>3</v>
      </c>
      <c r="BF41" s="1187">
        <v>3.1</v>
      </c>
      <c r="BG41" s="1245">
        <f t="shared" si="16"/>
        <v>3.1</v>
      </c>
      <c r="BH41" s="999"/>
      <c r="BI41" s="1188">
        <v>3.4</v>
      </c>
      <c r="BJ41" s="1186">
        <v>3.8</v>
      </c>
      <c r="BK41" s="1186">
        <v>3.5</v>
      </c>
      <c r="BL41" s="1187">
        <v>4.0999999999999996</v>
      </c>
      <c r="BM41" s="1000">
        <f t="shared" si="17"/>
        <v>4.0999999999999996</v>
      </c>
      <c r="BN41" s="1001"/>
      <c r="BO41" s="1188">
        <v>5.7</v>
      </c>
      <c r="BP41" s="1186">
        <v>5.0999999999999996</v>
      </c>
      <c r="BQ41" s="1186">
        <v>5.6</v>
      </c>
      <c r="BR41" s="1454">
        <v>5.8</v>
      </c>
      <c r="BS41" s="1000">
        <f t="shared" si="18"/>
        <v>5.8</v>
      </c>
      <c r="BT41" s="1001"/>
      <c r="BU41" s="1845">
        <v>5.8</v>
      </c>
      <c r="BV41" s="1846">
        <v>6.6</v>
      </c>
      <c r="BW41" s="1846">
        <v>7.7</v>
      </c>
      <c r="BX41" s="1454">
        <v>6.8</v>
      </c>
      <c r="BY41" s="1000">
        <f>BX41</f>
        <v>6.8</v>
      </c>
      <c r="BZ41" s="1001"/>
      <c r="CA41" s="1845">
        <v>7</v>
      </c>
      <c r="CB41" s="1846">
        <v>7.1</v>
      </c>
      <c r="CC41" s="1846">
        <v>7</v>
      </c>
      <c r="CD41" s="1454">
        <v>6.7</v>
      </c>
      <c r="CE41" s="1000">
        <f t="shared" si="19"/>
        <v>6.7</v>
      </c>
      <c r="CF41" s="1001"/>
      <c r="CG41" s="1845">
        <v>6.9</v>
      </c>
      <c r="CH41" s="1846">
        <v>7.4</v>
      </c>
      <c r="CI41" s="1846">
        <v>8.1</v>
      </c>
      <c r="CJ41" s="1454">
        <v>8.1</v>
      </c>
      <c r="CK41" s="1000">
        <f t="shared" si="20"/>
        <v>8.1</v>
      </c>
      <c r="CL41" s="1001"/>
      <c r="CM41" s="1002">
        <f>CK41+CF!CM45+IS!CM31</f>
        <v>8.5</v>
      </c>
      <c r="CN41" s="1001">
        <f>CM41+CF!CN45+IS!CN31</f>
        <v>8.9</v>
      </c>
      <c r="CO41" s="1001">
        <f>CN41+CF!CO45+IS!CO31</f>
        <v>9.3000000000000007</v>
      </c>
      <c r="CP41" s="1001">
        <f>CO41+CF!CP45+IS!CP31</f>
        <v>9.7000000000000011</v>
      </c>
      <c r="CQ41" s="1000">
        <f>CP41</f>
        <v>9.7000000000000011</v>
      </c>
      <c r="CR41" s="1001"/>
      <c r="CS41" s="1002">
        <f>CQ41+CF!CS45+IS!CS31</f>
        <v>10.100000000000001</v>
      </c>
      <c r="CT41" s="1001">
        <f>CS41+CF!CT45+IS!CT31</f>
        <v>10.500000000000002</v>
      </c>
      <c r="CU41" s="1001">
        <f>CT41+CF!CU45+IS!CU31</f>
        <v>10.900000000000002</v>
      </c>
      <c r="CV41" s="1001">
        <f>CU41+CF!CV45+IS!CV31</f>
        <v>11.300000000000002</v>
      </c>
      <c r="CW41" s="1000">
        <f>CV41</f>
        <v>11.300000000000002</v>
      </c>
      <c r="CY41" s="1002">
        <f>CW41+CF!CY45+IS!CY31</f>
        <v>11.700000000000003</v>
      </c>
      <c r="CZ41" s="1001">
        <f>CY41+CF!CZ45+IS!CZ31</f>
        <v>12.100000000000003</v>
      </c>
      <c r="DA41" s="1001">
        <f>CZ41+CF!DA45+IS!DA31</f>
        <v>12.500000000000004</v>
      </c>
      <c r="DB41" s="1001">
        <f>DA41+CF!DB45+IS!DB31</f>
        <v>12.900000000000004</v>
      </c>
      <c r="DC41" s="1000">
        <f>DB41</f>
        <v>12.900000000000004</v>
      </c>
      <c r="DE41" s="1002">
        <f>DC41+CF!DE45+IS!DE31</f>
        <v>13.300000000000004</v>
      </c>
      <c r="DF41" s="1001">
        <f>DE41+CF!DF45+IS!DF31</f>
        <v>13.700000000000005</v>
      </c>
      <c r="DG41" s="1001">
        <f>DF41+CF!DG45+IS!DG31</f>
        <v>14.100000000000005</v>
      </c>
      <c r="DH41" s="1001">
        <f>DG41+CF!DH45+IS!DH31</f>
        <v>14.500000000000005</v>
      </c>
      <c r="DI41" s="1000">
        <f>DH41</f>
        <v>14.500000000000005</v>
      </c>
    </row>
    <row r="42" spans="1:132" ht="11.25" customHeight="1">
      <c r="A42" s="976" t="s">
        <v>91</v>
      </c>
      <c r="B42" s="977"/>
      <c r="C42" s="978">
        <f>C40+C41</f>
        <v>10.340131000000001</v>
      </c>
      <c r="D42" s="977"/>
      <c r="E42" s="978">
        <f>E40+E41</f>
        <v>10.058</v>
      </c>
      <c r="F42" s="977"/>
      <c r="G42" s="978">
        <f>G40+G41</f>
        <v>124.172</v>
      </c>
      <c r="H42" s="977"/>
      <c r="I42" s="978">
        <f>I40+I41</f>
        <v>127.54700000000003</v>
      </c>
      <c r="J42" s="977"/>
      <c r="K42" s="978">
        <f>K40+K41</f>
        <v>185.398</v>
      </c>
      <c r="L42" s="977"/>
      <c r="M42" s="978">
        <f>M40+M41</f>
        <v>202.42599999999999</v>
      </c>
      <c r="N42" s="977"/>
      <c r="O42" s="978">
        <f>O40+O41</f>
        <v>217.27500000000003</v>
      </c>
      <c r="P42" s="977"/>
      <c r="Q42" s="978">
        <f>Q40+Q41</f>
        <v>229.40699999999998</v>
      </c>
      <c r="R42" s="977"/>
      <c r="S42" s="979">
        <f>S40+S41</f>
        <v>212.37400000000002</v>
      </c>
      <c r="T42" s="977">
        <f>T40+T41</f>
        <v>218.07400000000001</v>
      </c>
      <c r="U42" s="977">
        <f>U40+U41</f>
        <v>176.471</v>
      </c>
      <c r="V42" s="980">
        <f>V40+V41</f>
        <v>191.46600000000001</v>
      </c>
      <c r="W42" s="978">
        <f>W40+W41</f>
        <v>191.46600000000001</v>
      </c>
      <c r="X42" s="977"/>
      <c r="Y42" s="979">
        <f>Y40+Y41</f>
        <v>214.578</v>
      </c>
      <c r="Z42" s="977">
        <f>Z40+Z41</f>
        <v>221.65</v>
      </c>
      <c r="AA42" s="977">
        <f>AA40+AA41</f>
        <v>238.51600000000002</v>
      </c>
      <c r="AB42" s="980">
        <f>AB40+AB41</f>
        <v>635</v>
      </c>
      <c r="AC42" s="978">
        <f>AC40+AC41</f>
        <v>635</v>
      </c>
      <c r="AD42" s="977"/>
      <c r="AE42" s="979">
        <f>AE40+AE41</f>
        <v>290.38499999999999</v>
      </c>
      <c r="AF42" s="977">
        <f>AF40+AF41</f>
        <v>309.58199999999999</v>
      </c>
      <c r="AG42" s="977">
        <f>AG40+AG41</f>
        <v>295.18</v>
      </c>
      <c r="AH42" s="980">
        <f>AH40+AH41</f>
        <v>312.7</v>
      </c>
      <c r="AI42" s="978">
        <f>AI40+AI41</f>
        <v>312.7</v>
      </c>
      <c r="AJ42" s="977"/>
      <c r="AK42" s="979">
        <f>AK40+AK41</f>
        <v>297.8</v>
      </c>
      <c r="AL42" s="977">
        <f>AL40+AL41</f>
        <v>336.5</v>
      </c>
      <c r="AM42" s="977">
        <f>AM40+AM41</f>
        <v>373.5</v>
      </c>
      <c r="AN42" s="980">
        <f>AN40+AN41</f>
        <v>418.8</v>
      </c>
      <c r="AO42" s="978">
        <f>AO40+AO41</f>
        <v>418.8</v>
      </c>
      <c r="AP42" s="977"/>
      <c r="AQ42" s="979">
        <f>AQ40+AQ41</f>
        <v>417.9</v>
      </c>
      <c r="AR42" s="977">
        <f>AR40+AR41</f>
        <v>412.59999999999997</v>
      </c>
      <c r="AS42" s="977">
        <f>AS40+AS41</f>
        <v>493.99999999999994</v>
      </c>
      <c r="AT42" s="980">
        <f>AT40+AT41</f>
        <v>527.40000000000009</v>
      </c>
      <c r="AU42" s="978">
        <f>AU40+AU41</f>
        <v>527.40000000000009</v>
      </c>
      <c r="AV42" s="977"/>
      <c r="AW42" s="979">
        <f>AW40+AW41</f>
        <v>571.5</v>
      </c>
      <c r="AX42" s="977">
        <f>AX40+AX41</f>
        <v>630.79999999999995</v>
      </c>
      <c r="AY42" s="977">
        <f>AY40+AY41</f>
        <v>603.1</v>
      </c>
      <c r="AZ42" s="980">
        <f>AZ40+AZ41</f>
        <v>624.9</v>
      </c>
      <c r="BA42" s="978">
        <f>BA40+BA41</f>
        <v>624.9</v>
      </c>
      <c r="BB42" s="977"/>
      <c r="BC42" s="983">
        <f>BC40+BC41</f>
        <v>662.1</v>
      </c>
      <c r="BD42" s="977">
        <f>BD40+BD41</f>
        <v>641.59999999999991</v>
      </c>
      <c r="BE42" s="977">
        <f>BE40+BE41</f>
        <v>695.69999999999993</v>
      </c>
      <c r="BF42" s="980">
        <f>BF40+BF41</f>
        <v>709.69999999999993</v>
      </c>
      <c r="BG42" s="978">
        <f>BG40+BG41</f>
        <v>709.69999999999993</v>
      </c>
      <c r="BH42" s="977"/>
      <c r="BI42" s="983">
        <f>BI40+BI41</f>
        <v>692.6</v>
      </c>
      <c r="BJ42" s="977">
        <f>BJ40+BJ41</f>
        <v>722.69999999999993</v>
      </c>
      <c r="BK42" s="977">
        <f>BK40+BK41</f>
        <v>780.60000000000014</v>
      </c>
      <c r="BL42" s="977">
        <f>BL40+BL41</f>
        <v>850.20000000000016</v>
      </c>
      <c r="BM42" s="978">
        <f>BM40+BM41</f>
        <v>850.20000000000016</v>
      </c>
      <c r="BN42" s="977"/>
      <c r="BO42" s="983">
        <f>BO40+BO41</f>
        <v>868.3</v>
      </c>
      <c r="BP42" s="977">
        <f>BP40+BP41</f>
        <v>885.4</v>
      </c>
      <c r="BQ42" s="977">
        <f>BQ40+BQ41</f>
        <v>813.1</v>
      </c>
      <c r="BR42" s="977">
        <f>BR40+BR41</f>
        <v>771.70000000000027</v>
      </c>
      <c r="BS42" s="978">
        <f>BS40+BS41</f>
        <v>771.70000000000027</v>
      </c>
      <c r="BT42" s="977"/>
      <c r="BU42" s="983">
        <f>BU40+BU41</f>
        <v>721.59999999999991</v>
      </c>
      <c r="BV42" s="977">
        <f>BV40+BV41</f>
        <v>767.50000000000011</v>
      </c>
      <c r="BW42" s="977">
        <f>BW40+BW41</f>
        <v>768</v>
      </c>
      <c r="BX42" s="977">
        <f>BX40+BX41</f>
        <v>732.9</v>
      </c>
      <c r="BY42" s="978">
        <f>BY40+BY41</f>
        <v>732.9</v>
      </c>
      <c r="BZ42" s="977"/>
      <c r="CA42" s="983">
        <f>CA40+CA41</f>
        <v>709.1</v>
      </c>
      <c r="CB42" s="977">
        <f>CB40+CB41</f>
        <v>670.4</v>
      </c>
      <c r="CC42" s="977">
        <f>CC40+CC41</f>
        <v>700.9</v>
      </c>
      <c r="CD42" s="977">
        <f>CD40+CD41</f>
        <v>693.10000000000025</v>
      </c>
      <c r="CE42" s="978">
        <f>CE40+CE41</f>
        <v>693.10000000000025</v>
      </c>
      <c r="CF42" s="977"/>
      <c r="CG42" s="983">
        <f>CG40+CG41</f>
        <v>731.59999999999991</v>
      </c>
      <c r="CH42" s="977">
        <f>CH40+CH41</f>
        <v>763.09999999999991</v>
      </c>
      <c r="CI42" s="977">
        <f>CI40+CI41</f>
        <v>739.9</v>
      </c>
      <c r="CJ42" s="977">
        <f>CJ40+CJ41</f>
        <v>733.5</v>
      </c>
      <c r="CK42" s="978">
        <f>CK40+CK41</f>
        <v>733.5</v>
      </c>
      <c r="CL42" s="977"/>
      <c r="CM42" s="983">
        <f>CM40+CM41</f>
        <v>722.052866726969</v>
      </c>
      <c r="CN42" s="977">
        <f>CN40+CN41</f>
        <v>712.07050988174603</v>
      </c>
      <c r="CO42" s="977">
        <f>CO40+CO41</f>
        <v>718.2319969918301</v>
      </c>
      <c r="CP42" s="977">
        <f>CP40+CP41</f>
        <v>756.03961673704362</v>
      </c>
      <c r="CQ42" s="978">
        <f>CQ40+CQ41</f>
        <v>756.03961673704362</v>
      </c>
      <c r="CR42" s="977"/>
      <c r="CS42" s="983">
        <f>CS40+CS41</f>
        <v>750.1952796951108</v>
      </c>
      <c r="CT42" s="977">
        <f>CT40+CT41</f>
        <v>747.12963912670352</v>
      </c>
      <c r="CU42" s="977">
        <f>CU40+CU41</f>
        <v>745.16507684993326</v>
      </c>
      <c r="CV42" s="977">
        <f>CV40+CV41</f>
        <v>761.03561499418902</v>
      </c>
      <c r="CW42" s="978">
        <f>CW40+CW41</f>
        <v>761.03561499418902</v>
      </c>
      <c r="CY42" s="983">
        <f>CY40+CY41</f>
        <v>760.39346488277215</v>
      </c>
      <c r="CZ42" s="977">
        <f>CZ40+CZ41</f>
        <v>769.70377806053546</v>
      </c>
      <c r="DA42" s="977">
        <f>DA40+DA41</f>
        <v>780.74504756272495</v>
      </c>
      <c r="DB42" s="977">
        <f>DB40+DB41</f>
        <v>809.4277310742101</v>
      </c>
      <c r="DC42" s="978">
        <f>DC40+DC41</f>
        <v>809.4277310742101</v>
      </c>
      <c r="DE42" s="983">
        <f>DE40+DE41</f>
        <v>819.28145795624687</v>
      </c>
      <c r="DF42" s="977">
        <f>DF40+DF41</f>
        <v>827.20904088975055</v>
      </c>
      <c r="DG42" s="977">
        <f>DG40+DG41</f>
        <v>836.92252607822024</v>
      </c>
      <c r="DH42" s="977">
        <f>DH40+DH41</f>
        <v>867.45397710956922</v>
      </c>
      <c r="DI42" s="978">
        <f>DI40+DI41</f>
        <v>867.45397710956922</v>
      </c>
    </row>
    <row r="43" spans="1:132" ht="11.25" customHeight="1">
      <c r="A43" s="27"/>
      <c r="B43" s="48"/>
      <c r="C43" s="51"/>
      <c r="D43" s="52"/>
      <c r="E43" s="51"/>
      <c r="F43" s="52"/>
      <c r="G43" s="51"/>
      <c r="H43" s="52"/>
      <c r="I43" s="51"/>
      <c r="J43" s="52"/>
      <c r="K43" s="51"/>
      <c r="L43" s="52"/>
      <c r="M43" s="51"/>
      <c r="N43" s="52"/>
      <c r="O43" s="51"/>
      <c r="P43" s="52"/>
      <c r="Q43" s="51"/>
      <c r="R43" s="52"/>
      <c r="S43" s="291"/>
      <c r="T43" s="181"/>
      <c r="U43" s="181"/>
      <c r="V43" s="292"/>
      <c r="W43" s="51"/>
      <c r="X43" s="52"/>
      <c r="Y43" s="291"/>
      <c r="Z43" s="181"/>
      <c r="AA43" s="181"/>
      <c r="AB43" s="292"/>
      <c r="AC43" s="51"/>
      <c r="AD43" s="52"/>
      <c r="AE43" s="291"/>
      <c r="AF43" s="181"/>
      <c r="AG43" s="181"/>
      <c r="AH43" s="292"/>
      <c r="AI43" s="51"/>
      <c r="AJ43" s="52"/>
      <c r="AK43" s="291"/>
      <c r="AL43" s="181"/>
      <c r="AM43" s="181"/>
      <c r="AN43" s="292"/>
      <c r="AO43" s="51"/>
      <c r="AP43" s="52"/>
      <c r="AQ43" s="291"/>
      <c r="AR43" s="181"/>
      <c r="AS43" s="181"/>
      <c r="AT43" s="292"/>
      <c r="AU43" s="51"/>
      <c r="AV43" s="52"/>
      <c r="AW43" s="291"/>
      <c r="AX43" s="181"/>
      <c r="AY43" s="181"/>
      <c r="AZ43" s="292"/>
      <c r="BA43" s="51"/>
      <c r="BB43" s="52"/>
      <c r="BC43" s="288"/>
      <c r="BD43" s="181"/>
      <c r="BE43" s="181"/>
      <c r="BF43" s="181"/>
      <c r="BG43" s="51"/>
      <c r="BH43" s="68"/>
      <c r="BI43" s="288"/>
      <c r="BJ43" s="181"/>
      <c r="BK43" s="181"/>
      <c r="BL43" s="181"/>
      <c r="BM43" s="51"/>
      <c r="BN43" s="68"/>
      <c r="BO43" s="288"/>
      <c r="BP43" s="181"/>
      <c r="BQ43" s="181"/>
      <c r="BR43" s="181"/>
      <c r="BS43" s="51"/>
      <c r="BT43" s="68"/>
      <c r="BU43" s="288"/>
      <c r="BV43" s="181"/>
      <c r="BW43" s="181"/>
      <c r="BX43" s="181"/>
      <c r="BY43" s="51"/>
      <c r="BZ43" s="68"/>
      <c r="CA43" s="288"/>
      <c r="CB43" s="181"/>
      <c r="CC43" s="181"/>
      <c r="CD43" s="181"/>
      <c r="CE43" s="51"/>
      <c r="CF43" s="68"/>
      <c r="CG43" s="288"/>
      <c r="CH43" s="181"/>
      <c r="CI43" s="181"/>
      <c r="CJ43" s="181"/>
      <c r="CK43" s="51"/>
      <c r="CL43" s="68"/>
      <c r="CM43" s="288"/>
      <c r="CN43" s="181"/>
      <c r="CO43" s="181"/>
      <c r="CP43" s="181"/>
      <c r="CQ43" s="51"/>
      <c r="CR43" s="68"/>
      <c r="CS43" s="288"/>
      <c r="CT43" s="181"/>
      <c r="CU43" s="181"/>
      <c r="CV43" s="181"/>
      <c r="CW43" s="51"/>
      <c r="CY43" s="288"/>
      <c r="CZ43" s="181"/>
      <c r="DA43" s="181"/>
      <c r="DB43" s="181"/>
      <c r="DC43" s="51"/>
      <c r="DE43" s="288"/>
      <c r="DF43" s="181"/>
      <c r="DG43" s="181"/>
      <c r="DH43" s="181"/>
      <c r="DI43" s="51"/>
    </row>
    <row r="44" spans="1:132" ht="11.25" customHeight="1">
      <c r="A44" s="57" t="s">
        <v>92</v>
      </c>
      <c r="B44" s="58"/>
      <c r="C44" s="59">
        <f>C31+C32+C42</f>
        <v>63.841314000000004</v>
      </c>
      <c r="D44" s="58"/>
      <c r="E44" s="59">
        <f>E31+E32+E42</f>
        <v>67.308999999999997</v>
      </c>
      <c r="F44" s="58"/>
      <c r="G44" s="59">
        <f>G31+G32+G42</f>
        <v>183.38200000000001</v>
      </c>
      <c r="H44" s="58"/>
      <c r="I44" s="59">
        <f>I31+I32+I42</f>
        <v>189.07400000000001</v>
      </c>
      <c r="J44" s="58"/>
      <c r="K44" s="59">
        <f>K31+K32+K42</f>
        <v>342.15300000000002</v>
      </c>
      <c r="L44" s="58"/>
      <c r="M44" s="59">
        <f>M31+M32+M42</f>
        <v>351.03100000000001</v>
      </c>
      <c r="N44" s="58"/>
      <c r="O44" s="59">
        <f>O31+O32+O42</f>
        <v>371.54700000000003</v>
      </c>
      <c r="P44" s="58"/>
      <c r="Q44" s="59">
        <f>Q31+Q32+Q42</f>
        <v>423.64199999999994</v>
      </c>
      <c r="R44" s="58"/>
      <c r="S44" s="296">
        <f>S31+S32+S42</f>
        <v>369.98</v>
      </c>
      <c r="T44" s="58">
        <f>T31+T32+T42</f>
        <v>379.726</v>
      </c>
      <c r="U44" s="58">
        <f>U31+U32+U42</f>
        <v>409.36699999999996</v>
      </c>
      <c r="V44" s="297">
        <f>V31+V32+V42</f>
        <v>433.18700000000001</v>
      </c>
      <c r="W44" s="59">
        <f>W31+W32+W42</f>
        <v>433.18700000000001</v>
      </c>
      <c r="X44" s="58"/>
      <c r="Y44" s="296">
        <f>Y31+Y32+Y42</f>
        <v>463.09400000000005</v>
      </c>
      <c r="Z44" s="58">
        <f>Z31+Z32+Z42</f>
        <v>460.48599999999999</v>
      </c>
      <c r="AA44" s="58">
        <f>AA31+AA32+AA42</f>
        <v>498.36400000000003</v>
      </c>
      <c r="AB44" s="297">
        <f>AB31+AB32+AB42</f>
        <v>1310.6999999999998</v>
      </c>
      <c r="AC44" s="59">
        <f>AC31+AC32+AC42</f>
        <v>1310.6999999999998</v>
      </c>
      <c r="AD44" s="58"/>
      <c r="AE44" s="296">
        <f>AE31+AE32+AE42</f>
        <v>1397.4289999999999</v>
      </c>
      <c r="AF44" s="58">
        <f>AF31+AF32+AF42</f>
        <v>1171.442</v>
      </c>
      <c r="AG44" s="58">
        <f>AG31+AG32+AG42</f>
        <v>1077.51</v>
      </c>
      <c r="AH44" s="297">
        <f>AH31+AH32+AH42</f>
        <v>1116.3</v>
      </c>
      <c r="AI44" s="59">
        <f>AI31+AI32+AI42</f>
        <v>1116.3</v>
      </c>
      <c r="AJ44" s="58"/>
      <c r="AK44" s="296">
        <f>AK31+AK32+AK42</f>
        <v>1059.1000000000001</v>
      </c>
      <c r="AL44" s="58">
        <f>AL31+AL32+AL42</f>
        <v>1087.5</v>
      </c>
      <c r="AM44" s="58">
        <f>AM31+AM32+AM42</f>
        <v>1124.1999999999998</v>
      </c>
      <c r="AN44" s="297">
        <f>AN31+AN32+AN42</f>
        <v>1172.3</v>
      </c>
      <c r="AO44" s="59">
        <f>AO31+AO32+AO42</f>
        <v>1172.3</v>
      </c>
      <c r="AP44" s="58"/>
      <c r="AQ44" s="296">
        <f>AQ31+AQ32+AQ42</f>
        <v>1159.5999999999999</v>
      </c>
      <c r="AR44" s="58">
        <f>AR31+AR32+AR42</f>
        <v>1140.5</v>
      </c>
      <c r="AS44" s="58">
        <f>AS31+AS32+AS42</f>
        <v>1277.0999999999999</v>
      </c>
      <c r="AT44" s="297">
        <f>AT31+AT32+AT42</f>
        <v>1549.8</v>
      </c>
      <c r="AU44" s="59">
        <f>AU31+AU32+AU42</f>
        <v>1549.8</v>
      </c>
      <c r="AV44" s="58"/>
      <c r="AW44" s="296">
        <f>AW31+AW32+AW42</f>
        <v>1623.8999999999999</v>
      </c>
      <c r="AX44" s="58">
        <f>AX31+AX32+AX42</f>
        <v>1699.9</v>
      </c>
      <c r="AY44" s="58">
        <f>AY31+AY32+AY42</f>
        <v>1670.4</v>
      </c>
      <c r="AZ44" s="297">
        <f>AZ31+AZ32+AZ42</f>
        <v>1710.5</v>
      </c>
      <c r="BA44" s="59">
        <f>BA31+BA32+BA42</f>
        <v>1710.5</v>
      </c>
      <c r="BB44" s="58"/>
      <c r="BC44" s="282">
        <f>BC31+BC32+BC42</f>
        <v>1797.3000000000002</v>
      </c>
      <c r="BD44" s="58">
        <f>BD31+BD32+BD42</f>
        <v>1750.1</v>
      </c>
      <c r="BE44" s="58">
        <f>BE31+BE32+BE42</f>
        <v>1800</v>
      </c>
      <c r="BF44" s="58">
        <f>BF31+BF32+BF42</f>
        <v>1856.3999999999996</v>
      </c>
      <c r="BG44" s="59">
        <f>BG31+BG32+BG42</f>
        <v>1856.3999999999996</v>
      </c>
      <c r="BH44" s="58"/>
      <c r="BI44" s="282">
        <f>BI31+BI32+BI42</f>
        <v>1811.9</v>
      </c>
      <c r="BJ44" s="58">
        <f>BJ31+BJ32+BJ42</f>
        <v>1801.7999999999997</v>
      </c>
      <c r="BK44" s="58">
        <f>BK31+BK32+BK42</f>
        <v>1936.2</v>
      </c>
      <c r="BL44" s="58">
        <f>BL31+BL32+BL42</f>
        <v>1988.3000000000002</v>
      </c>
      <c r="BM44" s="59">
        <f>BM31+BM32+BM42</f>
        <v>1988.3000000000002</v>
      </c>
      <c r="BN44" s="58"/>
      <c r="BO44" s="282">
        <f>BO31+BO32+BO42</f>
        <v>2027.7</v>
      </c>
      <c r="BP44" s="58">
        <f>BP31+BP32+BP42</f>
        <v>2003.9</v>
      </c>
      <c r="BQ44" s="58">
        <f>BQ31+BQ32+BQ42</f>
        <v>1910.6</v>
      </c>
      <c r="BR44" s="58">
        <f>BR31+BR32+BR42</f>
        <v>1864.8000000000004</v>
      </c>
      <c r="BS44" s="59">
        <f>BS31+BS32+BS42</f>
        <v>1864.8000000000004</v>
      </c>
      <c r="BT44" s="58"/>
      <c r="BU44" s="282">
        <f>BU31+BU32+BU42</f>
        <v>1772.6999999999998</v>
      </c>
      <c r="BV44" s="58">
        <f>BV31+BV32+BV42</f>
        <v>1820.4</v>
      </c>
      <c r="BW44" s="58">
        <f>BW31+BW32+BW42</f>
        <v>1842.9</v>
      </c>
      <c r="BX44" s="58">
        <f>BX31+BX32+BX42</f>
        <v>1730.9</v>
      </c>
      <c r="BY44" s="59">
        <f>BY31+BY32+BY42</f>
        <v>1730.9</v>
      </c>
      <c r="BZ44" s="58"/>
      <c r="CA44" s="282">
        <f>CA31+CA32+CA42</f>
        <v>1739.8000000000002</v>
      </c>
      <c r="CB44" s="58">
        <f>CB31+CB32+CB42</f>
        <v>1720.5</v>
      </c>
      <c r="CC44" s="58">
        <f>CC31+CC32+CC42</f>
        <v>1797.9</v>
      </c>
      <c r="CD44" s="58">
        <f>CD31+CD32+CD42</f>
        <v>1808.4000000000005</v>
      </c>
      <c r="CE44" s="59">
        <f>CE31+CE32+CE42</f>
        <v>1808.4000000000005</v>
      </c>
      <c r="CF44" s="58"/>
      <c r="CG44" s="282">
        <f>CG31+CG32+CG42</f>
        <v>1839.8999999999999</v>
      </c>
      <c r="CH44" s="58">
        <f>CH31+CH32+CH42</f>
        <v>1912.8999999999999</v>
      </c>
      <c r="CI44" s="58">
        <f>CI31+CI32+CI42</f>
        <v>1961.5</v>
      </c>
      <c r="CJ44" s="58">
        <f>CJ31+CJ32+CJ42</f>
        <v>1948.5</v>
      </c>
      <c r="CK44" s="59">
        <f>CK31+CK32+CK42</f>
        <v>1948.5</v>
      </c>
      <c r="CL44" s="58"/>
      <c r="CM44" s="282">
        <f>CM31+CM32+CM42</f>
        <v>1947.706438755722</v>
      </c>
      <c r="CN44" s="58">
        <f>CN31+CN32+CN42</f>
        <v>1884.3756016252637</v>
      </c>
      <c r="CO44" s="58">
        <f>CO31+CO32+CO42</f>
        <v>1898.7394498764822</v>
      </c>
      <c r="CP44" s="58">
        <f>CP31+CP32+CP42</f>
        <v>1945.0971585386847</v>
      </c>
      <c r="CQ44" s="59">
        <f>CQ31+CQ32+CQ42</f>
        <v>1945.0971585386847</v>
      </c>
      <c r="CR44" s="58"/>
      <c r="CS44" s="282">
        <f>CS31+CS32+CS42</f>
        <v>1962.4773523581994</v>
      </c>
      <c r="CT44" s="58">
        <f>CT31+CT32+CT42</f>
        <v>1913.6283986441001</v>
      </c>
      <c r="CU44" s="58">
        <f>CU31+CU32+CU42</f>
        <v>1917.6114293549006</v>
      </c>
      <c r="CV44" s="58">
        <f>CV31+CV32+CV42</f>
        <v>1961.6093703164331</v>
      </c>
      <c r="CW44" s="59">
        <f>CW31+CW32+CW42</f>
        <v>1961.6093703164331</v>
      </c>
      <c r="CY44" s="282">
        <f>CY31+CY32+CY42</f>
        <v>1959.4063107147949</v>
      </c>
      <c r="CZ44" s="58">
        <f>CZ31+CZ32+CZ42</f>
        <v>1913.0807834588145</v>
      </c>
      <c r="DA44" s="58">
        <f>DA31+DA32+DA42</f>
        <v>1940.8193964345548</v>
      </c>
      <c r="DB44" s="58">
        <f>DB31+DB32+DB42</f>
        <v>1983.3741412963018</v>
      </c>
      <c r="DC44" s="59">
        <f>DC31+DC32+DC42</f>
        <v>1983.3741412963018</v>
      </c>
      <c r="DE44" s="282">
        <f>DE31+DE32+DE42</f>
        <v>2002.4486033252256</v>
      </c>
      <c r="DF44" s="58">
        <f>DF31+DF32+DF42</f>
        <v>1960.2562339476181</v>
      </c>
      <c r="DG44" s="58">
        <f>DG31+DG32+DG42</f>
        <v>1978.4427225724094</v>
      </c>
      <c r="DH44" s="58">
        <f>DH31+DH32+DH42</f>
        <v>2022.7219199407787</v>
      </c>
      <c r="DI44" s="59">
        <f>DI31+DI32+DI42</f>
        <v>2022.7219199407787</v>
      </c>
    </row>
    <row r="45" spans="1:132" ht="11.25" hidden="1" customHeight="1" outlineLevel="1">
      <c r="A45" s="986" t="s">
        <v>93</v>
      </c>
      <c r="B45" s="987"/>
      <c r="C45" s="988">
        <f>C20-C44</f>
        <v>0</v>
      </c>
      <c r="D45" s="987"/>
      <c r="E45" s="988">
        <f>E20-E44</f>
        <v>0</v>
      </c>
      <c r="F45" s="987"/>
      <c r="G45" s="988">
        <f>G20-G44</f>
        <v>0</v>
      </c>
      <c r="H45" s="987"/>
      <c r="I45" s="988">
        <f>I20-I44</f>
        <v>0</v>
      </c>
      <c r="J45" s="987"/>
      <c r="K45" s="988">
        <f>K20-K44</f>
        <v>0</v>
      </c>
      <c r="L45" s="987"/>
      <c r="M45" s="988">
        <f>M20-M44</f>
        <v>0</v>
      </c>
      <c r="N45" s="987"/>
      <c r="O45" s="988">
        <f>O20-O44</f>
        <v>0</v>
      </c>
      <c r="P45" s="987"/>
      <c r="Q45" s="987">
        <f>Q20-Q44</f>
        <v>0</v>
      </c>
      <c r="R45" s="987"/>
      <c r="S45" s="987">
        <f>S20-S44</f>
        <v>0</v>
      </c>
      <c r="T45" s="987">
        <f>T20-T44</f>
        <v>0</v>
      </c>
      <c r="U45" s="987">
        <f>U20-U44</f>
        <v>0</v>
      </c>
      <c r="V45" s="987">
        <f>V20-V44</f>
        <v>0</v>
      </c>
      <c r="W45" s="987">
        <f>W20-W44</f>
        <v>0</v>
      </c>
      <c r="X45" s="987"/>
      <c r="Y45" s="987">
        <f>Y20-Y44</f>
        <v>0</v>
      </c>
      <c r="Z45" s="987">
        <f>Z20-Z44</f>
        <v>0</v>
      </c>
      <c r="AA45" s="987">
        <f>AA20-AA44</f>
        <v>0</v>
      </c>
      <c r="AB45" s="987">
        <f>AB20-AB44</f>
        <v>0</v>
      </c>
      <c r="AC45" s="987">
        <f>AC20-AC44</f>
        <v>0</v>
      </c>
      <c r="AD45" s="987"/>
      <c r="AE45" s="987">
        <f>AE20-AE44</f>
        <v>0</v>
      </c>
      <c r="AF45" s="987">
        <f>AF20-AF44</f>
        <v>0</v>
      </c>
      <c r="AG45" s="987">
        <f>AG20-AG44</f>
        <v>0</v>
      </c>
      <c r="AH45" s="987">
        <f>AH20-AH44</f>
        <v>0</v>
      </c>
      <c r="AI45" s="987">
        <f>AI20-AI44</f>
        <v>0</v>
      </c>
      <c r="AJ45" s="987"/>
      <c r="AK45" s="987">
        <f>AK20-AK44</f>
        <v>0</v>
      </c>
      <c r="AL45" s="987">
        <f>AL20-AL44</f>
        <v>0</v>
      </c>
      <c r="AM45" s="987">
        <f>AM20-AM44</f>
        <v>0</v>
      </c>
      <c r="AN45" s="987">
        <f>AN20-AN44</f>
        <v>0</v>
      </c>
      <c r="AO45" s="987">
        <f>AO20-AO44</f>
        <v>0</v>
      </c>
      <c r="AP45" s="987"/>
      <c r="AQ45" s="987">
        <f>AQ20-AQ44</f>
        <v>0</v>
      </c>
      <c r="AR45" s="987">
        <f>AR20-AR44</f>
        <v>0</v>
      </c>
      <c r="AS45" s="987">
        <f>AS20-AS44</f>
        <v>0</v>
      </c>
      <c r="AT45" s="987">
        <f>AT20-AT44</f>
        <v>0</v>
      </c>
      <c r="AU45" s="987">
        <f>AU20-AU44</f>
        <v>0</v>
      </c>
      <c r="AV45" s="987"/>
      <c r="AW45" s="987">
        <f>AW20-AW44</f>
        <v>0</v>
      </c>
      <c r="AX45" s="987">
        <f>AX20-AX44</f>
        <v>0</v>
      </c>
      <c r="AY45" s="987">
        <f>AY20-AY44</f>
        <v>0</v>
      </c>
      <c r="AZ45" s="987">
        <f>AZ20-AZ44</f>
        <v>0</v>
      </c>
      <c r="BA45" s="987">
        <f>BA20-BA44</f>
        <v>0</v>
      </c>
      <c r="BB45" s="987"/>
      <c r="BC45" s="987">
        <f>BC20-BC44</f>
        <v>0</v>
      </c>
      <c r="BD45" s="987">
        <f>BD20-BD44</f>
        <v>0</v>
      </c>
      <c r="BE45" s="987">
        <f>BE20-BE44</f>
        <v>0</v>
      </c>
      <c r="BF45" s="987">
        <f>BF20-BF44</f>
        <v>0</v>
      </c>
      <c r="BG45" s="987">
        <f>BG20-BG44</f>
        <v>0</v>
      </c>
      <c r="BH45" s="987"/>
      <c r="BI45" s="987">
        <f>BI20-BI44</f>
        <v>0</v>
      </c>
      <c r="BJ45" s="987">
        <f>BJ20-BJ44</f>
        <v>0</v>
      </c>
      <c r="BK45" s="987">
        <f>BK20-BK44</f>
        <v>0</v>
      </c>
      <c r="BL45" s="987">
        <f>BL20-BL44</f>
        <v>0</v>
      </c>
      <c r="BM45" s="987">
        <f>BM20-BM44</f>
        <v>0</v>
      </c>
      <c r="BN45" s="987"/>
      <c r="BO45" s="987">
        <f>BO20-BO44</f>
        <v>0</v>
      </c>
      <c r="BP45" s="987">
        <f>BP20-BP44</f>
        <v>0</v>
      </c>
      <c r="BQ45" s="987">
        <f>BQ20-BQ44</f>
        <v>0</v>
      </c>
      <c r="BR45" s="987">
        <f>BR20-BR44</f>
        <v>0</v>
      </c>
      <c r="BS45" s="987">
        <f>BS20-BS44</f>
        <v>0</v>
      </c>
      <c r="BT45" s="987"/>
      <c r="BU45" s="987">
        <f>BU20-BU44</f>
        <v>0</v>
      </c>
      <c r="BV45" s="987">
        <f>BV20-BV44</f>
        <v>0</v>
      </c>
      <c r="BW45" s="987">
        <f>BW20-BW44</f>
        <v>0</v>
      </c>
      <c r="BX45" s="987">
        <f>BX20-BX44</f>
        <v>0</v>
      </c>
      <c r="BY45" s="987">
        <f>BY20-BY44</f>
        <v>0</v>
      </c>
      <c r="BZ45" s="987"/>
      <c r="CA45" s="987">
        <f>CA20-CA44</f>
        <v>0</v>
      </c>
      <c r="CB45" s="987">
        <f>CB20-CB44</f>
        <v>0</v>
      </c>
      <c r="CC45" s="987">
        <f>CC20-CC44</f>
        <v>0</v>
      </c>
      <c r="CD45" s="2042">
        <f>CD20-CD44</f>
        <v>0</v>
      </c>
      <c r="CE45" s="987">
        <f>CE20-CE44</f>
        <v>0</v>
      </c>
      <c r="CF45" s="987"/>
      <c r="CG45" s="987">
        <f>CG20-CG44</f>
        <v>0</v>
      </c>
      <c r="CH45" s="987">
        <f>CH20-CH44</f>
        <v>0</v>
      </c>
      <c r="CI45" s="987">
        <f>CI20-CI44</f>
        <v>0</v>
      </c>
      <c r="CJ45" s="2042">
        <f>CJ20-CJ44</f>
        <v>0</v>
      </c>
      <c r="CK45" s="987">
        <f>CK20-CK44</f>
        <v>0</v>
      </c>
      <c r="CL45" s="987"/>
      <c r="CM45" s="987">
        <f>CM20-CM44</f>
        <v>0</v>
      </c>
      <c r="CN45" s="987">
        <f>CN20-CN44</f>
        <v>0</v>
      </c>
      <c r="CO45" s="987">
        <f>CO20-CO44</f>
        <v>0</v>
      </c>
      <c r="CP45" s="987">
        <f>CP20-CP44</f>
        <v>0</v>
      </c>
      <c r="CQ45" s="987">
        <f>CQ20-CQ44</f>
        <v>0</v>
      </c>
      <c r="CR45" s="987"/>
      <c r="CS45" s="987">
        <f>CS20-CS44</f>
        <v>0</v>
      </c>
      <c r="CT45" s="987">
        <f>CT20-CT44</f>
        <v>0</v>
      </c>
      <c r="CU45" s="987">
        <f>CU20-CU44</f>
        <v>0</v>
      </c>
      <c r="CV45" s="987">
        <f>CV20-CV44</f>
        <v>0</v>
      </c>
      <c r="CW45" s="987">
        <f>CW20-CW44</f>
        <v>0</v>
      </c>
      <c r="CY45" s="987">
        <f>CY20-CY44</f>
        <v>0</v>
      </c>
      <c r="CZ45" s="987">
        <f>CZ20-CZ44</f>
        <v>0</v>
      </c>
      <c r="DA45" s="987">
        <f>DA20-DA44</f>
        <v>0</v>
      </c>
      <c r="DB45" s="987">
        <f>DB20-DB44</f>
        <v>0</v>
      </c>
      <c r="DC45" s="987">
        <f>DC20-DC44</f>
        <v>0</v>
      </c>
      <c r="DE45" s="987">
        <f>DE20-DE44</f>
        <v>0</v>
      </c>
      <c r="DF45" s="987">
        <f>DF20-DF44</f>
        <v>0</v>
      </c>
      <c r="DG45" s="987">
        <f>DG20-DG44</f>
        <v>0</v>
      </c>
      <c r="DH45" s="987">
        <f>DH20-DH44</f>
        <v>0</v>
      </c>
      <c r="DI45" s="987">
        <f>DI20-DI44</f>
        <v>0</v>
      </c>
    </row>
    <row r="46" spans="1:132" ht="11.25" hidden="1" customHeight="1" outlineLevel="1">
      <c r="A46" s="70" t="s">
        <v>94</v>
      </c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H46" s="71"/>
      <c r="AI46" s="71"/>
      <c r="AJ46" s="71"/>
      <c r="AK46" s="71"/>
      <c r="AL46" s="71"/>
      <c r="AM46" s="71"/>
      <c r="AN46" s="71"/>
      <c r="AO46" s="71"/>
      <c r="AP46" s="71"/>
      <c r="AQ46" s="71"/>
      <c r="AR46" s="71"/>
      <c r="AS46" s="71"/>
      <c r="AT46" s="71"/>
      <c r="AU46" s="71"/>
      <c r="AV46" s="71"/>
      <c r="AW46" s="71"/>
      <c r="AX46" s="71"/>
      <c r="AY46" s="71"/>
      <c r="AZ46" s="71"/>
      <c r="BA46" s="71"/>
      <c r="BB46" s="71"/>
      <c r="BC46" s="71"/>
      <c r="BD46" s="721"/>
      <c r="BE46" s="71"/>
      <c r="BF46" s="71"/>
      <c r="BG46" s="71"/>
      <c r="BH46" s="71"/>
      <c r="BI46" s="719"/>
      <c r="BJ46" s="71"/>
      <c r="BK46" s="71"/>
      <c r="BL46" s="71"/>
      <c r="BM46" s="71"/>
      <c r="BN46" s="71"/>
      <c r="BO46" s="71"/>
      <c r="BP46" s="71"/>
      <c r="BQ46" s="71"/>
      <c r="BR46" s="71"/>
      <c r="BS46" s="71"/>
      <c r="BT46" s="71"/>
      <c r="BU46" s="71"/>
      <c r="BV46" s="71"/>
      <c r="BW46" s="71"/>
      <c r="BX46" s="71"/>
      <c r="BY46" s="70"/>
      <c r="BZ46" s="71"/>
      <c r="CA46" s="71"/>
      <c r="CB46" s="71"/>
      <c r="CC46" s="71"/>
      <c r="CD46" s="71"/>
      <c r="CE46" s="70"/>
      <c r="CF46" s="71"/>
      <c r="CG46" s="71"/>
      <c r="CH46" s="71"/>
      <c r="CI46" s="71"/>
      <c r="CJ46" s="71"/>
      <c r="CK46" s="70"/>
      <c r="CL46" s="71"/>
      <c r="CM46" s="71"/>
      <c r="CN46" s="71"/>
      <c r="CO46" s="71"/>
      <c r="CP46" s="71"/>
      <c r="CQ46" s="70"/>
      <c r="CR46" s="71"/>
      <c r="CS46" s="71"/>
      <c r="CT46" s="71"/>
      <c r="CU46" s="71"/>
      <c r="CV46" s="71"/>
      <c r="CW46" s="70"/>
      <c r="CY46" s="71"/>
      <c r="CZ46" s="71"/>
      <c r="DA46" s="71"/>
      <c r="DB46" s="71"/>
      <c r="DC46" s="70"/>
      <c r="DE46" s="71"/>
      <c r="DF46" s="71"/>
      <c r="DG46" s="71"/>
      <c r="DH46" s="71"/>
      <c r="DI46" s="70"/>
    </row>
    <row r="47" spans="1:132" ht="11.25" customHeight="1" collapsed="1">
      <c r="A47" s="72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71"/>
      <c r="AM47" s="71"/>
      <c r="AN47" s="71"/>
      <c r="AO47" s="71"/>
      <c r="AP47" s="71"/>
      <c r="AQ47" s="71"/>
      <c r="AR47" s="71"/>
      <c r="AS47" s="71"/>
      <c r="AT47" s="71"/>
      <c r="AU47" s="71"/>
      <c r="AV47" s="71"/>
      <c r="AW47" s="71"/>
      <c r="AX47" s="71"/>
      <c r="AY47" s="71"/>
      <c r="AZ47" s="71"/>
      <c r="BA47" s="71"/>
      <c r="BB47" s="71"/>
      <c r="BC47" s="71"/>
      <c r="BD47" s="71"/>
      <c r="BE47" s="71"/>
      <c r="BF47" s="71"/>
      <c r="BG47" s="71"/>
      <c r="BH47" s="71"/>
      <c r="BI47" s="719"/>
      <c r="BJ47" s="71"/>
      <c r="BK47" s="71"/>
      <c r="BL47" s="71"/>
      <c r="BM47" s="71"/>
      <c r="BN47" s="71"/>
      <c r="BO47" s="71"/>
      <c r="BP47" s="71"/>
      <c r="BQ47" s="71"/>
      <c r="BR47" s="71"/>
      <c r="BS47" s="70"/>
      <c r="BT47" s="71"/>
      <c r="BU47" s="71"/>
      <c r="BV47" s="71"/>
      <c r="BW47" s="71"/>
      <c r="BX47" s="71"/>
      <c r="BY47" s="70"/>
      <c r="BZ47" s="71"/>
      <c r="CA47" s="71"/>
      <c r="CB47" s="71"/>
      <c r="CC47" s="71"/>
      <c r="CD47" s="71"/>
      <c r="CE47" s="70"/>
      <c r="CF47" s="71"/>
      <c r="CG47" s="71"/>
      <c r="CH47" s="71"/>
      <c r="CI47" s="71"/>
      <c r="CJ47" s="71"/>
      <c r="CK47" s="70"/>
      <c r="CL47" s="71"/>
      <c r="CM47" s="71"/>
      <c r="CN47" s="71"/>
      <c r="CO47" s="71"/>
      <c r="CP47" s="71"/>
      <c r="CQ47" s="70"/>
      <c r="CR47" s="71"/>
      <c r="CS47" s="71"/>
      <c r="CT47" s="71"/>
      <c r="CU47" s="71"/>
      <c r="CV47" s="71"/>
      <c r="CW47" s="70"/>
      <c r="CY47" s="71"/>
      <c r="CZ47" s="71"/>
      <c r="DA47" s="71"/>
      <c r="DB47" s="71"/>
      <c r="DC47" s="70"/>
      <c r="DE47" s="71"/>
      <c r="DF47" s="71"/>
      <c r="DG47" s="71"/>
      <c r="DH47" s="71"/>
      <c r="DI47" s="70"/>
    </row>
    <row r="48" spans="1:132" ht="11.25" hidden="1" customHeight="1" outlineLevel="1">
      <c r="A48" s="73" t="s">
        <v>95</v>
      </c>
      <c r="B48" s="74"/>
      <c r="C48" s="75"/>
      <c r="D48" s="74"/>
      <c r="E48" s="75"/>
      <c r="F48" s="74"/>
      <c r="G48" s="75"/>
      <c r="H48" s="74"/>
      <c r="I48" s="75"/>
      <c r="J48" s="74"/>
      <c r="K48" s="75"/>
      <c r="L48" s="74"/>
      <c r="M48" s="75"/>
      <c r="N48" s="74"/>
      <c r="O48" s="75"/>
      <c r="P48" s="74"/>
      <c r="Q48" s="75"/>
      <c r="R48" s="74"/>
      <c r="S48" s="74"/>
      <c r="T48" s="74"/>
      <c r="U48" s="74"/>
      <c r="V48" s="74"/>
      <c r="W48" s="74"/>
      <c r="X48" s="74"/>
      <c r="Y48" s="74"/>
      <c r="Z48" s="74"/>
      <c r="AA48" s="74"/>
      <c r="AB48" s="74"/>
      <c r="AC48" s="74"/>
      <c r="AD48" s="74"/>
      <c r="AE48" s="74"/>
      <c r="AF48" s="74"/>
      <c r="AG48" s="74"/>
      <c r="AH48" s="74"/>
      <c r="AI48" s="74"/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  <c r="AW48" s="74"/>
      <c r="AX48" s="74"/>
      <c r="AY48" s="74"/>
      <c r="AZ48" s="74"/>
      <c r="BA48" s="74"/>
      <c r="BB48" s="74"/>
      <c r="BC48" s="74"/>
      <c r="BD48" s="74"/>
      <c r="BE48" s="74"/>
      <c r="BF48" s="74"/>
      <c r="BG48" s="74"/>
      <c r="BH48" s="74"/>
      <c r="BI48" s="74"/>
      <c r="BJ48" s="74"/>
      <c r="BK48" s="74"/>
      <c r="BL48" s="74"/>
      <c r="BM48" s="74"/>
      <c r="BN48" s="74"/>
      <c r="BO48" s="74"/>
      <c r="BP48" s="74"/>
      <c r="BQ48" s="74"/>
      <c r="BR48" s="74"/>
      <c r="BS48" s="76"/>
      <c r="BT48" s="74"/>
      <c r="BU48" s="74"/>
      <c r="BV48" s="74"/>
      <c r="BW48" s="74"/>
      <c r="BX48" s="74"/>
      <c r="BY48" s="76"/>
      <c r="BZ48" s="74"/>
      <c r="CA48" s="74"/>
      <c r="CB48" s="74"/>
      <c r="CC48" s="74"/>
      <c r="CD48" s="74"/>
      <c r="CE48" s="76"/>
      <c r="CF48" s="74"/>
      <c r="CG48" s="74"/>
      <c r="CH48" s="74"/>
      <c r="CI48" s="74"/>
      <c r="CJ48" s="74"/>
      <c r="CK48" s="76"/>
      <c r="CL48" s="74"/>
      <c r="CM48" s="74"/>
      <c r="CN48" s="74"/>
      <c r="CO48" s="74"/>
      <c r="CP48" s="74"/>
      <c r="CQ48" s="76"/>
      <c r="CR48" s="74"/>
      <c r="CS48" s="74"/>
      <c r="CT48" s="74"/>
      <c r="CU48" s="74"/>
      <c r="CV48" s="74"/>
      <c r="CW48" s="76"/>
      <c r="CY48" s="74"/>
      <c r="CZ48" s="74"/>
      <c r="DA48" s="74"/>
      <c r="DB48" s="74"/>
      <c r="DC48" s="76"/>
      <c r="DE48" s="74"/>
      <c r="DF48" s="74"/>
      <c r="DG48" s="74"/>
      <c r="DH48" s="74"/>
      <c r="DI48" s="76"/>
    </row>
    <row r="49" spans="1:119" ht="11.25" hidden="1" customHeight="1" outlineLevel="1">
      <c r="A49" s="77" t="s">
        <v>96</v>
      </c>
      <c r="B49" s="78"/>
      <c r="C49" s="79">
        <f>C23+C29</f>
        <v>17.923736999999999</v>
      </c>
      <c r="D49" s="78"/>
      <c r="E49" s="79">
        <f>E23+E29</f>
        <v>15.34</v>
      </c>
      <c r="F49" s="78"/>
      <c r="G49" s="79">
        <f>G23+G29</f>
        <v>12.037000000000001</v>
      </c>
      <c r="H49" s="78"/>
      <c r="I49" s="79">
        <f>I23+I29</f>
        <v>15.208</v>
      </c>
      <c r="J49" s="78"/>
      <c r="K49" s="79">
        <f>K23+K29</f>
        <v>35.768000000000001</v>
      </c>
      <c r="L49" s="78"/>
      <c r="M49" s="79">
        <f>M23+M29</f>
        <v>44.960999999999999</v>
      </c>
      <c r="N49" s="78"/>
      <c r="O49" s="79">
        <f>O23+O29</f>
        <v>39.968000000000004</v>
      </c>
      <c r="P49" s="78"/>
      <c r="Q49" s="79">
        <f>Q23+Q29</f>
        <v>34.634</v>
      </c>
      <c r="R49" s="78"/>
      <c r="S49" s="312">
        <f>S23+S29</f>
        <v>30.838000000000001</v>
      </c>
      <c r="T49" s="338">
        <f>T23+T29</f>
        <v>31.582000000000001</v>
      </c>
      <c r="U49" s="338">
        <f>U23+U29</f>
        <v>56.399000000000001</v>
      </c>
      <c r="V49" s="339">
        <f>V23+V29</f>
        <v>44.72</v>
      </c>
      <c r="W49" s="79">
        <f>W23+W29</f>
        <v>44.72</v>
      </c>
      <c r="X49" s="78"/>
      <c r="Y49" s="312">
        <f>Y23+Y29</f>
        <v>34.383000000000003</v>
      </c>
      <c r="Z49" s="338">
        <f>Z23+Z29</f>
        <v>32.959000000000003</v>
      </c>
      <c r="AA49" s="338">
        <f>AA23+AA29</f>
        <v>39.091999999999999</v>
      </c>
      <c r="AB49" s="339">
        <f>AB23+AB29</f>
        <v>44.199999999999996</v>
      </c>
      <c r="AC49" s="79">
        <f>AC23+AC29</f>
        <v>44.199999999999996</v>
      </c>
      <c r="AD49" s="78"/>
      <c r="AE49" s="312">
        <f>AE23+AE29</f>
        <v>422.524</v>
      </c>
      <c r="AF49" s="338">
        <f>AF23+AF29</f>
        <v>242.14999999999998</v>
      </c>
      <c r="AG49" s="338">
        <f>AG23+AG29</f>
        <v>213.97900000000001</v>
      </c>
      <c r="AH49" s="339">
        <f>AH23+AH29</f>
        <v>223.8</v>
      </c>
      <c r="AI49" s="79">
        <f>AI23+AI29</f>
        <v>223.8</v>
      </c>
      <c r="AJ49" s="78"/>
      <c r="AK49" s="312">
        <f>AK23+AK29</f>
        <v>203.6</v>
      </c>
      <c r="AL49" s="338">
        <f>AL23+AL29</f>
        <v>170.7</v>
      </c>
      <c r="AM49" s="338">
        <f>AM23+AM29</f>
        <v>151.30000000000001</v>
      </c>
      <c r="AN49" s="339">
        <f>AN23+AN29</f>
        <v>137.69999999999999</v>
      </c>
      <c r="AO49" s="79">
        <f>AO23+AO29</f>
        <v>137.69999999999999</v>
      </c>
      <c r="AP49" s="78"/>
      <c r="AQ49" s="312">
        <f>AQ23+AQ29</f>
        <v>133.19999999999999</v>
      </c>
      <c r="AR49" s="338">
        <f>AR23+AR29</f>
        <v>126.69999999999999</v>
      </c>
      <c r="AS49" s="338">
        <f>AS23+AS29</f>
        <v>121.4</v>
      </c>
      <c r="AT49" s="339">
        <f>AT23+AT29</f>
        <v>301</v>
      </c>
      <c r="AU49" s="79">
        <f>AU23+AU29</f>
        <v>301</v>
      </c>
      <c r="AV49" s="78"/>
      <c r="AW49" s="312">
        <f>AW23+AW29</f>
        <v>295.39999999999998</v>
      </c>
      <c r="AX49" s="338">
        <f>AX23+AX29</f>
        <v>287.8</v>
      </c>
      <c r="AY49" s="338">
        <f>AY23+AY29</f>
        <v>311.40000000000003</v>
      </c>
      <c r="AZ49" s="339">
        <f>AZ23+AZ29</f>
        <v>303.10000000000002</v>
      </c>
      <c r="BA49" s="79">
        <f>BA23+BA29</f>
        <v>303.10000000000002</v>
      </c>
      <c r="BB49" s="80"/>
      <c r="BC49" s="312">
        <f>BC23+BC29</f>
        <v>319.60000000000002</v>
      </c>
      <c r="BD49" s="338">
        <f>BD23+BD29</f>
        <v>320.89999999999998</v>
      </c>
      <c r="BE49" s="338">
        <f>BE23+BE29</f>
        <v>336.9</v>
      </c>
      <c r="BF49" s="339">
        <f>BF23+BF29</f>
        <v>337.2</v>
      </c>
      <c r="BG49" s="79">
        <f>BG23+BG29</f>
        <v>337.2</v>
      </c>
      <c r="BH49" s="78"/>
      <c r="BI49" s="312">
        <f>BI23+BI29</f>
        <v>336.6</v>
      </c>
      <c r="BJ49" s="338">
        <f>BJ23+BJ29</f>
        <v>336.5</v>
      </c>
      <c r="BK49" s="338">
        <f>BK23+BK29</f>
        <v>355.7</v>
      </c>
      <c r="BL49" s="339">
        <f>BL23+BL29</f>
        <v>355</v>
      </c>
      <c r="BM49" s="79">
        <f>BM23+BM29</f>
        <v>355</v>
      </c>
      <c r="BN49" s="78"/>
      <c r="BO49" s="312">
        <f>BO23+BO29</f>
        <v>354.8</v>
      </c>
      <c r="BP49" s="338">
        <f>BP23+BP29</f>
        <v>355.7</v>
      </c>
      <c r="BQ49" s="338">
        <f>BQ23+BQ29</f>
        <v>355.2</v>
      </c>
      <c r="BR49" s="339">
        <f>BR23+BR29</f>
        <v>355</v>
      </c>
      <c r="BS49" s="79">
        <f>BS23+BS29</f>
        <v>355</v>
      </c>
      <c r="BT49" s="78"/>
      <c r="BU49" s="312">
        <f>BU23+BU29</f>
        <v>354.59999999999997</v>
      </c>
      <c r="BV49" s="338">
        <f>BV23+BV29</f>
        <v>364.6</v>
      </c>
      <c r="BW49" s="338">
        <f>BW23+BW29</f>
        <v>371.4</v>
      </c>
      <c r="BX49" s="339">
        <f>BX23+BX29</f>
        <v>266.7</v>
      </c>
      <c r="BY49" s="79">
        <f>BY23+BY29</f>
        <v>266.7</v>
      </c>
      <c r="BZ49" s="78"/>
      <c r="CA49" s="312">
        <f>CA23+CA29</f>
        <v>302.2</v>
      </c>
      <c r="CB49" s="338">
        <f>CB23+CB29</f>
        <v>343</v>
      </c>
      <c r="CC49" s="338">
        <f>CC23+CC29</f>
        <v>364.9</v>
      </c>
      <c r="CD49" s="339">
        <f>CD23+CD29</f>
        <v>411.70000000000005</v>
      </c>
      <c r="CE49" s="79">
        <f>CE23+CE29</f>
        <v>411.70000000000005</v>
      </c>
      <c r="CF49" s="78"/>
      <c r="CG49" s="312">
        <f>CG23+CG29</f>
        <v>384.8</v>
      </c>
      <c r="CH49" s="338">
        <f>CH23+CH29</f>
        <v>430.8</v>
      </c>
      <c r="CI49" s="338">
        <f>CI23+CI29</f>
        <v>480.5</v>
      </c>
      <c r="CJ49" s="339">
        <f>CJ23+CJ29</f>
        <v>415.6</v>
      </c>
      <c r="CK49" s="79">
        <f>CK23+CK29</f>
        <v>415.6</v>
      </c>
      <c r="CL49" s="78"/>
      <c r="CM49" s="312">
        <f>CM23+CM29</f>
        <v>415.6</v>
      </c>
      <c r="CN49" s="338">
        <f>CN23+CN29</f>
        <v>415.6</v>
      </c>
      <c r="CO49" s="338">
        <f>CO23+CO29</f>
        <v>415.6</v>
      </c>
      <c r="CP49" s="339">
        <f>CP23+CP29</f>
        <v>415.6</v>
      </c>
      <c r="CQ49" s="79">
        <f>CQ23+CQ29</f>
        <v>415.6</v>
      </c>
      <c r="CR49" s="78"/>
      <c r="CS49" s="312">
        <f>CS23+CS29</f>
        <v>415.6</v>
      </c>
      <c r="CT49" s="338">
        <f>CT23+CT29</f>
        <v>415.6</v>
      </c>
      <c r="CU49" s="338">
        <f>CU23+CU29</f>
        <v>415.6</v>
      </c>
      <c r="CV49" s="339">
        <f>CV23+CV29</f>
        <v>415.6</v>
      </c>
      <c r="CW49" s="79">
        <f>CW23+CW29</f>
        <v>415.6</v>
      </c>
      <c r="CY49" s="312">
        <f>CY23+CY29</f>
        <v>415.6</v>
      </c>
      <c r="CZ49" s="338">
        <f>CZ23+CZ29</f>
        <v>415.6</v>
      </c>
      <c r="DA49" s="338">
        <f>DA23+DA29</f>
        <v>415.6</v>
      </c>
      <c r="DB49" s="339">
        <f>DB23+DB29</f>
        <v>415.6</v>
      </c>
      <c r="DC49" s="79">
        <f>DC23+DC29</f>
        <v>415.6</v>
      </c>
      <c r="DE49" s="312">
        <f>DE23+DE29</f>
        <v>415.6</v>
      </c>
      <c r="DF49" s="338">
        <f>DF23+DF29</f>
        <v>415.6</v>
      </c>
      <c r="DG49" s="338">
        <f>DG23+DG29</f>
        <v>415.6</v>
      </c>
      <c r="DH49" s="339">
        <f>DH23+DH29</f>
        <v>415.6</v>
      </c>
      <c r="DI49" s="79">
        <f>DI23+DI29</f>
        <v>415.6</v>
      </c>
    </row>
    <row r="50" spans="1:119" ht="11.25" hidden="1" customHeight="1" outlineLevel="1">
      <c r="A50" s="77" t="s">
        <v>97</v>
      </c>
      <c r="B50" s="78"/>
      <c r="C50" s="82">
        <f>C49-C10-C11</f>
        <v>16.788820999999999</v>
      </c>
      <c r="D50" s="78"/>
      <c r="E50" s="82">
        <f>E49-E10-E11</f>
        <v>12.897</v>
      </c>
      <c r="F50" s="78"/>
      <c r="G50" s="82">
        <f>G49-G10-G11</f>
        <v>-82.591999999999999</v>
      </c>
      <c r="H50" s="78"/>
      <c r="I50" s="82">
        <f>I49-I10-I11</f>
        <v>-54.923000000000002</v>
      </c>
      <c r="J50" s="78"/>
      <c r="K50" s="82">
        <f>K49-K10-K11</f>
        <v>-63.794000000000004</v>
      </c>
      <c r="L50" s="78"/>
      <c r="M50" s="82">
        <f>M49-M10-M11</f>
        <v>-31.875999999999998</v>
      </c>
      <c r="N50" s="78"/>
      <c r="O50" s="82">
        <f>O49-O10-O11</f>
        <v>-37.722999999999992</v>
      </c>
      <c r="P50" s="78"/>
      <c r="Q50" s="82">
        <f>Q49-Q10-Q11</f>
        <v>-74.417000000000002</v>
      </c>
      <c r="R50" s="78"/>
      <c r="S50" s="313">
        <f>S49-S10-S11</f>
        <v>-65.13300000000001</v>
      </c>
      <c r="T50" s="78">
        <f>T49-T10-T11</f>
        <v>-65.01400000000001</v>
      </c>
      <c r="U50" s="78">
        <f>U49-U10-U11</f>
        <v>12.247999999999998</v>
      </c>
      <c r="V50" s="340">
        <f>V49-V10-V11</f>
        <v>-7.4269999999999996</v>
      </c>
      <c r="W50" s="82">
        <f>W49-W10-W11</f>
        <v>-7.4269999999999996</v>
      </c>
      <c r="X50" s="78"/>
      <c r="Y50" s="313">
        <f>Y49-Y10-Y11</f>
        <v>-21.308999999999997</v>
      </c>
      <c r="Z50" s="78">
        <f>Z49-Z10-Z11</f>
        <v>-8.9739999999999966</v>
      </c>
      <c r="AA50" s="78">
        <f>AA49-AA10-AA11</f>
        <v>0.18799999999999528</v>
      </c>
      <c r="AB50" s="340">
        <f>AB49-AB10-AB11</f>
        <v>-300.39999999999998</v>
      </c>
      <c r="AC50" s="82">
        <f>AC49-AC10-AC11</f>
        <v>-300.39999999999998</v>
      </c>
      <c r="AD50" s="78"/>
      <c r="AE50" s="313">
        <f>AE49-AE10-AE11</f>
        <v>101.24200000000002</v>
      </c>
      <c r="AF50" s="78">
        <f>AF49-AF10-AF11</f>
        <v>110.35999999999997</v>
      </c>
      <c r="AG50" s="78">
        <f>AG49-AG10-AG11</f>
        <v>126.61200000000001</v>
      </c>
      <c r="AH50" s="340">
        <f>AH49-AH10-AH11</f>
        <v>56.100000000000023</v>
      </c>
      <c r="AI50" s="82">
        <f>AI49-AI10-AI11</f>
        <v>56.100000000000023</v>
      </c>
      <c r="AJ50" s="78"/>
      <c r="AK50" s="313">
        <f>AK49-AK10-AK11</f>
        <v>53.699999999999989</v>
      </c>
      <c r="AL50" s="78">
        <f>AL49-AL10-AL11</f>
        <v>16.399999999999995</v>
      </c>
      <c r="AM50" s="78">
        <f>AM49-AM10-AM11</f>
        <v>0.80000000000001137</v>
      </c>
      <c r="AN50" s="340">
        <f>AN49-AN10-AN11</f>
        <v>-71.400000000000006</v>
      </c>
      <c r="AO50" s="82">
        <f>AO49-AO10-AO11</f>
        <v>-71.400000000000006</v>
      </c>
      <c r="AP50" s="78"/>
      <c r="AQ50" s="313">
        <f>AQ49-AQ10-AQ11</f>
        <v>-73.400000000000006</v>
      </c>
      <c r="AR50" s="78">
        <f>AR49-AR10-AR11</f>
        <v>-63.400000000000006</v>
      </c>
      <c r="AS50" s="78">
        <f>AS49-AS10-AS11</f>
        <v>-69.099999999999994</v>
      </c>
      <c r="AT50" s="340">
        <f>AT49-AT10-AT11</f>
        <v>67.699999999999989</v>
      </c>
      <c r="AU50" s="82">
        <f>AU49-AU10-AU11</f>
        <v>67.699999999999989</v>
      </c>
      <c r="AV50" s="78"/>
      <c r="AW50" s="313">
        <f>AW49-AW10-AW11</f>
        <v>99.099999999999966</v>
      </c>
      <c r="AX50" s="78">
        <f>AX49-AX10-AX11</f>
        <v>114.7</v>
      </c>
      <c r="AY50" s="78">
        <f>AY49-AY10-AY11</f>
        <v>112.60000000000002</v>
      </c>
      <c r="AZ50" s="340">
        <f>AZ49-AZ10-AZ11</f>
        <v>54.90000000000002</v>
      </c>
      <c r="BA50" s="82">
        <f>BA49-BA10-BA11</f>
        <v>54.90000000000002</v>
      </c>
      <c r="BB50" s="80"/>
      <c r="BC50" s="313">
        <f>BC49-BC10-BC11</f>
        <v>86.500000000000028</v>
      </c>
      <c r="BD50" s="78">
        <f>BD49-BD10-BD11</f>
        <v>80.599999999999966</v>
      </c>
      <c r="BE50" s="78">
        <f>BE49-BE10-BE11</f>
        <v>94.799999999999983</v>
      </c>
      <c r="BF50" s="340">
        <f>BF49-BF10-BF11</f>
        <v>26.599999999999966</v>
      </c>
      <c r="BG50" s="82">
        <f>BG49-BG10-BG11</f>
        <v>26.599999999999966</v>
      </c>
      <c r="BH50" s="78"/>
      <c r="BI50" s="313">
        <f>BI49-BI10-BI11</f>
        <v>67.200000000000045</v>
      </c>
      <c r="BJ50" s="78">
        <f>BJ49-BJ10-BJ11</f>
        <v>85.6</v>
      </c>
      <c r="BK50" s="78">
        <f>BK49-BK10-BK11</f>
        <v>48.899999999999977</v>
      </c>
      <c r="BL50" s="340">
        <f>BL49-BL10-BL11</f>
        <v>-83.699999999999989</v>
      </c>
      <c r="BM50" s="82">
        <f>BM49-BM10-BM11</f>
        <v>-83.699999999999989</v>
      </c>
      <c r="BN50" s="78"/>
      <c r="BO50" s="313">
        <f>BO49-BO10-BO11</f>
        <v>-99.199999999999989</v>
      </c>
      <c r="BP50" s="78">
        <f>BP49-BP10-BP11</f>
        <v>-101.90000000000002</v>
      </c>
      <c r="BQ50" s="78">
        <f>BQ49-BQ10-BQ11</f>
        <v>-87.100000000000165</v>
      </c>
      <c r="BR50" s="340">
        <f>BR49-BR10-BR11</f>
        <v>-142.5</v>
      </c>
      <c r="BS50" s="82">
        <f>BS49-BS10-BS11</f>
        <v>-142.5</v>
      </c>
      <c r="BT50" s="78"/>
      <c r="BU50" s="313">
        <f>BU49-BU10-BU11</f>
        <v>-137.70000000000005</v>
      </c>
      <c r="BV50" s="78">
        <f>BV49-BV10-BV11</f>
        <v>-129</v>
      </c>
      <c r="BW50" s="78">
        <f>BW49-BW10-BW11</f>
        <v>-160.90000000000003</v>
      </c>
      <c r="BX50" s="340">
        <f>BX49-BX10-BX11</f>
        <v>-201.60000000000002</v>
      </c>
      <c r="BY50" s="82">
        <f>BY49-BY10-BY11</f>
        <v>-201.60000000000002</v>
      </c>
      <c r="BZ50" s="78"/>
      <c r="CA50" s="313">
        <f>CA49-CA10-CA11</f>
        <v>-118.30000000000018</v>
      </c>
      <c r="CB50" s="78">
        <f>CB49-CB10-CB11</f>
        <v>-77.400000000000006</v>
      </c>
      <c r="CC50" s="78">
        <f>CC49-CC10-CC11</f>
        <v>-76.600000000000023</v>
      </c>
      <c r="CD50" s="340">
        <f>CD49-CD10-CD11</f>
        <v>-88.599999999999937</v>
      </c>
      <c r="CE50" s="82">
        <f>CE49-CE10-CE11</f>
        <v>-88.599999999999937</v>
      </c>
      <c r="CF50" s="78"/>
      <c r="CG50" s="313">
        <f>CG49-CG10-CG11</f>
        <v>-79.699999999999989</v>
      </c>
      <c r="CH50" s="78">
        <f>CH49-CH10-CH11</f>
        <v>-9.4999999999999716</v>
      </c>
      <c r="CI50" s="78">
        <f>CI49-CI10-CI11</f>
        <v>51.300000000000011</v>
      </c>
      <c r="CJ50" s="340">
        <f>CJ49-CJ10-CJ11</f>
        <v>-23.59999999999998</v>
      </c>
      <c r="CK50" s="82">
        <f>CK49-CK10-CK11</f>
        <v>-23.59999999999998</v>
      </c>
      <c r="CL50" s="78"/>
      <c r="CM50" s="313">
        <f>CM49-CM10-CM11</f>
        <v>-11.441845899114938</v>
      </c>
      <c r="CN50" s="78">
        <f>CN49-CN10-CN11</f>
        <v>54.437248524968638</v>
      </c>
      <c r="CO50" s="78">
        <f>CO49-CO10-CO11</f>
        <v>40.308239232120499</v>
      </c>
      <c r="CP50" s="340">
        <f>CP49-CP10-CP11</f>
        <v>8.0965051666318431</v>
      </c>
      <c r="CQ50" s="82">
        <f>CQ49-CQ10-CQ11</f>
        <v>8.0965051666318431</v>
      </c>
      <c r="CR50" s="78"/>
      <c r="CS50" s="313">
        <f>CS49-CS10-CS11</f>
        <v>-77.795654018468568</v>
      </c>
      <c r="CT50" s="78">
        <f>CT49-CT10-CT11</f>
        <v>-11.265657708656946</v>
      </c>
      <c r="CU50" s="78">
        <f>CU49-CU10-CU11</f>
        <v>10.653195493736561</v>
      </c>
      <c r="CV50" s="340">
        <f>CV49-CV10-CV11</f>
        <v>56.546605696715304</v>
      </c>
      <c r="CW50" s="82">
        <f>CW49-CW10-CW11</f>
        <v>56.546605696715304</v>
      </c>
      <c r="CY50" s="313">
        <f>CY49-CY10-CY11</f>
        <v>-52.778353029831308</v>
      </c>
      <c r="CZ50" s="78">
        <f>CZ49-CZ10-CZ11</f>
        <v>-3.5553724707304042</v>
      </c>
      <c r="DA50" s="78">
        <f>DA49-DA10-DA11</f>
        <v>20.065527779129624</v>
      </c>
      <c r="DB50" s="340">
        <f>DB49-DB10-DB11</f>
        <v>62.98920225938663</v>
      </c>
      <c r="DC50" s="82">
        <f>DC49-DC10-DC11</f>
        <v>62.98920225938663</v>
      </c>
      <c r="DE50" s="313">
        <f>DE49-DE10-DE11</f>
        <v>-96.208315405803276</v>
      </c>
      <c r="DF50" s="78">
        <f>DF49-DF10-DF11</f>
        <v>-34.653447620096827</v>
      </c>
      <c r="DG50" s="78">
        <f>DG49-DG10-DG11</f>
        <v>-17.381894170018498</v>
      </c>
      <c r="DH50" s="340">
        <f>DH49-DH10-DH11</f>
        <v>46.473004464208643</v>
      </c>
      <c r="DI50" s="82">
        <f>DI49-DI10-DI11</f>
        <v>46.473004464208643</v>
      </c>
    </row>
    <row r="51" spans="1:119" ht="11.25" hidden="1" customHeight="1" outlineLevel="1">
      <c r="A51" s="83" t="s">
        <v>98</v>
      </c>
      <c r="B51" s="84"/>
      <c r="C51" s="85">
        <f>C50/IS!C42</f>
        <v>0.36898507692307692</v>
      </c>
      <c r="D51" s="84"/>
      <c r="E51" s="85">
        <f>E50/IS!E42</f>
        <v>0.28345054945054948</v>
      </c>
      <c r="F51" s="84"/>
      <c r="G51" s="85">
        <f>G50/IS!G42</f>
        <v>-1.654420896598694</v>
      </c>
      <c r="H51" s="84"/>
      <c r="I51" s="85">
        <f>I50/IS!I42</f>
        <v>-0.99537859291746722</v>
      </c>
      <c r="J51" s="84"/>
      <c r="K51" s="85">
        <f>K50/IS!K42</f>
        <v>-0.82332898829420653</v>
      </c>
      <c r="L51" s="84"/>
      <c r="M51" s="85">
        <f>M50/IS!M42</f>
        <v>-0.39217519685039365</v>
      </c>
      <c r="N51" s="84"/>
      <c r="O51" s="85">
        <f>O50/IS!O42</f>
        <v>-0.42627267077235992</v>
      </c>
      <c r="P51" s="84"/>
      <c r="Q51" s="85">
        <f>Q50/IS!Q42</f>
        <v>-0.7358548403045585</v>
      </c>
      <c r="R51" s="84"/>
      <c r="S51" s="341">
        <f>S50/IS!S42</f>
        <v>-0.64183090264091458</v>
      </c>
      <c r="T51" s="342">
        <f>T50/IS!T42</f>
        <v>-0.63821182106430818</v>
      </c>
      <c r="U51" s="342">
        <f>U50/IS!U42</f>
        <v>0.11925533572207507</v>
      </c>
      <c r="V51" s="343">
        <f>V50/IS!V42</f>
        <v>-7.1848698848795578E-2</v>
      </c>
      <c r="W51" s="85">
        <f>W50/IS!W42</f>
        <v>-7.2415440567077147E-2</v>
      </c>
      <c r="X51" s="84"/>
      <c r="Y51" s="341">
        <f>Y50/IS!Y42</f>
        <v>-0.13080549519354717</v>
      </c>
      <c r="Z51" s="342">
        <f>Z50/IS!Z42</f>
        <v>-5.460530719288316E-2</v>
      </c>
      <c r="AA51" s="342">
        <f>AA50/IS!AA42</f>
        <v>1.1447778643803299E-3</v>
      </c>
      <c r="AB51" s="343">
        <f>AB50/IS!AB42</f>
        <v>-1.8239222829386763</v>
      </c>
      <c r="AC51" s="85">
        <f>AC50/IS!AC42</f>
        <v>-1.8283627510651246</v>
      </c>
      <c r="AD51" s="84"/>
      <c r="AE51" s="341">
        <f>AE50/IS!AE42</f>
        <v>0.62379544054220581</v>
      </c>
      <c r="AF51" s="342">
        <f>AF50/IS!AF42</f>
        <v>0.66682779456193331</v>
      </c>
      <c r="AG51" s="342">
        <f>AG50/IS!AG42</f>
        <v>0.76318264014466553</v>
      </c>
      <c r="AH51" s="343">
        <f>AH50/IS!AH42</f>
        <v>0.34082624544349954</v>
      </c>
      <c r="AI51" s="85">
        <f>AI50/IS!AI42</f>
        <v>0.33876811594202916</v>
      </c>
      <c r="AJ51" s="84"/>
      <c r="AK51" s="341">
        <f>AK50/IS!AK42</f>
        <v>0.32684114424832617</v>
      </c>
      <c r="AL51" s="342">
        <f>AL50/IS!AL42</f>
        <v>9.9574984820886434E-2</v>
      </c>
      <c r="AM51" s="342">
        <f>AM50/IS!AM42</f>
        <v>4.848484848484917E-3</v>
      </c>
      <c r="AN51" s="343">
        <f>AN50/IS!AN42</f>
        <v>-0.43220338983050854</v>
      </c>
      <c r="AO51" s="85">
        <f>AO50/IS!AO42</f>
        <v>-0.4329896907216495</v>
      </c>
      <c r="AP51" s="84"/>
      <c r="AQ51" s="341">
        <f>AQ50/IS!AQ42</f>
        <v>-0.44323671497584544</v>
      </c>
      <c r="AR51" s="342">
        <f>AR50/IS!AR42</f>
        <v>-0.38238841978287091</v>
      </c>
      <c r="AS51" s="342">
        <f>AS50/IS!AS42</f>
        <v>-0.41701870850935424</v>
      </c>
      <c r="AT51" s="343">
        <f>AT50/IS!AT42</f>
        <v>0.40758579169175191</v>
      </c>
      <c r="AU51" s="85">
        <f>AU50/IS!AU42</f>
        <v>0.40856970428485212</v>
      </c>
      <c r="AV51" s="84"/>
      <c r="AW51" s="341">
        <f>AW50/IS!AW42</f>
        <v>0.59448110377924401</v>
      </c>
      <c r="AX51" s="342">
        <f>AX50/IS!AX42</f>
        <v>0.68559473998804543</v>
      </c>
      <c r="AY51" s="342">
        <f>AY50/IS!AY42</f>
        <v>0.67465548232474548</v>
      </c>
      <c r="AZ51" s="343">
        <f>AZ50/IS!AZ42</f>
        <v>0.32933413317336546</v>
      </c>
      <c r="BA51" s="85">
        <f>BA50/IS!BA42</f>
        <v>0.32893948472139017</v>
      </c>
      <c r="BB51" s="86"/>
      <c r="BC51" s="341">
        <f>BC50/IS!BC42</f>
        <v>0.51827441581785516</v>
      </c>
      <c r="BD51" s="342">
        <f>BD50/IS!BD42</f>
        <v>0.48234590065828825</v>
      </c>
      <c r="BE51" s="342">
        <f>BE50/IS!BE42</f>
        <v>0.56664674237895984</v>
      </c>
      <c r="BF51" s="343">
        <f>BF50/IS!BF42</f>
        <v>0.15861657722122818</v>
      </c>
      <c r="BG51" s="85">
        <f>BG50/IS!BG42</f>
        <v>0.15890083632019095</v>
      </c>
      <c r="BH51" s="84"/>
      <c r="BI51" s="341">
        <f>BI50/IS!BI42</f>
        <v>0.39976204640095209</v>
      </c>
      <c r="BJ51" s="342">
        <f>BJ50/IS!BJ42</f>
        <v>0.50831353919239897</v>
      </c>
      <c r="BK51" s="342">
        <f>BK50/IS!BK42</f>
        <v>0.28986366330764657</v>
      </c>
      <c r="BL51" s="343">
        <f>BL50/IS!BL42</f>
        <v>-0.49526627218934904</v>
      </c>
      <c r="BM51" s="85">
        <f>BM50/IS!BM42</f>
        <v>-0.49673590504451032</v>
      </c>
      <c r="BN51" s="84"/>
      <c r="BO51" s="341">
        <f>BO50/IS!BO42</f>
        <v>-0.58559622195985828</v>
      </c>
      <c r="BP51" s="342">
        <f>BP50/IS!BP42</f>
        <v>-0.60117994100295002</v>
      </c>
      <c r="BQ51" s="342">
        <f>BQ50/IS!BQ42</f>
        <v>-0.51356132075471794</v>
      </c>
      <c r="BR51" s="343">
        <f>BR50/IS!BR42</f>
        <v>-0.84021226415094341</v>
      </c>
      <c r="BS51" s="85">
        <f>BS50/IS!BS42</f>
        <v>-0.84070796460176989</v>
      </c>
      <c r="BT51" s="84"/>
      <c r="BU51" s="341">
        <f>BU50/IS!BU42</f>
        <v>-0.81143193871538044</v>
      </c>
      <c r="BV51" s="342">
        <f>BV50/IS!BV42</f>
        <v>-0.76016499705362406</v>
      </c>
      <c r="BW51" s="342">
        <f>BW50/IS!BW42</f>
        <v>-0.95376407824540632</v>
      </c>
      <c r="BX51" s="343">
        <f>BX50/IS!BX42</f>
        <v>-1.195020746887967</v>
      </c>
      <c r="BY51" s="85">
        <f>BY50/IS!BY42</f>
        <v>-1.1921939680662332</v>
      </c>
      <c r="BZ51" s="84"/>
      <c r="CA51" s="341">
        <f>CA50/IS!CA42</f>
        <v>-0.72002434570906981</v>
      </c>
      <c r="CB51" s="342">
        <f>CB50/IS!CB42</f>
        <v>-0.47660098522167488</v>
      </c>
      <c r="CC51" s="342">
        <f>CC50/IS!CC42</f>
        <v>-0.47430340557275558</v>
      </c>
      <c r="CD51" s="343">
        <f>CD50/IS!CD42</f>
        <v>-0.55133789670192868</v>
      </c>
      <c r="CE51" s="85">
        <f>CE50/IS!CE42</f>
        <v>-0.54623921085080118</v>
      </c>
      <c r="CF51" s="84"/>
      <c r="CG51" s="341">
        <f>CG50/IS!CG42</f>
        <v>-0.49657320872274135</v>
      </c>
      <c r="CH51" s="342">
        <f>CH50/IS!CH42</f>
        <v>-5.9226932668328999E-2</v>
      </c>
      <c r="CI51" s="342">
        <f>CI50/IS!CI42</f>
        <v>0.32325141776937627</v>
      </c>
      <c r="CJ51" s="343">
        <f>CJ50/IS!CJ42</f>
        <v>-0.15157353885677574</v>
      </c>
      <c r="CK51" s="85">
        <f>CK50/IS!CK42</f>
        <v>-0.1483343808925203</v>
      </c>
      <c r="CL51" s="84"/>
      <c r="CM51" s="341">
        <f>CM50/IS!CM42</f>
        <v>-7.2361422932505054E-2</v>
      </c>
      <c r="CN51" s="342">
        <f>CN50/IS!CN42</f>
        <v>0.34671538020011894</v>
      </c>
      <c r="CO51" s="342">
        <f>CO50/IS!CO42</f>
        <v>0.25851781914323363</v>
      </c>
      <c r="CP51" s="343">
        <f>CP50/IS!CP42</f>
        <v>5.2283918357667561E-2</v>
      </c>
      <c r="CQ51" s="85">
        <f>CQ50/IS!CQ42</f>
        <v>5.1742600918482602E-2</v>
      </c>
      <c r="CR51" s="84"/>
      <c r="CS51" s="341">
        <f>CS50/IS!CS42</f>
        <v>-0.50096183120244542</v>
      </c>
      <c r="CT51" s="342">
        <f>CT50/IS!CT42</f>
        <v>-7.3161868919772069E-2</v>
      </c>
      <c r="CU51" s="342">
        <f>CU50/IS!CU42</f>
        <v>6.9764857399555458E-2</v>
      </c>
      <c r="CV51" s="343">
        <f>CV50/IS!CV42</f>
        <v>0.37337208278723782</v>
      </c>
      <c r="CW51" s="85">
        <f>CW50/IS!CW42</f>
        <v>0.36872705480626372</v>
      </c>
      <c r="CY51" s="341">
        <f>CY50/IS!CY42</f>
        <v>-0.34658392177036446</v>
      </c>
      <c r="CZ51" s="342">
        <f>CZ50/IS!CZ42</f>
        <v>-2.3532770371933732E-2</v>
      </c>
      <c r="DA51" s="342">
        <f>DA50/IS!DA42</f>
        <v>0.13385203863118147</v>
      </c>
      <c r="DB51" s="343">
        <f>DB50/IS!DB42</f>
        <v>0.42342681810967397</v>
      </c>
      <c r="DC51" s="85">
        <f>DC50/IS!DC42</f>
        <v>0.41851053846078601</v>
      </c>
      <c r="DE51" s="341">
        <f>DE50/IS!DE42</f>
        <v>-0.64338965494781752</v>
      </c>
      <c r="DF51" s="342">
        <f>DF50/IS!DF42</f>
        <v>-0.23345947223206148</v>
      </c>
      <c r="DG51" s="342">
        <f>DG50/IS!DG42</f>
        <v>-0.1179555660254685</v>
      </c>
      <c r="DH51" s="343">
        <f>DH50/IS!DH42</f>
        <v>0.31763725519335501</v>
      </c>
      <c r="DI51" s="85">
        <f>DI50/IS!DI42</f>
        <v>0.31419990223057809</v>
      </c>
    </row>
    <row r="52" spans="1:119" ht="11.25" hidden="1" customHeight="1" outlineLevel="1">
      <c r="A52" s="87"/>
      <c r="B52" s="88"/>
      <c r="C52" s="68"/>
      <c r="D52" s="88"/>
      <c r="E52" s="68"/>
      <c r="F52" s="88"/>
      <c r="G52" s="68"/>
      <c r="H52" s="88"/>
      <c r="I52" s="68"/>
      <c r="J52" s="88"/>
      <c r="K52" s="68"/>
      <c r="L52" s="88"/>
      <c r="M52" s="68"/>
      <c r="N52" s="88"/>
      <c r="O52" s="68"/>
      <c r="P52" s="88"/>
      <c r="Q52" s="68"/>
      <c r="R52" s="88"/>
      <c r="S52" s="88"/>
      <c r="T52" s="88"/>
      <c r="U52" s="88"/>
      <c r="V52" s="88"/>
      <c r="W52" s="88"/>
      <c r="X52" s="88"/>
      <c r="Y52" s="88"/>
      <c r="Z52" s="88"/>
      <c r="AA52" s="88"/>
      <c r="AB52" s="88"/>
      <c r="AC52" s="88"/>
      <c r="AD52" s="88"/>
      <c r="AE52" s="88"/>
      <c r="AF52" s="88"/>
      <c r="AG52" s="88"/>
      <c r="AH52" s="88"/>
      <c r="AI52" s="88"/>
      <c r="AJ52" s="88"/>
      <c r="AK52" s="88"/>
      <c r="AL52" s="88"/>
      <c r="AM52" s="88"/>
      <c r="AN52" s="88"/>
      <c r="AO52" s="88"/>
      <c r="AP52" s="88"/>
      <c r="AQ52" s="88"/>
      <c r="AR52" s="88"/>
      <c r="AS52" s="88"/>
      <c r="AT52" s="88"/>
      <c r="AU52" s="88"/>
      <c r="AV52" s="88"/>
      <c r="AW52" s="88"/>
      <c r="AX52" s="88"/>
      <c r="AY52" s="88"/>
      <c r="AZ52" s="88"/>
      <c r="BA52" s="88"/>
      <c r="BB52" s="88"/>
      <c r="BC52" s="88"/>
      <c r="BD52" s="88"/>
      <c r="BE52" s="88"/>
      <c r="BF52" s="88"/>
      <c r="BG52" s="88"/>
      <c r="BH52" s="88"/>
      <c r="BI52" s="88"/>
      <c r="BJ52" s="88"/>
      <c r="BK52" s="88"/>
      <c r="BL52" s="88"/>
      <c r="BM52" s="88"/>
      <c r="BN52" s="88"/>
      <c r="BO52" s="88"/>
      <c r="BP52" s="88"/>
      <c r="BQ52" s="88"/>
      <c r="BR52" s="88"/>
      <c r="BS52" s="88"/>
      <c r="BT52" s="88"/>
      <c r="BU52" s="88"/>
      <c r="BV52" s="88"/>
      <c r="BW52" s="88"/>
      <c r="BX52" s="89"/>
      <c r="BY52" s="90"/>
      <c r="BZ52" s="88"/>
      <c r="CA52" s="88"/>
      <c r="CB52" s="88"/>
      <c r="CC52" s="88"/>
      <c r="CD52" s="89"/>
      <c r="CE52" s="90"/>
      <c r="CF52" s="88"/>
      <c r="CG52" s="88"/>
      <c r="CH52" s="88"/>
      <c r="CI52" s="88"/>
      <c r="CJ52" s="89"/>
      <c r="CK52" s="90"/>
      <c r="CL52" s="88"/>
      <c r="CM52" s="88"/>
      <c r="CN52" s="88"/>
      <c r="CO52" s="88"/>
      <c r="CP52" s="89"/>
      <c r="CQ52" s="90"/>
      <c r="CR52" s="88"/>
      <c r="CS52" s="88"/>
      <c r="CT52" s="88"/>
      <c r="CU52" s="88"/>
      <c r="CV52" s="89"/>
      <c r="CW52" s="90"/>
      <c r="CY52" s="88"/>
      <c r="CZ52" s="88"/>
      <c r="DA52" s="88"/>
      <c r="DB52" s="89"/>
      <c r="DC52" s="90"/>
      <c r="DE52" s="88"/>
      <c r="DF52" s="88"/>
      <c r="DG52" s="88"/>
      <c r="DH52" s="89"/>
      <c r="DI52" s="90"/>
    </row>
    <row r="53" spans="1:119" ht="11.25" hidden="1" customHeight="1" outlineLevel="1">
      <c r="A53" s="73" t="s">
        <v>99</v>
      </c>
      <c r="B53" s="91"/>
      <c r="C53" s="92"/>
      <c r="D53" s="91"/>
      <c r="E53" s="92"/>
      <c r="F53" s="91"/>
      <c r="G53" s="92"/>
      <c r="H53" s="91"/>
      <c r="I53" s="92"/>
      <c r="J53" s="91"/>
      <c r="K53" s="92"/>
      <c r="L53" s="91"/>
      <c r="M53" s="92"/>
      <c r="N53" s="91"/>
      <c r="O53" s="92"/>
      <c r="P53" s="91"/>
      <c r="Q53" s="92"/>
      <c r="R53" s="91"/>
      <c r="S53" s="91"/>
      <c r="T53" s="91"/>
      <c r="U53" s="91"/>
      <c r="V53" s="91"/>
      <c r="W53" s="91"/>
      <c r="X53" s="91"/>
      <c r="Y53" s="91"/>
      <c r="Z53" s="91"/>
      <c r="AA53" s="91"/>
      <c r="AB53" s="91"/>
      <c r="AC53" s="91"/>
      <c r="AD53" s="91"/>
      <c r="AE53" s="91"/>
      <c r="AF53" s="91"/>
      <c r="AG53" s="91"/>
      <c r="AH53" s="91"/>
      <c r="AI53" s="91"/>
      <c r="AJ53" s="91"/>
      <c r="AK53" s="91"/>
      <c r="AL53" s="91"/>
      <c r="AM53" s="91"/>
      <c r="AN53" s="91"/>
      <c r="AO53" s="91"/>
      <c r="AP53" s="91"/>
      <c r="AQ53" s="91"/>
      <c r="AR53" s="91"/>
      <c r="AS53" s="91"/>
      <c r="AT53" s="91"/>
      <c r="AU53" s="91"/>
      <c r="AV53" s="91"/>
      <c r="AW53" s="91"/>
      <c r="AX53" s="91"/>
      <c r="AY53" s="91"/>
      <c r="AZ53" s="91"/>
      <c r="BA53" s="91"/>
      <c r="BB53" s="91"/>
      <c r="BC53" s="91"/>
      <c r="BD53" s="91"/>
      <c r="BE53" s="91"/>
      <c r="BF53" s="91"/>
      <c r="BG53" s="91"/>
      <c r="BH53" s="91"/>
      <c r="BI53" s="91"/>
      <c r="BJ53" s="91"/>
      <c r="BK53" s="91"/>
      <c r="BL53" s="91"/>
      <c r="BM53" s="91"/>
      <c r="BN53" s="91"/>
      <c r="BO53" s="91"/>
      <c r="BP53" s="91"/>
      <c r="BQ53" s="91"/>
      <c r="BR53" s="91"/>
      <c r="BS53" s="91"/>
      <c r="BT53" s="91"/>
      <c r="BU53" s="91"/>
      <c r="BV53" s="91"/>
      <c r="BW53" s="91"/>
      <c r="BX53" s="91"/>
      <c r="BY53" s="93"/>
      <c r="BZ53" s="91"/>
      <c r="CA53" s="91"/>
      <c r="CB53" s="91"/>
      <c r="CC53" s="91"/>
      <c r="CD53" s="91"/>
      <c r="CE53" s="93"/>
      <c r="CF53" s="91"/>
      <c r="CG53" s="91"/>
      <c r="CH53" s="91"/>
      <c r="CI53" s="91"/>
      <c r="CJ53" s="91"/>
      <c r="CK53" s="93"/>
      <c r="CL53" s="91"/>
      <c r="CM53" s="91"/>
      <c r="CN53" s="91"/>
      <c r="CO53" s="91"/>
      <c r="CP53" s="91"/>
      <c r="CQ53" s="93"/>
      <c r="CR53" s="91"/>
      <c r="CS53" s="91"/>
      <c r="CT53" s="91"/>
      <c r="CU53" s="91"/>
      <c r="CV53" s="91"/>
      <c r="CW53" s="93"/>
      <c r="CY53" s="91"/>
      <c r="CZ53" s="91"/>
      <c r="DA53" s="91"/>
      <c r="DB53" s="91"/>
      <c r="DC53" s="93"/>
      <c r="DE53" s="91"/>
      <c r="DF53" s="91"/>
      <c r="DG53" s="91"/>
      <c r="DH53" s="91"/>
      <c r="DI53" s="93"/>
    </row>
    <row r="54" spans="1:119" ht="11.25" hidden="1" customHeight="1" outlineLevel="1">
      <c r="A54" s="94" t="s">
        <v>100</v>
      </c>
      <c r="B54" s="96"/>
      <c r="C54" s="97"/>
      <c r="D54" s="96"/>
      <c r="E54" s="97">
        <f>(IS!E32)/AVERAGE(BS!C42,BS!E42)</f>
        <v>0.12017767706266856</v>
      </c>
      <c r="F54" s="96"/>
      <c r="G54" s="97">
        <f>(IS!G32)/AVERAGE(BS!E42,BS!G42)</f>
        <v>4.4196528346867311E-2</v>
      </c>
      <c r="H54" s="96"/>
      <c r="I54" s="97">
        <f>(IS!I32)/AVERAGE(BS!G42,BS!I42)</f>
        <v>2.7058744075735306E-2</v>
      </c>
      <c r="J54" s="96"/>
      <c r="K54" s="97">
        <f>(IS!K32)/AVERAGE(BS!I42,BS!K42)</f>
        <v>3.4478902043489974E-2</v>
      </c>
      <c r="L54" s="96"/>
      <c r="M54" s="97">
        <f>(IS!M32)/AVERAGE(BS!K42,BS!M42)</f>
        <v>1.1500061883741208E-2</v>
      </c>
      <c r="N54" s="96"/>
      <c r="O54" s="97">
        <f>(IS!O32)/AVERAGE(BS!M42,BS!O42)</f>
        <v>-3.7317042370640027E-2</v>
      </c>
      <c r="P54" s="95"/>
      <c r="Q54" s="97">
        <f>(IS!Q32)/AVERAGE(BS!O42,BS!Q42)</f>
        <v>4.3641785431246374E-2</v>
      </c>
      <c r="R54" s="95"/>
      <c r="S54" s="314">
        <f>(IS!S32*4)/AVERAGE(BS!Q42,BS!S42)</f>
        <v>7.7617709566741869E-2</v>
      </c>
      <c r="T54" s="96">
        <f>(IS!T32*4)/AVERAGE(BS!S42,BS!T42)</f>
        <v>0.10710733877821205</v>
      </c>
      <c r="U54" s="96">
        <f>(IS!U32*4)/AVERAGE(BS!T42,BS!U42)</f>
        <v>7.7364010462777119E-2</v>
      </c>
      <c r="V54" s="96">
        <f>(IS!V32*4)/AVERAGE(BS!U42,BS!V42)</f>
        <v>0.20908537977820948</v>
      </c>
      <c r="W54" s="98">
        <f>(IS!W32)/AVERAGE(BS!Q42,BS!W42)</f>
        <v>0.11158235382169904</v>
      </c>
      <c r="X54" s="95"/>
      <c r="Y54" s="314">
        <f>(IS!Y32*4)/AVERAGE(BS!W42,BS!Y42)</f>
        <v>0.28832343292845125</v>
      </c>
      <c r="Z54" s="96">
        <f>(IS!Z32*4)/AVERAGE(BS!Y42,BS!Z42)</f>
        <v>0.32913063810667786</v>
      </c>
      <c r="AA54" s="96">
        <f>(IS!AA32*4)/AVERAGE(BS!Z42,BS!AA42)</f>
        <v>0.4818956637387371</v>
      </c>
      <c r="AB54" s="96">
        <f>(IS!AB32*4)/AVERAGE(BS!AA42,BS!AB42)</f>
        <v>0.43593935314293103</v>
      </c>
      <c r="AC54" s="98">
        <f>(IS!AC32)/AVERAGE(BS!W42,BS!AC42)</f>
        <v>0.26111176987317092</v>
      </c>
      <c r="AD54" s="95"/>
      <c r="AE54" s="314">
        <f>(IS!AE32*4)/AVERAGE(BS!AC42,BS!AE42)</f>
        <v>4.754777741156381E-2</v>
      </c>
      <c r="AF54" s="96">
        <f>(IS!AF32*4)/AVERAGE(BS!AE42,BS!AF42)</f>
        <v>0.30668353426105105</v>
      </c>
      <c r="AG54" s="96">
        <f>(IS!AG32*4)/AVERAGE(BS!AF42,BS!AG42)</f>
        <v>0.25001570865894357</v>
      </c>
      <c r="AH54" s="96">
        <f>(IS!AH32*4)/AVERAGE(BS!AG42,BS!AH42)</f>
        <v>0.40139501217345402</v>
      </c>
      <c r="AI54" s="98">
        <f>(IS!AI32)/AVERAGE(BS!AC42,BS!AI42)</f>
        <v>0.16439801624986783</v>
      </c>
      <c r="AJ54" s="95"/>
      <c r="AK54" s="314">
        <f>(IS!AK32*4)/AVERAGE(BS!AI42,BS!AK42)</f>
        <v>0.12055692055692031</v>
      </c>
      <c r="AL54" s="96">
        <f>(IS!AL32*4)/AVERAGE(BS!AK42,BS!AL42)</f>
        <v>0.15513164117925257</v>
      </c>
      <c r="AM54" s="96">
        <f>(IS!AM32*4)/AVERAGE(BS!AL42,BS!AM42)</f>
        <v>0.18929577464788677</v>
      </c>
      <c r="AN54" s="96">
        <f>(IS!AN32*4)/AVERAGE(BS!AM42,BS!AN42)</f>
        <v>0.40590685346459643</v>
      </c>
      <c r="AO54" s="98">
        <f>(IS!AO32)/AVERAGE(BS!AI42,BS!AO42)</f>
        <v>0.21462747778537203</v>
      </c>
      <c r="AP54" s="95"/>
      <c r="AQ54" s="314">
        <f>(IS!AQ32*4)/AVERAGE(BS!AO42,BS!AQ42)</f>
        <v>0.17497310864109017</v>
      </c>
      <c r="AR54" s="96">
        <f>(IS!AR32*4)/AVERAGE(BS!AQ42,BS!AR42)</f>
        <v>0.25526791089704964</v>
      </c>
      <c r="AS54" s="96">
        <f>(IS!AS32*4)/AVERAGE(BS!AR42,BS!AS42)</f>
        <v>0.31061107434370178</v>
      </c>
      <c r="AT54" s="96">
        <f>(IS!AT32*4)/AVERAGE(BS!AS42,BS!AT42)</f>
        <v>0.36812218523595019</v>
      </c>
      <c r="AU54" s="98">
        <f>(IS!AU32)/AVERAGE(BS!AO42,BS!AU42)</f>
        <v>0.26844218981187928</v>
      </c>
      <c r="AV54" s="95"/>
      <c r="AW54" s="314">
        <f>(IS!AW32*4)/AVERAGE(BS!AU42,BS!AW42)</f>
        <v>0.16598416598416596</v>
      </c>
      <c r="AX54" s="96">
        <f>(IS!AX32*4)/AVERAGE(BS!AW42,BS!AX42)</f>
        <v>0.2255676619812034</v>
      </c>
      <c r="AY54" s="96">
        <f>(IS!AY32*4)/AVERAGE(BS!AX42,BS!AY42)</f>
        <v>0.23470297430910114</v>
      </c>
      <c r="AZ54" s="96">
        <f>(IS!AZ32*4)/AVERAGE(BS!AY42,BS!AZ42)</f>
        <v>0.33094462540716491</v>
      </c>
      <c r="BA54" s="98">
        <f>(IS!BA32)/AVERAGE(BS!AU42,BS!BA42)</f>
        <v>0.24941421504816419</v>
      </c>
      <c r="BB54" s="95"/>
      <c r="BC54" s="314">
        <f>(IS!BC32*4)/AVERAGE(BS!BA42,BS!BC42)</f>
        <v>0.14794094794094773</v>
      </c>
      <c r="BD54" s="96">
        <f>(IS!BD32*4)/AVERAGE(BS!BC42,BS!BD42)</f>
        <v>0.12579581191992042</v>
      </c>
      <c r="BE54" s="96">
        <f>(IS!BE32*4)/AVERAGE(BS!BD42,BS!BE42)</f>
        <v>0.28176175876766635</v>
      </c>
      <c r="BF54" s="96">
        <f>(IS!BF32*4)/AVERAGE(BS!BE42,BS!BF42)</f>
        <v>0.26697025757791443</v>
      </c>
      <c r="BG54" s="98">
        <f>(IS!BG32)/AVERAGE(BS!BA42,BS!BG42)</f>
        <v>0.20725310954593157</v>
      </c>
      <c r="BH54" s="95"/>
      <c r="BI54" s="314">
        <f>(IS!BI32*4)/AVERAGE(BS!BG42,BS!BI42)</f>
        <v>7.6445838978820804E-2</v>
      </c>
      <c r="BJ54" s="96">
        <f>(IS!BJ32*4)/AVERAGE(BS!BI42,BS!BJ42)</f>
        <v>0.16901010386490486</v>
      </c>
      <c r="BK54" s="96">
        <f>(IS!BK32*4)/AVERAGE(BS!BJ42,BS!BK42)</f>
        <v>0.17987095057540053</v>
      </c>
      <c r="BL54" s="96">
        <f>(IS!BL32*4)/AVERAGE(BS!BK42,BS!BL42)</f>
        <v>0.25607064017660086</v>
      </c>
      <c r="BM54" s="98">
        <f>(IS!BM32)/AVERAGE(BS!BG42,BS!BM42)</f>
        <v>0.16577985768318482</v>
      </c>
      <c r="BN54" s="95"/>
      <c r="BO54" s="314">
        <f>(IS!BO32*4)/AVERAGE(BS!BM42,BS!BO42)</f>
        <v>8.7052662205411926E-2</v>
      </c>
      <c r="BP54" s="96">
        <f>(IS!BP32*4)/AVERAGE(BS!BO42,BS!BP42)</f>
        <v>0.15920624964361046</v>
      </c>
      <c r="BQ54" s="96">
        <f>(IS!BQ32*4)/AVERAGE(BS!BP42,BS!BQ42)</f>
        <v>0.11209891080365014</v>
      </c>
      <c r="BR54" s="96">
        <f>(IS!BR32*4)/AVERAGE(BS!BQ42,BS!BR42)</f>
        <v>0.25391216557294344</v>
      </c>
      <c r="BS54" s="98">
        <f>(IS!BS32)/AVERAGE(BS!BM42,BS!BS42)</f>
        <v>0.15746963437943157</v>
      </c>
      <c r="BT54" s="95"/>
      <c r="BU54" s="314">
        <f>(IS!BU32*4)/AVERAGE(BS!BS42,BS!BU42)</f>
        <v>0.12375276233844511</v>
      </c>
      <c r="BV54" s="96">
        <f>(IS!BV32*4)/AVERAGE(BS!BU42,BS!BV42)</f>
        <v>0.17137868511181242</v>
      </c>
      <c r="BW54" s="96">
        <f>(IS!BW32*4)/AVERAGE(BS!BV42,BS!BW42)</f>
        <v>0.16463692608270927</v>
      </c>
      <c r="BX54" s="96">
        <f>(IS!BX32*4)/AVERAGE(BS!BW42,BS!BX42)</f>
        <v>0.3432607102405219</v>
      </c>
      <c r="BY54" s="98">
        <f>(IS!BY32)/AVERAGE(BS!BS42,BS!BY42)</f>
        <v>0.20071779875049847</v>
      </c>
      <c r="BZ54" s="95"/>
      <c r="CA54" s="314">
        <f>(IS!CA32*4)/AVERAGE(BS!BY42,BS!CA42)</f>
        <v>0.19029126213592254</v>
      </c>
      <c r="CB54" s="96">
        <f>(IS!CB32*4)/AVERAGE(BS!CA42,BS!CB42)</f>
        <v>0.18905400507430262</v>
      </c>
      <c r="CC54" s="96">
        <f>(IS!CC32*4)/AVERAGE(BS!CB42,BS!CC42)</f>
        <v>0.30161160942171644</v>
      </c>
      <c r="CD54" s="96">
        <f>(IS!CD32*4)/AVERAGE(BS!CC42,BS!CD42)</f>
        <v>0.42295552367288342</v>
      </c>
      <c r="CE54" s="98">
        <f>(IS!CE32)/AVERAGE(BS!BY42,BS!CE42)</f>
        <v>0.26970546984572236</v>
      </c>
      <c r="CF54" s="95"/>
      <c r="CG54" s="314">
        <f>(IS!CG32*4)/AVERAGE(BS!CE42,BS!CG42)</f>
        <v>0.16789499543763589</v>
      </c>
      <c r="CH54" s="96">
        <f>(IS!CH32*4)/AVERAGE(BS!CG42,BS!CH42)</f>
        <v>0.1932160299725697</v>
      </c>
      <c r="CI54" s="96">
        <f>(IS!CI32*4)/AVERAGE(BS!CH42,BS!CI42)</f>
        <v>0.24697272122421793</v>
      </c>
      <c r="CJ54" s="96">
        <f>(IS!CJ32*4)/AVERAGE(BS!CI42,BS!CJ42)</f>
        <v>0.43328356182978256</v>
      </c>
      <c r="CK54" s="98">
        <f>(IS!CK32)/AVERAGE(BS!CE42,BS!CK42)</f>
        <v>0.26945184354409085</v>
      </c>
      <c r="CL54" s="95"/>
      <c r="CM54" s="314">
        <f>(IS!CM32*4)/AVERAGE(BS!CK42,BS!CM42)</f>
        <v>0.20979539112613374</v>
      </c>
      <c r="CN54" s="96">
        <f>(IS!CN32*4)/AVERAGE(BS!CM42,BS!CN42)</f>
        <v>0.22075868263151868</v>
      </c>
      <c r="CO54" s="96">
        <f>(IS!CO32*4)/AVERAGE(BS!CN42,BS!CO42)</f>
        <v>0.31118339265609918</v>
      </c>
      <c r="CP54" s="96">
        <f>(IS!CP32*4)/AVERAGE(BS!CO42,BS!CP42)</f>
        <v>0.47145505352573452</v>
      </c>
      <c r="CQ54" s="98">
        <f>(IS!CQ32)/AVERAGE(BS!CK42,BS!CQ42)</f>
        <v>0.29574618890742282</v>
      </c>
      <c r="CR54" s="95"/>
      <c r="CS54" s="314">
        <f>(IS!CS32*4)/AVERAGE(BS!CQ42,BS!CS42)</f>
        <v>0.28525695599191819</v>
      </c>
      <c r="CT54" s="96">
        <f>(IS!CT32*4)/AVERAGE(BS!CS42,BS!CT42)</f>
        <v>0.3012759508367866</v>
      </c>
      <c r="CU54" s="96">
        <f>(IS!CU32*4)/AVERAGE(BS!CT42,BS!CU42)</f>
        <v>0.30786100317091197</v>
      </c>
      <c r="CV54" s="96">
        <f>(IS!CV32*4)/AVERAGE(BS!CU42,BS!CV42)</f>
        <v>0.39719231319677489</v>
      </c>
      <c r="CW54" s="98">
        <f>(IS!CW32)/AVERAGE(BS!CQ42,BS!CW42)</f>
        <v>0.31943746342789792</v>
      </c>
      <c r="CY54" s="314">
        <f>(IS!CY32*4)/AVERAGE(BS!CW42,BS!CY42)</f>
        <v>0.30926812923614633</v>
      </c>
      <c r="CZ54" s="96">
        <f>(IS!CZ32*4)/AVERAGE(BS!CY42,BS!CZ42)</f>
        <v>0.35918571520695369</v>
      </c>
      <c r="DA54" s="96">
        <f>(IS!DA32*4)/AVERAGE(BS!CZ42,BS!DA42)</f>
        <v>0.36288866071399567</v>
      </c>
      <c r="DB54" s="96">
        <f>(IS!DB32*4)/AVERAGE(BS!DA42,BS!DB42)</f>
        <v>0.44025367102236884</v>
      </c>
      <c r="DC54" s="98">
        <f>(IS!DC32)/AVERAGE(BS!CW42,BS!DC42)</f>
        <v>0.363402034302101</v>
      </c>
      <c r="DE54" s="314">
        <f>(IS!DE32*4)/AVERAGE(BS!DC42,BS!DE42)</f>
        <v>0.34009144960046528</v>
      </c>
      <c r="DF54" s="96">
        <f>(IS!DF32*4)/AVERAGE(BS!DE42,BS!DF42)</f>
        <v>0.32660504281003666</v>
      </c>
      <c r="DG54" s="96">
        <f>(IS!DG32*4)/AVERAGE(BS!DF42,BS!DG42)</f>
        <v>0.33139040754020327</v>
      </c>
      <c r="DH54" s="96">
        <f>(IS!DH32*4)/AVERAGE(BS!DG42,BS!DH42)</f>
        <v>0.41896561085443323</v>
      </c>
      <c r="DI54" s="98">
        <f>(IS!DI32)/AVERAGE(BS!DC42,BS!DI42)</f>
        <v>0.35142826986466652</v>
      </c>
    </row>
    <row r="55" spans="1:119" ht="11.25" hidden="1" customHeight="1" outlineLevel="1">
      <c r="A55" s="94" t="s">
        <v>101</v>
      </c>
      <c r="B55" s="95"/>
      <c r="C55" s="99"/>
      <c r="D55" s="95"/>
      <c r="E55" s="99">
        <f>(IS!E32)/AVERAGE(BS!C20,BS!E20)</f>
        <v>1.8691529781621478E-2</v>
      </c>
      <c r="F55" s="95"/>
      <c r="G55" s="99">
        <f>(IS!G32)/AVERAGE(BS!E20,BS!G20)</f>
        <v>2.3664591070281737E-2</v>
      </c>
      <c r="H55" s="95"/>
      <c r="I55" s="99">
        <f>(IS!I32)/AVERAGE(BS!G20,BS!I20)</f>
        <v>1.8287260777111972E-2</v>
      </c>
      <c r="J55" s="95"/>
      <c r="K55" s="99">
        <f>(IS!K32)/AVERAGE(BS!I20,BS!K20)</f>
        <v>2.0311467602362021E-2</v>
      </c>
      <c r="L55" s="95"/>
      <c r="M55" s="99">
        <f>(IS!M32)/AVERAGE(BS!K20,BS!M20)</f>
        <v>6.4340781091312693E-3</v>
      </c>
      <c r="N55" s="95"/>
      <c r="O55" s="99">
        <f>(IS!O32)/AVERAGE(BS!M20,BS!O20)</f>
        <v>-2.1675168632313731E-2</v>
      </c>
      <c r="P55" s="95"/>
      <c r="Q55" s="99">
        <f>(IS!Q32)/AVERAGE(BS!O20,BS!Q20)</f>
        <v>2.4514926640081779E-2</v>
      </c>
      <c r="R55" s="95"/>
      <c r="S55" s="315">
        <f>(IS!S32*4)/AVERAGE(BS!Q20,BS!S20)</f>
        <v>4.3207004531256421E-2</v>
      </c>
      <c r="T55" s="96">
        <f>(IS!T32*4)/AVERAGE(BS!S20,BS!T20)</f>
        <v>6.149629289668726E-2</v>
      </c>
      <c r="U55" s="96">
        <f>(IS!U32*4)/AVERAGE(BS!T20,BS!U20)</f>
        <v>3.8681858168855117E-2</v>
      </c>
      <c r="V55" s="96">
        <f>(IS!V32*4)/AVERAGE(BS!U20,BS!V20)</f>
        <v>9.1306014070854882E-2</v>
      </c>
      <c r="W55" s="100">
        <f>(IS!W32)/AVERAGE(BS!Q20,BS!W20)</f>
        <v>5.4809069254191843E-2</v>
      </c>
      <c r="X55" s="95"/>
      <c r="Y55" s="315">
        <f>(IS!Y32*4)/AVERAGE(BS!W20,BS!Y20)</f>
        <v>0.13061974983292077</v>
      </c>
      <c r="Z55" s="96">
        <f>(IS!Z32*4)/AVERAGE(BS!Y20,BS!Z20)</f>
        <v>0.1554559431776347</v>
      </c>
      <c r="AA55" s="96">
        <f>(IS!AA32*4)/AVERAGE(BS!Z20,BS!AA20)</f>
        <v>0.23126870730562624</v>
      </c>
      <c r="AB55" s="96">
        <f>(IS!AB32*4)/AVERAGE(BS!AA20,BS!AB20)</f>
        <v>0.21049559330128764</v>
      </c>
      <c r="AC55" s="100">
        <f>(IS!AC32)/AVERAGE(BS!W20,BS!AC20)</f>
        <v>0.12374655009183515</v>
      </c>
      <c r="AD55" s="95"/>
      <c r="AE55" s="315">
        <f>(IS!AE32*4)/AVERAGE(BS!AC20,BS!AE20)</f>
        <v>1.6247379648458394E-2</v>
      </c>
      <c r="AF55" s="96">
        <f>(IS!AF32*4)/AVERAGE(BS!AE20,BS!AF20)</f>
        <v>7.1626796363071552E-2</v>
      </c>
      <c r="AG55" s="96">
        <f>(IS!AG32*4)/AVERAGE(BS!AF20,BS!AG20)</f>
        <v>6.7231314852429058E-2</v>
      </c>
      <c r="AH55" s="96">
        <f>(IS!AH32*4)/AVERAGE(BS!AG20,BS!AH20)</f>
        <v>0.11122202925503998</v>
      </c>
      <c r="AI55" s="100">
        <f>(IS!AI32)/AVERAGE(BS!AC20,BS!AI20)</f>
        <v>6.4194478780387212E-2</v>
      </c>
      <c r="AJ55" s="95"/>
      <c r="AK55" s="315">
        <f>(IS!AK32*4)/AVERAGE(BS!AI20,BS!AK20)</f>
        <v>3.3832858324905693E-2</v>
      </c>
      <c r="AL55" s="96">
        <f>(IS!AL32*4)/AVERAGE(BS!AK20,BS!AL20)</f>
        <v>4.583993291717129E-2</v>
      </c>
      <c r="AM55" s="96">
        <f>(IS!AM32*4)/AVERAGE(BS!AL20,BS!AM20)</f>
        <v>6.0767735226296339E-2</v>
      </c>
      <c r="AN55" s="96">
        <f>(IS!AN32*4)/AVERAGE(BS!AM20,BS!AN20)</f>
        <v>0.14003919007184834</v>
      </c>
      <c r="AO55" s="100">
        <f>(IS!AO32)/AVERAGE(BS!AI20,BS!AO20)</f>
        <v>6.8600891374639344E-2</v>
      </c>
      <c r="AP55" s="95"/>
      <c r="AQ55" s="315">
        <f>(IS!AQ32*4)/AVERAGE(BS!AO20,BS!AQ20)</f>
        <v>6.2781422874051251E-2</v>
      </c>
      <c r="AR55" s="96">
        <f>(IS!AR32*4)/AVERAGE(BS!AQ20,BS!AR20)</f>
        <v>9.2169905656275683E-2</v>
      </c>
      <c r="AS55" s="96">
        <f>(IS!AS32*4)/AVERAGE(BS!AR20,BS!AS20)</f>
        <v>0.11647915287888815</v>
      </c>
      <c r="AT55" s="96">
        <f>(IS!AT32*4)/AVERAGE(BS!AS20,BS!AT20)</f>
        <v>0.13300788849976991</v>
      </c>
      <c r="AU55" s="100">
        <f>(IS!AU32)/AVERAGE(BS!AO20,BS!AU20)</f>
        <v>9.3310311891554365E-2</v>
      </c>
      <c r="AV55" s="95"/>
      <c r="AW55" s="315">
        <f>(IS!AW32*4)/AVERAGE(BS!AU20,BS!AW20)</f>
        <v>5.7472350883826448E-2</v>
      </c>
      <c r="AX55" s="96">
        <f>(IS!AX32*4)/AVERAGE(BS!AW20,BS!AX20)</f>
        <v>8.1593357001023173E-2</v>
      </c>
      <c r="AY55" s="96">
        <f>(IS!AY32*4)/AVERAGE(BS!AX20,BS!AY20)</f>
        <v>8.5927068806931101E-2</v>
      </c>
      <c r="AZ55" s="96">
        <f>(IS!AZ32*4)/AVERAGE(BS!AY20,BS!AZ20)</f>
        <v>0.12020467922742419</v>
      </c>
      <c r="BA55" s="100">
        <f>(IS!BA32)/AVERAGE(BS!AU20,BS!BA20)</f>
        <v>8.8151397110695223E-2</v>
      </c>
      <c r="BB55" s="95"/>
      <c r="BC55" s="315">
        <f>(IS!BC32*4)/AVERAGE(BS!BA20,BS!BC20)</f>
        <v>5.4279035292776015E-2</v>
      </c>
      <c r="BD55" s="96">
        <f>(IS!BD32*4)/AVERAGE(BS!BC20,BS!BD20)</f>
        <v>4.6231042453628073E-2</v>
      </c>
      <c r="BE55" s="96">
        <f>(IS!BE32*4)/AVERAGE(BS!BD20,BS!BE20)</f>
        <v>0.10613785527168251</v>
      </c>
      <c r="BF55" s="96">
        <f>(IS!BF32*4)/AVERAGE(BS!BE20,BS!BF20)</f>
        <v>0.10261459358932307</v>
      </c>
      <c r="BG55" s="100">
        <f>(IS!BG32)/AVERAGE(BS!BA20,BS!BG20)</f>
        <v>7.7546328744848528E-2</v>
      </c>
      <c r="BH55" s="95"/>
      <c r="BI55" s="315">
        <f>(IS!BI32*4)/AVERAGE(BS!BG20,BS!BI20)</f>
        <v>2.9223345964070658E-2</v>
      </c>
      <c r="BJ55" s="96">
        <f>(IS!BJ32*4)/AVERAGE(BS!BI20,BS!BJ20)</f>
        <v>6.6192545036942704E-2</v>
      </c>
      <c r="BK55" s="96">
        <f>(IS!BK32*4)/AVERAGE(BS!BJ20,BS!BK20)</f>
        <v>7.2338148742643021E-2</v>
      </c>
      <c r="BL55" s="96">
        <f>(IS!BL32*4)/AVERAGE(BS!BK20,BS!BL20)</f>
        <v>0.10640845967639208</v>
      </c>
      <c r="BM55" s="100">
        <f>(IS!BM32)/AVERAGE(BS!BG20,BS!BM20)</f>
        <v>6.7261424818581425E-2</v>
      </c>
      <c r="BN55" s="95"/>
      <c r="BO55" s="315">
        <f>(IS!BO32*4)/AVERAGE(BS!BM20,BS!BO20)</f>
        <v>3.7250996015936351E-2</v>
      </c>
      <c r="BP55" s="96">
        <f>(IS!BP32*4)/AVERAGE(BS!BO20,BS!BP20)</f>
        <v>6.9252902073618325E-2</v>
      </c>
      <c r="BQ55" s="96">
        <f>(IS!BQ32*4)/AVERAGE(BS!BP20,BS!BQ20)</f>
        <v>4.8639673010601556E-2</v>
      </c>
      <c r="BR55" s="96">
        <f>(IS!BR32*4)/AVERAGE(BS!BQ20,BS!BR20)</f>
        <v>0.10658473274355058</v>
      </c>
      <c r="BS55" s="100">
        <f>(IS!BS32)/AVERAGE(BS!BM20,BS!BS20)</f>
        <v>6.6284290571228408E-2</v>
      </c>
      <c r="BT55" s="95"/>
      <c r="BU55" s="315">
        <f>(IS!BU32*4)/AVERAGE(BS!BS20,BS!BU20)</f>
        <v>5.0804123711340229E-2</v>
      </c>
      <c r="BV55" s="96">
        <f>(IS!BV32*4)/AVERAGE(BS!BU20,BS!BV20)</f>
        <v>7.1025020177562515E-2</v>
      </c>
      <c r="BW55" s="96">
        <f>(IS!BW32*4)/AVERAGE(BS!BV20,BS!BW20)</f>
        <v>6.9008817186689622E-2</v>
      </c>
      <c r="BX55" s="96">
        <f>(IS!BX32*4)/AVERAGE(BS!BW20,BS!BX20)</f>
        <v>0.14416027757568958</v>
      </c>
      <c r="BY55" s="100">
        <f>(IS!BY32)/AVERAGE(BS!BS20,BS!BY20)</f>
        <v>8.3989209333370438E-2</v>
      </c>
      <c r="BZ55" s="95"/>
      <c r="CA55" s="315">
        <f>(IS!CA32*4)/AVERAGE(BS!BY20,BS!CA20)</f>
        <v>7.9061860719739613E-2</v>
      </c>
      <c r="CB55" s="96">
        <f>(IS!CB32*4)/AVERAGE(BS!CA20,BS!CB20)</f>
        <v>7.5369187642690072E-2</v>
      </c>
      <c r="CC55" s="96">
        <f>(IS!CC32*4)/AVERAGE(BS!CB20,BS!CC20)</f>
        <v>0.11755343337880847</v>
      </c>
      <c r="CD55" s="96">
        <f>(IS!CD32*4)/AVERAGE(BS!CC20,BS!CD20)</f>
        <v>0.16349166735989784</v>
      </c>
      <c r="CE55" s="100">
        <f>(IS!CE32)/AVERAGE(BS!BY20,BS!CE20)</f>
        <v>0.10866555533580093</v>
      </c>
      <c r="CF55" s="95"/>
      <c r="CG55" s="315">
        <f>(IS!CG32*4)/AVERAGE(BS!CE20,BS!CG20)</f>
        <v>6.5564783597840071E-2</v>
      </c>
      <c r="CH55" s="96">
        <f>(IS!CH32*4)/AVERAGE(BS!CG20,BS!CH20)</f>
        <v>7.6955872948198653E-2</v>
      </c>
      <c r="CI55" s="96">
        <f>(IS!CI32*4)/AVERAGE(BS!CH20,BS!CI20)</f>
        <v>9.5808383233532829E-2</v>
      </c>
      <c r="CJ55" s="96">
        <f>(IS!CJ32*4)/AVERAGE(BS!CI20,BS!CJ20)</f>
        <v>0.16327365728900298</v>
      </c>
      <c r="CK55" s="100">
        <f>(IS!CK32)/AVERAGE(BS!CE20,BS!CK20)</f>
        <v>0.10231840080917781</v>
      </c>
      <c r="CL55" s="95"/>
      <c r="CM55" s="315">
        <f>(IS!CM32*4)/AVERAGE(BS!CK20,BS!CM20)</f>
        <v>7.8375796503552572E-2</v>
      </c>
      <c r="CN55" s="96">
        <f>(IS!CN32*4)/AVERAGE(BS!CM20,BS!CN20)</f>
        <v>8.2617017071933391E-2</v>
      </c>
      <c r="CO55" s="96">
        <f>(IS!CO32*4)/AVERAGE(BS!CN20,BS!CO20)</f>
        <v>0.11765076677664388</v>
      </c>
      <c r="CP55" s="96">
        <f>(IS!CP32*4)/AVERAGE(BS!CO20,BS!CP20)</f>
        <v>0.18082267103663149</v>
      </c>
      <c r="CQ55" s="100">
        <f>(IS!CQ32)/AVERAGE(BS!CK20,BS!CQ20)</f>
        <v>0.11314104848020246</v>
      </c>
      <c r="CR55" s="95"/>
      <c r="CS55" s="315">
        <f>(IS!CS32*4)/AVERAGE(BS!CQ20,BS!CS20)</f>
        <v>0.1099566957371774</v>
      </c>
      <c r="CT55" s="96">
        <f>(IS!CT32*4)/AVERAGE(BS!CS20,BS!CT20)</f>
        <v>0.11638175468071447</v>
      </c>
      <c r="CU55" s="96">
        <f>(IS!CU32*4)/AVERAGE(BS!CT20,BS!CU20)</f>
        <v>0.11991401449988742</v>
      </c>
      <c r="CV55" s="96">
        <f>(IS!CV32*4)/AVERAGE(BS!CU20,BS!CV20)</f>
        <v>0.15421945999640863</v>
      </c>
      <c r="CW55" s="100">
        <f>(IS!CW32)/AVERAGE(BS!CQ20,BS!CW20)</f>
        <v>0.12404583253801077</v>
      </c>
      <c r="CY55" s="315">
        <f>(IS!CY32*4)/AVERAGE(BS!CW20,BS!CY20)</f>
        <v>0.12000194938656039</v>
      </c>
      <c r="CZ55" s="96">
        <f>(IS!CZ32*4)/AVERAGE(BS!CY20,BS!CZ20)</f>
        <v>0.14192147299074789</v>
      </c>
      <c r="DA55" s="96">
        <f>(IS!DA32*4)/AVERAGE(BS!CZ20,BS!DA20)</f>
        <v>0.14599244183111651</v>
      </c>
      <c r="DB55" s="96">
        <f>(IS!DB32*4)/AVERAGE(BS!DA20,BS!DB20)</f>
        <v>0.17840083487818195</v>
      </c>
      <c r="DC55" s="100">
        <f>(IS!DC32)/AVERAGE(BS!CW20,BS!DC20)</f>
        <v>0.14466716351998915</v>
      </c>
      <c r="DE55" s="315">
        <f>(IS!DE32*4)/AVERAGE(BS!DC20,BS!DE20)</f>
        <v>0.13897007081471771</v>
      </c>
      <c r="DF55" s="96">
        <f>(IS!DF32*4)/AVERAGE(BS!DE20,BS!DF20)</f>
        <v>0.13570329407425655</v>
      </c>
      <c r="DG55" s="96">
        <f>(IS!DG32*4)/AVERAGE(BS!DF20,BS!DG20)</f>
        <v>0.14001507712721498</v>
      </c>
      <c r="DH55" s="96">
        <f>(IS!DH32*4)/AVERAGE(BS!DG20,BS!DH20)</f>
        <v>0.17846682318363541</v>
      </c>
      <c r="DI55" s="100">
        <f>(IS!DI32)/AVERAGE(BS!DC20,BS!DI20)</f>
        <v>0.14710172408915109</v>
      </c>
    </row>
    <row r="56" spans="1:119" ht="11.25" hidden="1" customHeight="1" outlineLevel="1">
      <c r="A56" s="101" t="s">
        <v>572</v>
      </c>
      <c r="B56" s="102"/>
      <c r="C56" s="103"/>
      <c r="D56" s="102"/>
      <c r="E56" s="103">
        <f>E202</f>
        <v>0</v>
      </c>
      <c r="F56" s="102"/>
      <c r="G56" s="103">
        <f>G202</f>
        <v>0</v>
      </c>
      <c r="H56" s="102"/>
      <c r="I56" s="103">
        <f>I202</f>
        <v>0</v>
      </c>
      <c r="J56" s="102"/>
      <c r="K56" s="103">
        <f>K202</f>
        <v>0</v>
      </c>
      <c r="L56" s="102"/>
      <c r="M56" s="103">
        <f>M202</f>
        <v>0</v>
      </c>
      <c r="N56" s="102"/>
      <c r="O56" s="103">
        <f>O202</f>
        <v>0</v>
      </c>
      <c r="P56" s="102"/>
      <c r="Q56" s="103">
        <f>Q202</f>
        <v>0</v>
      </c>
      <c r="R56" s="102"/>
      <c r="S56" s="316">
        <f>S202</f>
        <v>0</v>
      </c>
      <c r="T56" s="102">
        <f>T202</f>
        <v>0</v>
      </c>
      <c r="U56" s="102">
        <f>U202</f>
        <v>0</v>
      </c>
      <c r="V56" s="102">
        <f>V202</f>
        <v>0</v>
      </c>
      <c r="W56" s="103">
        <f>W202</f>
        <v>0</v>
      </c>
      <c r="X56" s="102"/>
      <c r="Y56" s="316">
        <f>Y202</f>
        <v>0.3032507856693904</v>
      </c>
      <c r="Z56" s="102">
        <f>Z202</f>
        <v>0.29154127014384773</v>
      </c>
      <c r="AA56" s="102">
        <f>AA202</f>
        <v>0.36264211097839039</v>
      </c>
      <c r="AB56" s="102">
        <f>AB202</f>
        <v>0.48245033009708793</v>
      </c>
      <c r="AC56" s="103">
        <f>AC202</f>
        <v>0.38628225340680289</v>
      </c>
      <c r="AD56" s="102"/>
      <c r="AE56" s="316">
        <f>AE202</f>
        <v>0.13333667835333024</v>
      </c>
      <c r="AF56" s="102">
        <f>AF202</f>
        <v>0.17317572534573791</v>
      </c>
      <c r="AG56" s="102">
        <f>AG202</f>
        <v>9.756178732928146E-2</v>
      </c>
      <c r="AH56" s="102">
        <f>AH202</f>
        <v>0.35330201972757103</v>
      </c>
      <c r="AI56" s="103">
        <f>AI202</f>
        <v>0.1845078789194988</v>
      </c>
      <c r="AJ56" s="102"/>
      <c r="AK56" s="316">
        <f>AK202</f>
        <v>0.11068609533218063</v>
      </c>
      <c r="AL56" s="102">
        <f>AL202</f>
        <v>0.14153861050593072</v>
      </c>
      <c r="AM56" s="102">
        <f>AM202</f>
        <v>0.17868916761687534</v>
      </c>
      <c r="AN56" s="102">
        <f>AN202</f>
        <v>0.52576846307385205</v>
      </c>
      <c r="AO56" s="103">
        <f>AO202</f>
        <v>0.23675230797079552</v>
      </c>
      <c r="AP56" s="102"/>
      <c r="AQ56" s="316">
        <f>AQ202</f>
        <v>0.21309323116219683</v>
      </c>
      <c r="AR56" s="102">
        <f>AR202</f>
        <v>0.32381096408317561</v>
      </c>
      <c r="AS56" s="102">
        <f>AS202</f>
        <v>0.28788377926421405</v>
      </c>
      <c r="AT56" s="102">
        <f>AT202</f>
        <v>0.31230591725729318</v>
      </c>
      <c r="AU56" s="103">
        <f>AU202</f>
        <v>0.28725583410038452</v>
      </c>
      <c r="AV56" s="102"/>
      <c r="AW56" s="316">
        <f>AW202</f>
        <v>0.16200323291697277</v>
      </c>
      <c r="AX56" s="102">
        <f>AX202</f>
        <v>0.20156775977874403</v>
      </c>
      <c r="AY56" s="102">
        <f>AY202</f>
        <v>0.2088284895620138</v>
      </c>
      <c r="AZ56" s="102">
        <f>AZ202</f>
        <v>0.26428464634847537</v>
      </c>
      <c r="BA56" s="103">
        <f>BA202</f>
        <v>0.20924603423630703</v>
      </c>
      <c r="BB56" s="102"/>
      <c r="BC56" s="316">
        <f>BC202</f>
        <v>0.16701750718578512</v>
      </c>
      <c r="BD56" s="102">
        <f>BD202</f>
        <v>0.13279714520999189</v>
      </c>
      <c r="BE56" s="102">
        <f>BE202</f>
        <v>0.25534044422135788</v>
      </c>
      <c r="BF56" s="102">
        <f>BF202</f>
        <v>0.28443322259136256</v>
      </c>
      <c r="BG56" s="103">
        <f>BG202</f>
        <v>0.21098376815403841</v>
      </c>
      <c r="BH56" s="102"/>
      <c r="BI56" s="316">
        <f>BI202</f>
        <v>8.7744357088511485E-2</v>
      </c>
      <c r="BJ56" s="102">
        <f>BJ202</f>
        <v>0.17532514058666432</v>
      </c>
      <c r="BK56" s="102">
        <f>BK202</f>
        <v>0.17600096024529879</v>
      </c>
      <c r="BL56" s="102">
        <f>BL202</f>
        <v>0.29825324240318601</v>
      </c>
      <c r="BM56" s="103">
        <f>BM202</f>
        <v>0.18374214262258198</v>
      </c>
      <c r="BN56" s="102"/>
      <c r="BO56" s="316">
        <f>BO202</f>
        <v>0.12214007678463421</v>
      </c>
      <c r="BP56" s="102">
        <f>BP202</f>
        <v>0.17076526809351217</v>
      </c>
      <c r="BQ56" s="102">
        <f>BQ202</f>
        <v>0.12440510191360488</v>
      </c>
      <c r="BR56" s="102">
        <f>BR202</f>
        <v>0.24216736564191163</v>
      </c>
      <c r="BS56" s="103">
        <f>BS202</f>
        <v>0.16586214895212517</v>
      </c>
      <c r="BT56" s="102"/>
      <c r="BU56" s="316">
        <f>BU202</f>
        <v>0.13365716294282484</v>
      </c>
      <c r="BV56" s="102">
        <f>BV202</f>
        <v>0.18073083865745296</v>
      </c>
      <c r="BW56" s="102">
        <f>BW202</f>
        <v>0.16882642577102308</v>
      </c>
      <c r="BX56" s="102">
        <f>BX202</f>
        <v>0.34475094429472947</v>
      </c>
      <c r="BY56" s="103">
        <f>BY202</f>
        <v>0.20570523048121375</v>
      </c>
      <c r="BZ56" s="102"/>
      <c r="CA56" s="316">
        <f>CA202</f>
        <v>0.17610607677714363</v>
      </c>
      <c r="CB56" s="102">
        <f>CB202</f>
        <v>0.16572314035276642</v>
      </c>
      <c r="CC56" s="102">
        <f>CC202</f>
        <v>0.25472065764448415</v>
      </c>
      <c r="CD56" s="102">
        <f>CD202</f>
        <v>0.3438805970149249</v>
      </c>
      <c r="CE56" s="103">
        <f>CE202</f>
        <v>0.23376275317971962</v>
      </c>
      <c r="CF56" s="102"/>
      <c r="CG56" s="316">
        <f>CG202</f>
        <v>0.15136412301103847</v>
      </c>
      <c r="CH56" s="102">
        <f>CH202</f>
        <v>0.15024345205431724</v>
      </c>
      <c r="CI56" s="102">
        <f>CI202</f>
        <v>0.1945404249192734</v>
      </c>
      <c r="CJ56" s="102">
        <f>CJ202</f>
        <v>0.35708448938661308</v>
      </c>
      <c r="CK56" s="103">
        <f>CK202</f>
        <v>0.21192232004706682</v>
      </c>
      <c r="CL56" s="102"/>
      <c r="CM56" s="316">
        <f>CM202</f>
        <v>0.17412663951346746</v>
      </c>
      <c r="CN56" s="102">
        <f>CN202</f>
        <v>0.16868643611428141</v>
      </c>
      <c r="CO56" s="102">
        <f>CO202</f>
        <v>0.23729747602859519</v>
      </c>
      <c r="CP56" s="102">
        <f>CP202</f>
        <v>0.36197114184030788</v>
      </c>
      <c r="CQ56" s="103">
        <f>CQ202</f>
        <v>0.23634939340523595</v>
      </c>
      <c r="CR56" s="102"/>
      <c r="CS56" s="316">
        <f>CS202</f>
        <v>0.25053849124547622</v>
      </c>
      <c r="CT56" s="102">
        <f>CT202</f>
        <v>0.24446505094972809</v>
      </c>
      <c r="CU56" s="102">
        <f>CU202</f>
        <v>0.2441128075221764</v>
      </c>
      <c r="CV56" s="102">
        <f>CV202</f>
        <v>0.2965686188979399</v>
      </c>
      <c r="CW56" s="103">
        <f>CW202</f>
        <v>0.25977742529925041</v>
      </c>
      <c r="CY56" s="316">
        <f>CY202</f>
        <v>0.26310963357892908</v>
      </c>
      <c r="CZ56" s="102">
        <f>CZ202</f>
        <v>0.25415153607551166</v>
      </c>
      <c r="DA56" s="102">
        <f>DA202</f>
        <v>0.25672877624668122</v>
      </c>
      <c r="DB56" s="102">
        <f>DB202</f>
        <v>0.30479563078648297</v>
      </c>
      <c r="DC56" s="103">
        <f>DC202</f>
        <v>0.27060264899531755</v>
      </c>
      <c r="DE56" s="316">
        <f>DE202</f>
        <v>0.2797622634120937</v>
      </c>
      <c r="DF56" s="102">
        <f>DF202</f>
        <v>0.27200116697138682</v>
      </c>
      <c r="DG56" s="102">
        <f>DG202</f>
        <v>0.27214746777451987</v>
      </c>
      <c r="DH56" s="102">
        <f>DH202</f>
        <v>0.32112463831985882</v>
      </c>
      <c r="DI56" s="103">
        <f>DI202</f>
        <v>0.28729361939936415</v>
      </c>
    </row>
    <row r="57" spans="1:119" ht="11.25" hidden="1" customHeight="1" outlineLevel="1">
      <c r="A57" s="87"/>
      <c r="B57" s="88"/>
      <c r="C57" s="68"/>
      <c r="D57" s="88"/>
      <c r="E57" s="68"/>
      <c r="F57" s="88"/>
      <c r="G57" s="68"/>
      <c r="H57" s="88"/>
      <c r="I57" s="68"/>
      <c r="J57" s="88"/>
      <c r="K57" s="68"/>
      <c r="L57" s="88"/>
      <c r="M57" s="68"/>
      <c r="N57" s="88"/>
      <c r="O57" s="68"/>
      <c r="P57" s="88"/>
      <c r="Q57" s="68"/>
      <c r="R57" s="88"/>
      <c r="S57" s="88"/>
      <c r="T57" s="88"/>
      <c r="U57" s="88"/>
      <c r="V57" s="88"/>
      <c r="W57" s="88"/>
      <c r="X57" s="88"/>
      <c r="Y57" s="88"/>
      <c r="Z57" s="88"/>
      <c r="AA57" s="88"/>
      <c r="AB57" s="88"/>
      <c r="AC57" s="88"/>
      <c r="AD57" s="88"/>
      <c r="AE57" s="88"/>
      <c r="AF57" s="88"/>
      <c r="AG57" s="88"/>
      <c r="AH57" s="88"/>
      <c r="AI57" s="88"/>
      <c r="AJ57" s="88"/>
      <c r="AK57" s="88"/>
      <c r="AL57" s="88"/>
      <c r="AM57" s="88"/>
      <c r="AN57" s="88"/>
      <c r="AO57" s="88"/>
      <c r="AP57" s="88"/>
      <c r="AQ57" s="88"/>
      <c r="AR57" s="88"/>
      <c r="AS57" s="88"/>
      <c r="AT57" s="88"/>
      <c r="AU57" s="88"/>
      <c r="AV57" s="88"/>
      <c r="AW57" s="88"/>
      <c r="AX57" s="88"/>
      <c r="AY57" s="88"/>
      <c r="AZ57" s="88"/>
      <c r="BA57" s="88"/>
      <c r="BB57" s="88"/>
      <c r="BC57" s="88"/>
      <c r="BD57" s="88"/>
      <c r="BE57" s="88"/>
      <c r="BF57" s="88"/>
      <c r="BG57" s="88"/>
      <c r="BH57" s="88"/>
      <c r="BI57" s="88"/>
      <c r="BJ57" s="88"/>
      <c r="BK57" s="88"/>
      <c r="BL57" s="88"/>
      <c r="BM57" s="88"/>
      <c r="BN57" s="88"/>
      <c r="BO57" s="88"/>
      <c r="BP57" s="88"/>
      <c r="BQ57" s="88"/>
      <c r="BR57" s="88"/>
      <c r="BS57" s="88"/>
      <c r="BT57" s="88"/>
      <c r="BU57" s="88"/>
      <c r="BV57" s="88"/>
      <c r="BW57" s="88"/>
      <c r="BX57" s="89"/>
      <c r="BY57" s="90"/>
      <c r="BZ57" s="88"/>
      <c r="CA57" s="88"/>
      <c r="CB57" s="88"/>
      <c r="CC57" s="88"/>
      <c r="CD57" s="89"/>
      <c r="CE57" s="90"/>
      <c r="CF57" s="88"/>
      <c r="CG57" s="88"/>
      <c r="CH57" s="88"/>
      <c r="CI57" s="88"/>
      <c r="CJ57" s="89"/>
      <c r="CK57" s="90"/>
      <c r="CL57" s="88"/>
      <c r="CM57" s="88"/>
      <c r="CN57" s="88"/>
      <c r="CO57" s="88"/>
      <c r="CP57" s="89"/>
      <c r="CQ57" s="90"/>
      <c r="CR57" s="88"/>
      <c r="CS57" s="88"/>
      <c r="CT57" s="88"/>
      <c r="CU57" s="88"/>
      <c r="CV57" s="89"/>
      <c r="CW57" s="90"/>
      <c r="CY57" s="88"/>
      <c r="CZ57" s="88"/>
      <c r="DA57" s="88"/>
      <c r="DB57" s="89"/>
      <c r="DC57" s="90"/>
      <c r="DE57" s="88"/>
      <c r="DF57" s="88"/>
      <c r="DG57" s="88"/>
      <c r="DH57" s="89"/>
      <c r="DI57" s="90"/>
    </row>
    <row r="58" spans="1:119" ht="11.25" customHeight="1" collapsed="1">
      <c r="A58" s="73" t="s">
        <v>103</v>
      </c>
      <c r="B58" s="91"/>
      <c r="C58" s="92"/>
      <c r="D58" s="91"/>
      <c r="E58" s="92"/>
      <c r="F58" s="91"/>
      <c r="G58" s="92"/>
      <c r="H58" s="91"/>
      <c r="I58" s="92"/>
      <c r="J58" s="91"/>
      <c r="K58" s="92"/>
      <c r="L58" s="91"/>
      <c r="M58" s="92"/>
      <c r="N58" s="91"/>
      <c r="O58" s="92"/>
      <c r="P58" s="91"/>
      <c r="Q58" s="92"/>
      <c r="R58" s="91"/>
      <c r="S58" s="91"/>
      <c r="T58" s="91"/>
      <c r="U58" s="91"/>
      <c r="V58" s="91"/>
      <c r="W58" s="91"/>
      <c r="X58" s="91"/>
      <c r="Y58" s="91"/>
      <c r="Z58" s="91"/>
      <c r="AA58" s="91"/>
      <c r="AB58" s="91"/>
      <c r="AC58" s="91"/>
      <c r="AD58" s="91"/>
      <c r="AE58" s="91"/>
      <c r="AF58" s="91"/>
      <c r="AG58" s="91"/>
      <c r="AH58" s="91"/>
      <c r="AI58" s="91"/>
      <c r="AJ58" s="91"/>
      <c r="AK58" s="91"/>
      <c r="AL58" s="91"/>
      <c r="AM58" s="91"/>
      <c r="AN58" s="91"/>
      <c r="AO58" s="91"/>
      <c r="AP58" s="91"/>
      <c r="AQ58" s="91"/>
      <c r="AR58" s="91"/>
      <c r="AS58" s="91"/>
      <c r="AT58" s="91"/>
      <c r="AU58" s="91"/>
      <c r="AV58" s="91"/>
      <c r="AW58" s="91"/>
      <c r="AX58" s="91"/>
      <c r="AY58" s="91"/>
      <c r="AZ58" s="91"/>
      <c r="BA58" s="91"/>
      <c r="BB58" s="91"/>
      <c r="BC58" s="91"/>
      <c r="BD58" s="91"/>
      <c r="BE58" s="91"/>
      <c r="BF58" s="91"/>
      <c r="BG58" s="91"/>
      <c r="BH58" s="91"/>
      <c r="BI58" s="91"/>
      <c r="BJ58" s="91"/>
      <c r="BK58" s="91"/>
      <c r="BL58" s="91"/>
      <c r="BM58" s="91"/>
      <c r="BN58" s="91"/>
      <c r="BO58" s="91"/>
      <c r="BP58" s="91"/>
      <c r="BQ58" s="91"/>
      <c r="BR58" s="91"/>
      <c r="BS58" s="91"/>
      <c r="BT58" s="91"/>
      <c r="BU58" s="91"/>
      <c r="BV58" s="91"/>
      <c r="BW58" s="91"/>
      <c r="BX58" s="91"/>
      <c r="BY58" s="93"/>
      <c r="BZ58" s="91"/>
      <c r="CA58" s="91"/>
      <c r="CB58" s="91"/>
      <c r="CC58" s="91"/>
      <c r="CD58" s="91"/>
      <c r="CE58" s="93"/>
      <c r="CF58" s="91"/>
      <c r="CG58" s="91"/>
      <c r="CH58" s="91"/>
      <c r="CI58" s="91"/>
      <c r="CJ58" s="91"/>
      <c r="CK58" s="93"/>
      <c r="CL58" s="91"/>
      <c r="CM58" s="91"/>
      <c r="CN58" s="91"/>
      <c r="CO58" s="91"/>
      <c r="CP58" s="91"/>
      <c r="CQ58" s="93"/>
      <c r="CR58" s="91"/>
      <c r="CS58" s="91"/>
      <c r="CT58" s="91"/>
      <c r="CU58" s="91"/>
      <c r="CV58" s="91"/>
      <c r="CW58" s="93"/>
      <c r="CY58" s="91"/>
      <c r="CZ58" s="91"/>
      <c r="DA58" s="91"/>
      <c r="DB58" s="91"/>
      <c r="DC58" s="93"/>
      <c r="DE58" s="91"/>
      <c r="DF58" s="91"/>
      <c r="DG58" s="91"/>
      <c r="DH58" s="91"/>
      <c r="DI58" s="93"/>
    </row>
    <row r="59" spans="1:119" ht="11.25" customHeight="1">
      <c r="A59" s="115" t="s">
        <v>104</v>
      </c>
      <c r="B59" s="116"/>
      <c r="C59" s="117">
        <f>IF(IS!C24&lt;0,"NM",(-IS!C24/IS!C26))</f>
        <v>2.5571587125416149</v>
      </c>
      <c r="D59" s="116"/>
      <c r="E59" s="117">
        <f>IF(IS!E24&lt;0,"NM",(-IS!E24/IS!E26))</f>
        <v>7.1609702315325299</v>
      </c>
      <c r="F59" s="116"/>
      <c r="G59" s="117">
        <f>IF(IS!G24&lt;0,"NM",(-IS!G24/IS!G26))</f>
        <v>25.572115384615387</v>
      </c>
      <c r="H59" s="116"/>
      <c r="I59" s="117">
        <f>IF(IS!I24&lt;0,"NM",(-IS!I24/IS!I26))</f>
        <v>421.00000000000051</v>
      </c>
      <c r="J59" s="116"/>
      <c r="K59" s="117">
        <f>IF(IS!K24&lt;0,"NM",(-IS!K24/IS!K26))</f>
        <v>15.539351851851837</v>
      </c>
      <c r="L59" s="116"/>
      <c r="M59" s="117">
        <f>IF(IS!M24&lt;0,"NM",(-IS!M24/IS!M26))</f>
        <v>7.6828571428571575</v>
      </c>
      <c r="N59" s="116"/>
      <c r="O59" s="117">
        <f>IF(IS!O24&lt;0,"NM",(-IS!O24/IS!O26))</f>
        <v>3.7882298424467122</v>
      </c>
      <c r="P59" s="116"/>
      <c r="Q59" s="117">
        <f>IF(IS!Q24&lt;0,"NM",(-IS!Q24/IS!Q26))</f>
        <v>15.74939290917921</v>
      </c>
      <c r="R59" s="116"/>
      <c r="S59" s="319">
        <f>IF(IS!S24&lt;0,"NM",(-IS!S24/IS!S26))</f>
        <v>31.511054421768687</v>
      </c>
      <c r="T59" s="116">
        <f>IF(IS!T24&lt;0,"NM",(-IS!T24/IS!T26))</f>
        <v>19.576499999999974</v>
      </c>
      <c r="U59" s="116">
        <f>IF(IS!U24&lt;0,"NM",(-IS!U24/IS!U26))</f>
        <v>14.392716535433079</v>
      </c>
      <c r="V59" s="116">
        <f>IF(IS!V24&lt;0,"NM",(-IS!V24/IS!V26))</f>
        <v>30.605721393034873</v>
      </c>
      <c r="W59" s="117">
        <f>IF(IS!W24&lt;0,"NM",(-IS!W24/IS!W26))</f>
        <v>22.452524316813324</v>
      </c>
      <c r="X59" s="116"/>
      <c r="Y59" s="319">
        <f>IF(IS!Y24&lt;0,"NM",(-IS!Y24/IS!Y26))</f>
        <v>43.533870967741947</v>
      </c>
      <c r="Z59" s="116">
        <f>IF(IS!Z24&lt;0,"NM",(-IS!Z24/IS!Z26))</f>
        <v>35.033734939759015</v>
      </c>
      <c r="AA59" s="116">
        <f>IF(IS!AA24&lt;0,"NM",(-IS!AA24/IS!AA26))</f>
        <v>39.635233160621738</v>
      </c>
      <c r="AB59" s="116">
        <f>IF(IS!AB24&lt;0,"NM",(-IS!AB24/IS!AB26))</f>
        <v>-685.93913043478199</v>
      </c>
      <c r="AC59" s="117">
        <f>IF(IS!AC24&lt;0,"NM",(-IS!AC24/IS!AC26))</f>
        <v>75.304347826086996</v>
      </c>
      <c r="AD59" s="116"/>
      <c r="AE59" s="319">
        <f>IF(IS!AE24&lt;0,"NM",(-IS!AE24/IS!AE26))</f>
        <v>10.851851851851849</v>
      </c>
      <c r="AF59" s="116">
        <f>IF(IS!AF24&lt;0,"NM",(-IS!AF24/IS!AF26))</f>
        <v>9.6578947368421062</v>
      </c>
      <c r="AG59" s="116">
        <f>IF(IS!AG24&lt;0,"NM",(-IS!AG24/IS!AG26))</f>
        <v>7.0000000000000018</v>
      </c>
      <c r="AH59" s="116">
        <f>IF(IS!AH24&lt;0,"NM",(-IS!AH24/IS!AH26))</f>
        <v>32.722222222222165</v>
      </c>
      <c r="AI59" s="117">
        <f>IF(IS!AI24&lt;0,"NM",(-IS!AI24/IS!AI26))</f>
        <v>12.709401709401698</v>
      </c>
      <c r="AJ59" s="116"/>
      <c r="AK59" s="319">
        <f>IF(IS!AK24&lt;0,"NM",(-IS!AK24/IS!AK26))</f>
        <v>9.2608695652173836</v>
      </c>
      <c r="AL59" s="116">
        <f>IF(IS!AL24&lt;0,"NM",(-IS!AL24/IS!AL26))</f>
        <v>12.428571428571422</v>
      </c>
      <c r="AM59" s="116">
        <f>IF(IS!AM24&lt;0,"NM",(-IS!AM24/IS!AM26))</f>
        <v>18.27777777777775</v>
      </c>
      <c r="AN59" s="116">
        <f>IF(IS!AN24&lt;0,"NM",(-IS!AN24/IS!AN26))</f>
        <v>61.384615384615365</v>
      </c>
      <c r="AO59" s="117">
        <f>IF(IS!AO24&lt;0,"NM",(-IS!AO24/IS!AO26))</f>
        <v>21.346666666666643</v>
      </c>
      <c r="AP59" s="116"/>
      <c r="AQ59" s="319">
        <f>IF(IS!AQ24&lt;0,"NM",(-IS!AQ24/IS!AQ26))</f>
        <v>24.333333333333343</v>
      </c>
      <c r="AR59" s="116">
        <f>IF(IS!AR24&lt;0,"NM",(-IS!AR24/IS!AR26))</f>
        <v>37.692307692307665</v>
      </c>
      <c r="AS59" s="116">
        <f>IF(IS!AS24&lt;0,"NM",(-IS!AS24/IS!AS26))</f>
        <v>47.333333333333336</v>
      </c>
      <c r="AT59" s="116">
        <f>IF(IS!AT24&lt;0,"NM",(-IS!AT24/IS!AT26))</f>
        <v>47.249999999999972</v>
      </c>
      <c r="AU59" s="117">
        <f>IF(IS!AU24&lt;0,"NM",(-IS!AU24/IS!AU26))</f>
        <v>38.910714285714306</v>
      </c>
      <c r="AV59" s="116"/>
      <c r="AW59" s="319">
        <f>IF(IS!AW24&lt;0,"NM",(-IS!AW24/IS!AW26))</f>
        <v>30.399999999999995</v>
      </c>
      <c r="AX59" s="116">
        <f>IF(IS!AX24&lt;0,"NM",(-IS!AX24/IS!AX26))</f>
        <v>38.625000000000064</v>
      </c>
      <c r="AY59" s="116">
        <f>IF(IS!AY24&lt;0,"NM",(-IS!AY24/IS!AY26))</f>
        <v>35.764705882352935</v>
      </c>
      <c r="AZ59" s="116">
        <f>IF(IS!AZ24&lt;0,"NM",(-IS!AZ24/IS!AZ26))</f>
        <v>28.519999999999925</v>
      </c>
      <c r="BA59" s="117">
        <f>IF(IS!BA24&lt;0,"NM",(-IS!BA24/IS!BA26))</f>
        <v>32.808219178082169</v>
      </c>
      <c r="BB59" s="116"/>
      <c r="BC59" s="319">
        <f>IF(IS!BC24&lt;0,"NM",(-IS!BC24/IS!BC26))</f>
        <v>14.885714285714275</v>
      </c>
      <c r="BD59" s="116">
        <f>IF(IS!BD24&lt;0,"NM",(-IS!BD24/IS!BD26))</f>
        <v>11.777777777777787</v>
      </c>
      <c r="BE59" s="116">
        <f>IF(IS!BE24&lt;0,"NM",(-IS!BE24/IS!BE26))</f>
        <v>21.611111111111114</v>
      </c>
      <c r="BF59" s="116">
        <f>IF(IS!BF24&lt;0,"NM",(-IS!BF24/IS!BF26))</f>
        <v>11.971428571428588</v>
      </c>
      <c r="BG59" s="117">
        <f>IF(IS!BG24&lt;0,"NM",(-IS!BG24/IS!BG26))</f>
        <v>14.468926553672325</v>
      </c>
      <c r="BH59" s="116"/>
      <c r="BI59" s="319">
        <f>IF(IS!BI24&lt;0,"NM",(-IS!BI24/IS!BI26))</f>
        <v>10.8709677419355</v>
      </c>
      <c r="BJ59" s="116">
        <f>IF(IS!BJ24&lt;0,"NM",(-IS!BJ24/IS!BJ26))</f>
        <v>20.387096774193541</v>
      </c>
      <c r="BK59" s="116">
        <f>IF(IS!BK24&lt;0,"NM",(-IS!BK24/IS!BK26))</f>
        <v>12.212765957446798</v>
      </c>
      <c r="BL59" s="116">
        <f>IF(IS!BL24&lt;0,"NM",(-IS!BL24/IS!BL26))</f>
        <v>7.2283464566929201</v>
      </c>
      <c r="BM59" s="117">
        <f>IF(IS!BM24&lt;0,"NM",(-IS!BM24/IS!BM26))</f>
        <v>10.427966101694915</v>
      </c>
      <c r="BN59" s="116"/>
      <c r="BO59" s="319">
        <f>IF(IS!BO24&lt;0,"NM",(-IS!BO24/IS!BO26))</f>
        <v>14.033333333333351</v>
      </c>
      <c r="BP59" s="116">
        <f>IF(IS!BP24&lt;0,"NM",(-IS!BP24/IS!BP26))</f>
        <v>20.22580645161289</v>
      </c>
      <c r="BQ59" s="116">
        <f>IF(IS!BQ24&lt;0,"NM",(-IS!BQ24/IS!BQ26))</f>
        <v>15.124999999999993</v>
      </c>
      <c r="BR59" s="116">
        <f>IF(IS!BR24&lt;0,"NM",(-IS!BR24/IS!BR26))</f>
        <v>22.093750000000036</v>
      </c>
      <c r="BS59" s="117">
        <f>IF(IS!BS24&lt;0,"NM",(-IS!BS24/IS!BS26))</f>
        <v>17.912000000000006</v>
      </c>
      <c r="BT59" s="116"/>
      <c r="BU59" s="319">
        <f>IF(IS!BU24&lt;0,"NM",(-IS!BU24/IS!BU26))</f>
        <v>14.225806451612906</v>
      </c>
      <c r="BV59" s="116">
        <f>IF(IS!BV24&lt;0,"NM",(-IS!BV24/IS!BV26))</f>
        <v>8.483333333333329</v>
      </c>
      <c r="BW59" s="116">
        <f>IF(IS!BW24&lt;0,"NM",(-IS!BW24/IS!BW26))</f>
        <v>29.047619047619055</v>
      </c>
      <c r="BX59" s="116">
        <f>IF(IS!BX24&lt;0,"NM",(-IS!BX24/IS!BX26))</f>
        <v>50.999999999999922</v>
      </c>
      <c r="BY59" s="117">
        <f>IF(IS!BY24&lt;0,"NM",(-IS!BY24/IS!BY26))</f>
        <v>19.061538461538465</v>
      </c>
      <c r="BZ59" s="116"/>
      <c r="CA59" s="319">
        <f>IF(IS!CA24&lt;0,"NM",(-IS!CA24/IS!CA26))</f>
        <v>9.8392857142857206</v>
      </c>
      <c r="CB59" s="116">
        <f>IF(IS!CB24&lt;0,"NM",(-IS!CB24/IS!CB26))</f>
        <v>18.500000000000021</v>
      </c>
      <c r="CC59" s="116">
        <f>IF(IS!CC24&lt;0,"NM",(-IS!CC24/IS!CC26))</f>
        <v>23.068965517241367</v>
      </c>
      <c r="CD59" s="116">
        <f>IF(IS!CD24&lt;0,"NM",(-IS!CD24/IS!CD26))</f>
        <v>-43.652173913043455</v>
      </c>
      <c r="CE59" s="117">
        <f>IF(IS!CE24&lt;0,"NM",(-IS!CE24/IS!CE26))</f>
        <v>30.738636363636374</v>
      </c>
      <c r="CF59" s="116"/>
      <c r="CG59" s="319">
        <f>IF(IS!CG24&lt;0,"NM",(-IS!CG24/IS!CG26))</f>
        <v>9.5666666666666647</v>
      </c>
      <c r="CH59" s="116">
        <f>IF(IS!CH24&lt;0,"NM",(-IS!CH24/IS!CH26))</f>
        <v>15.842105263157892</v>
      </c>
      <c r="CI59" s="116">
        <f>IF(IS!CI24&lt;0,"NM",(-IS!CI24/IS!CI26))</f>
        <v>29.319999999999983</v>
      </c>
      <c r="CJ59" s="116">
        <f>IF(IS!CJ24&lt;0,"NM",(-IS!CJ24/IS!CJ26))</f>
        <v>25.978260869565261</v>
      </c>
      <c r="CK59" s="117">
        <f>IF(IS!CK24&lt;0,"NM",(-IS!CK24/IS!CK26))</f>
        <v>18.366863905325449</v>
      </c>
      <c r="CL59" s="116"/>
      <c r="CM59" s="319">
        <f>IF(IS!CM24&lt;0,"NM",(-IS!CM24/IS!CM26))</f>
        <v>17.756222937537274</v>
      </c>
      <c r="CN59" s="116">
        <f>IF(IS!CN24&lt;0,"NM",(-IS!CN24/IS!CN26))</f>
        <v>20.810802863402689</v>
      </c>
      <c r="CO59" s="116">
        <f>IF(IS!CO24&lt;0,"NM",(-IS!CO24/IS!CO26))</f>
        <v>24.206256194184025</v>
      </c>
      <c r="CP59" s="116">
        <f>IF(IS!CP24&lt;0,"NM",(-IS!CP24/IS!CP26))</f>
        <v>35.50903880604595</v>
      </c>
      <c r="CQ59" s="117">
        <f>IF(IS!CQ24&lt;0,"NM",(-IS!CQ24/IS!CQ26))</f>
        <v>24.692762656437264</v>
      </c>
      <c r="CR59" s="116"/>
      <c r="CS59" s="319">
        <f>IF(IS!CS24&lt;0,"NM",(-IS!CS24/IS!CS26))</f>
        <v>23.553632330099724</v>
      </c>
      <c r="CT59" s="116">
        <f>IF(IS!CT24&lt;0,"NM",(-IS!CT24/IS!CT26))</f>
        <v>23.840779036978383</v>
      </c>
      <c r="CU59" s="116">
        <f>IF(IS!CU24&lt;0,"NM",(-IS!CU24/IS!CU26))</f>
        <v>24.955842732755784</v>
      </c>
      <c r="CV59" s="116">
        <f>IF(IS!CV24&lt;0,"NM",(-IS!CV24/IS!CV26))</f>
        <v>31.302700557638264</v>
      </c>
      <c r="CW59" s="117">
        <f>IF(IS!CW24&lt;0,"NM",(-IS!CW24/IS!CW26))</f>
        <v>25.898977904823123</v>
      </c>
      <c r="CY59" s="319">
        <f>IF(IS!CY24&lt;0,"NM",(-IS!CY24/IS!CY26))</f>
        <v>25.607118307635705</v>
      </c>
      <c r="CZ59" s="116">
        <f>IF(IS!CZ24&lt;0,"NM",(-IS!CZ24/IS!CZ26))</f>
        <v>26.235395780275738</v>
      </c>
      <c r="DA59" s="116">
        <f>IF(IS!DA24&lt;0,"NM",(-IS!DA24/IS!DA26))</f>
        <v>27.314415620538298</v>
      </c>
      <c r="DB59" s="116">
        <f>IF(IS!DB24&lt;0,"NM",(-IS!DB24/IS!DB26))</f>
        <v>33.790592522676526</v>
      </c>
      <c r="DC59" s="117">
        <f>IF(IS!DC24&lt;0,"NM",(-IS!DC24/IS!DC26))</f>
        <v>28.236880557781564</v>
      </c>
      <c r="DE59" s="319">
        <f>IF(IS!DE24&lt;0,"NM",(-IS!DE24/IS!DE26))</f>
        <v>27.608472966425463</v>
      </c>
      <c r="DF59" s="116">
        <f>IF(IS!DF24&lt;0,"NM",(-IS!DF24/IS!DF26))</f>
        <v>28.688826569507519</v>
      </c>
      <c r="DG59" s="116">
        <f>IF(IS!DG24&lt;0,"NM",(-IS!DG24/IS!DG26))</f>
        <v>29.412179770353593</v>
      </c>
      <c r="DH59" s="116">
        <f>IF(IS!DH24&lt;0,"NM",(-IS!DH24/IS!DH26))</f>
        <v>36.82643397313484</v>
      </c>
      <c r="DI59" s="117">
        <f>IF(IS!DI24&lt;0,"NM",(-IS!DI24/IS!DI26))</f>
        <v>30.633978319855345</v>
      </c>
    </row>
    <row r="60" spans="1:119" ht="11.25" customHeight="1">
      <c r="A60" s="118" t="s">
        <v>105</v>
      </c>
      <c r="B60" s="116"/>
      <c r="C60" s="119" t="str">
        <f>IF(IS!C20&lt;0,"NM",(-IS!C20/IS!C26))</f>
        <v>NM</v>
      </c>
      <c r="D60" s="116"/>
      <c r="E60" s="119">
        <f>IF(IS!E20&lt;0,"NM",(-IS!E20/IS!E26))</f>
        <v>3.5038588754134556</v>
      </c>
      <c r="F60" s="116"/>
      <c r="G60" s="119">
        <f>IF(IS!G20&lt;0,"NM",(-IS!G20/IS!G26))</f>
        <v>10.1875</v>
      </c>
      <c r="H60" s="116"/>
      <c r="I60" s="119">
        <f>IF(IS!I20&lt;0,"NM",(-IS!I20/IS!I26))</f>
        <v>171.58823529411814</v>
      </c>
      <c r="J60" s="116"/>
      <c r="K60" s="119">
        <f>IF(IS!K20&lt;0,"NM",(-IS!K20/IS!K26))</f>
        <v>6.4158950617283823</v>
      </c>
      <c r="L60" s="116"/>
      <c r="M60" s="119">
        <f>IF(IS!M20&lt;0,"NM",(-IS!M20/IS!M26))</f>
        <v>1.8668571428571568</v>
      </c>
      <c r="N60" s="116"/>
      <c r="O60" s="119" t="str">
        <f>IF(IS!O20&lt;0,"NM",(-IS!O20/IS!O26))</f>
        <v>NM</v>
      </c>
      <c r="P60" s="116"/>
      <c r="Q60" s="119">
        <f>IF(IS!Q20&lt;0,"NM",(-IS!Q20/IS!Q26))</f>
        <v>10.889752306945116</v>
      </c>
      <c r="R60" s="116"/>
      <c r="S60" s="320">
        <f>IF(IS!S20&lt;0,"NM",(-IS!S20/IS!S26))</f>
        <v>20.551020408163247</v>
      </c>
      <c r="T60" s="116">
        <f>IF(IS!T20&lt;0,"NM",(-IS!T20/IS!T26))</f>
        <v>13.131999999999977</v>
      </c>
      <c r="U60" s="116">
        <f>IF(IS!U20&lt;0,"NM",(-IS!U20/IS!U26))</f>
        <v>10.426509186351716</v>
      </c>
      <c r="V60" s="116">
        <f>IF(IS!V20&lt;0,"NM",(-IS!V20/IS!V26))</f>
        <v>26.257048092869031</v>
      </c>
      <c r="W60" s="119">
        <f>IF(IS!W20&lt;0,"NM",(-IS!W20/IS!W26))</f>
        <v>16.853172765169045</v>
      </c>
      <c r="X60" s="116"/>
      <c r="Y60" s="320">
        <f>IF(IS!Y20&lt;0,"NM",(-IS!Y20/IS!Y26))</f>
        <v>32.424193548387109</v>
      </c>
      <c r="Z60" s="116">
        <f>IF(IS!Z20&lt;0,"NM",(-IS!Z20/IS!Z26))</f>
        <v>26.734939759036127</v>
      </c>
      <c r="AA60" s="116">
        <f>IF(IS!AA20&lt;0,"NM",(-IS!AA20/IS!AA26))</f>
        <v>32.186528497409299</v>
      </c>
      <c r="AB60" s="116">
        <f>IF(IS!AB20&lt;0,"NM",(-IS!AB20/IS!AB26))</f>
        <v>-643.01739130434737</v>
      </c>
      <c r="AC60" s="119">
        <f>IF(IS!AC20&lt;0,"NM",(-IS!AC20/IS!AC26))</f>
        <v>64.043478260869605</v>
      </c>
      <c r="AD60" s="116"/>
      <c r="AE60" s="320">
        <f>IF(IS!AE20&lt;0,"NM",(-IS!AE20/IS!AE26))</f>
        <v>8.2592592592592577</v>
      </c>
      <c r="AF60" s="116">
        <f>IF(IS!AF20&lt;0,"NM",(-IS!AF20/IS!AF26))</f>
        <v>7.8684210526315805</v>
      </c>
      <c r="AG60" s="116">
        <f>IF(IS!AG20&lt;0,"NM",(-IS!AG20/IS!AG26))</f>
        <v>4.8235294117647074</v>
      </c>
      <c r="AH60" s="116">
        <f>IF(IS!AH20&lt;0,"NM",(-IS!AH20/IS!AH26))</f>
        <v>29.222222222222168</v>
      </c>
      <c r="AI60" s="119">
        <f>IF(IS!AI20&lt;0,"NM",(-IS!AI20/IS!AI26))</f>
        <v>10.358974358974347</v>
      </c>
      <c r="AJ60" s="116"/>
      <c r="AK60" s="320">
        <f>IF(IS!AK20&lt;0,"NM",(-IS!AK20/IS!AK26))</f>
        <v>6.5652173913043397</v>
      </c>
      <c r="AL60" s="116">
        <f>IF(IS!AL20&lt;0,"NM",(-IS!AL20/IS!AL26))</f>
        <v>9.3809523809523743</v>
      </c>
      <c r="AM60" s="116">
        <f>IF(IS!AM20&lt;0,"NM",(-IS!AM20/IS!AM26))</f>
        <v>14.666666666666638</v>
      </c>
      <c r="AN60" s="116">
        <f>IF(IS!AN20&lt;0,"NM",(-IS!AN20/IS!AN26))</f>
        <v>54.615384615384599</v>
      </c>
      <c r="AO60" s="119">
        <f>IF(IS!AO20&lt;0,"NM",(-IS!AO20/IS!AO26))</f>
        <v>17.626666666666644</v>
      </c>
      <c r="AP60" s="116"/>
      <c r="AQ60" s="320">
        <f>IF(IS!AQ20&lt;0,"NM",(-IS!AQ20/IS!AQ26))</f>
        <v>19.666666666666675</v>
      </c>
      <c r="AR60" s="116">
        <f>IF(IS!AR20&lt;0,"NM",(-IS!AR20/IS!AR26))</f>
        <v>32.615384615384585</v>
      </c>
      <c r="AS60" s="116">
        <f>IF(IS!AS20&lt;0,"NM",(-IS!AS20/IS!AS26))</f>
        <v>40.583333333333336</v>
      </c>
      <c r="AT60" s="116">
        <f>IF(IS!AT20&lt;0,"NM",(-IS!AT20/IS!AT26))</f>
        <v>41.874999999999972</v>
      </c>
      <c r="AU60" s="119">
        <f>IF(IS!AU20&lt;0,"NM",(-IS!AU20/IS!AU26))</f>
        <v>33.500000000000014</v>
      </c>
      <c r="AV60" s="116"/>
      <c r="AW60" s="320">
        <f>IF(IS!AW20&lt;0,"NM",(-IS!AW20/IS!AW26))</f>
        <v>25.066666666666663</v>
      </c>
      <c r="AX60" s="116">
        <f>IF(IS!AX20&lt;0,"NM",(-IS!AX20/IS!AX26))</f>
        <v>32.625000000000064</v>
      </c>
      <c r="AY60" s="116">
        <f>IF(IS!AY20&lt;0,"NM",(-IS!AY20/IS!AY26))</f>
        <v>30.70588235294117</v>
      </c>
      <c r="AZ60" s="116">
        <f>IF(IS!AZ20&lt;0,"NM",(-IS!AZ20/IS!AZ26))</f>
        <v>25.079999999999927</v>
      </c>
      <c r="BA60" s="119">
        <f>IF(IS!BA20&lt;0,"NM",(-IS!BA20/IS!BA26))</f>
        <v>28.041095890410936</v>
      </c>
      <c r="BB60" s="116"/>
      <c r="BC60" s="320">
        <f>IF(IS!BC20&lt;0,"NM",(-IS!BC20/IS!BC26))</f>
        <v>12.457142857142847</v>
      </c>
      <c r="BD60" s="116">
        <f>IF(IS!BD20&lt;0,"NM",(-IS!BD20/IS!BD26))</f>
        <v>9.166666666666675</v>
      </c>
      <c r="BE60" s="116">
        <f>IF(IS!BE20&lt;0,"NM",(-IS!BE20/IS!BE26))</f>
        <v>19.277777777777779</v>
      </c>
      <c r="BF60" s="116">
        <f>IF(IS!BF20&lt;0,"NM",(-IS!BF20/IS!BF26))</f>
        <v>10.428571428571445</v>
      </c>
      <c r="BG60" s="119">
        <f>IF(IS!BG20&lt;0,"NM",(-IS!BG20/IS!BG26))</f>
        <v>12.37288135593221</v>
      </c>
      <c r="BH60" s="116"/>
      <c r="BI60" s="320">
        <f>IF(IS!BI20&lt;0,"NM",(-IS!BI20/IS!BI26))</f>
        <v>7.6129032258064679</v>
      </c>
      <c r="BJ60" s="116">
        <f>IF(IS!BJ20&lt;0,"NM",(-IS!BJ20/IS!BJ26))</f>
        <v>17.193548387096769</v>
      </c>
      <c r="BK60" s="116">
        <f>IF(IS!BK20&lt;0,"NM",(-IS!BK20/IS!BK26))</f>
        <v>10.063829787234033</v>
      </c>
      <c r="BL60" s="116">
        <f>IF(IS!BL20&lt;0,"NM",(-IS!BL20/IS!BL26))</f>
        <v>6.4015748031496136</v>
      </c>
      <c r="BM60" s="119">
        <f>IF(IS!BM20&lt;0,"NM",(-IS!BM20/IS!BM26))</f>
        <v>8.7076271186440675</v>
      </c>
      <c r="BN60" s="116"/>
      <c r="BO60" s="320">
        <f>IF(IS!BO20&lt;0,"NM",(-IS!BO20/IS!BO26))</f>
        <v>10.700000000000017</v>
      </c>
      <c r="BP60" s="116">
        <f>IF(IS!BP20&lt;0,"NM",(-IS!BP20/IS!BP26))</f>
        <v>16.999999999999986</v>
      </c>
      <c r="BQ60" s="116">
        <f>IF(IS!BQ20&lt;0,"NM",(-IS!BQ20/IS!BQ26))</f>
        <v>11.218749999999993</v>
      </c>
      <c r="BR60" s="116">
        <f>IF(IS!BR20&lt;0,"NM",(-IS!BR20/IS!BR26))</f>
        <v>19.906250000000036</v>
      </c>
      <c r="BS60" s="119">
        <f>IF(IS!BS20&lt;0,"NM",(-IS!BS20/IS!BS26))</f>
        <v>14.752000000000008</v>
      </c>
      <c r="BT60" s="116"/>
      <c r="BU60" s="320">
        <f>IF(IS!BU20&lt;0,"NM",(-IS!BU20/IS!BU26))</f>
        <v>11.548387096774198</v>
      </c>
      <c r="BV60" s="116">
        <f>IF(IS!BV20&lt;0,"NM",(-IS!BV20/IS!BV26))</f>
        <v>7.1499999999999959</v>
      </c>
      <c r="BW60" s="116">
        <f>IF(IS!BW20&lt;0,"NM",(-IS!BW20/IS!BW26))</f>
        <v>25.142857142857146</v>
      </c>
      <c r="BX60" s="116">
        <f>IF(IS!BX20&lt;0,"NM",(-IS!BX20/IS!BX26))</f>
        <v>46.499999999999929</v>
      </c>
      <c r="BY60" s="119">
        <f>IF(IS!BY20&lt;0,"NM",(-IS!BY20/IS!BY26))</f>
        <v>16.553846153846159</v>
      </c>
      <c r="BZ60" s="116"/>
      <c r="CA60" s="320">
        <f>IF(IS!CA20&lt;0,"NM",(-IS!CA20/IS!CA26))</f>
        <v>8.4464285714285783</v>
      </c>
      <c r="CB60" s="116">
        <f>IF(IS!CB20&lt;0,"NM",(-IS!CB20/IS!CB26))</f>
        <v>15.384615384615406</v>
      </c>
      <c r="CC60" s="116">
        <f>IF(IS!CC20&lt;0,"NM",(-IS!CC20/IS!CC26))</f>
        <v>20.206896551724128</v>
      </c>
      <c r="CD60" s="116">
        <f>IF(IS!CD20&lt;0,"NM",(-IS!CD20/IS!CD26))</f>
        <v>-39.999999999999979</v>
      </c>
      <c r="CE60" s="119">
        <f>IF(IS!CE20&lt;0,"NM",(-IS!CE20/IS!CE26))</f>
        <v>27.034090909090917</v>
      </c>
      <c r="CF60" s="116"/>
      <c r="CG60" s="320">
        <f>IF(IS!CG20&lt;0,"NM",(-IS!CG20/IS!CG26))</f>
        <v>8.1999999999999975</v>
      </c>
      <c r="CH60" s="116">
        <f>IF(IS!CH20&lt;0,"NM",(-IS!CH20/IS!CH26))</f>
        <v>13.605263157894735</v>
      </c>
      <c r="CI60" s="116">
        <f>IF(IS!CI20&lt;0,"NM",(-IS!CI20/IS!CI26))</f>
        <v>25.75999999999998</v>
      </c>
      <c r="CJ60" s="116">
        <f>IF(IS!CJ20&lt;0,"NM",(-IS!CJ20/IS!CJ26))</f>
        <v>24.086956521739179</v>
      </c>
      <c r="CK60" s="119">
        <f>IF(IS!CK20&lt;0,"NM",(-IS!CK20/IS!CK26))</f>
        <v>16.337278106508879</v>
      </c>
      <c r="CL60" s="116"/>
      <c r="CM60" s="320">
        <f>IF(IS!CM20&lt;0,"NM",(-IS!CM20/IS!CM26))</f>
        <v>14.691649081372198</v>
      </c>
      <c r="CN60" s="116">
        <f>IF(IS!CN20&lt;0,"NM",(-IS!CN20/IS!CN26))</f>
        <v>17.259397671833295</v>
      </c>
      <c r="CO60" s="116">
        <f>IF(IS!CO20&lt;0,"NM",(-IS!CO20/IS!CO26))</f>
        <v>21.061252821939576</v>
      </c>
      <c r="CP60" s="116">
        <f>IF(IS!CP20&lt;0,"NM",(-IS!CP20/IS!CP26))</f>
        <v>32.321756503215767</v>
      </c>
      <c r="CQ60" s="119">
        <f>IF(IS!CQ20&lt;0,"NM",(-IS!CQ20/IS!CQ26))</f>
        <v>21.465911631838257</v>
      </c>
      <c r="CR60" s="116"/>
      <c r="CS60" s="320">
        <f>IF(IS!CS20&lt;0,"NM",(-IS!CS20/IS!CS26))</f>
        <v>20.314060273802102</v>
      </c>
      <c r="CT60" s="116">
        <f>IF(IS!CT20&lt;0,"NM",(-IS!CT20/IS!CT26))</f>
        <v>20.652961466065644</v>
      </c>
      <c r="CU60" s="116">
        <f>IF(IS!CU20&lt;0,"NM",(-IS!CU20/IS!CU26))</f>
        <v>21.641519829167461</v>
      </c>
      <c r="CV60" s="116">
        <f>IF(IS!CV20&lt;0,"NM",(-IS!CV20/IS!CV26))</f>
        <v>27.949510866284736</v>
      </c>
      <c r="CW60" s="119">
        <f>IF(IS!CW20&lt;0,"NM",(-IS!CW20/IS!CW26))</f>
        <v>22.625843488960623</v>
      </c>
      <c r="CY60" s="320">
        <f>IF(IS!CY20&lt;0,"NM",(-IS!CY20/IS!CY26))</f>
        <v>22.204271049936303</v>
      </c>
      <c r="CZ60" s="116">
        <f>IF(IS!CZ20&lt;0,"NM",(-IS!CZ20/IS!CZ26))</f>
        <v>22.794965853227374</v>
      </c>
      <c r="DA60" s="116">
        <f>IF(IS!DA20&lt;0,"NM",(-IS!DA20/IS!DA26))</f>
        <v>23.835449551852342</v>
      </c>
      <c r="DB60" s="116">
        <f>IF(IS!DB20&lt;0,"NM",(-IS!DB20/IS!DB26))</f>
        <v>30.271410811588975</v>
      </c>
      <c r="DC60" s="119">
        <f>IF(IS!DC20&lt;0,"NM",(-IS!DC20/IS!DC26))</f>
        <v>24.776524316651248</v>
      </c>
      <c r="DE60" s="320">
        <f>IF(IS!DE20&lt;0,"NM",(-IS!DE20/IS!DE26))</f>
        <v>24.038686981315223</v>
      </c>
      <c r="DF60" s="116">
        <f>IF(IS!DF20&lt;0,"NM",(-IS!DF20/IS!DF26))</f>
        <v>25.080847244872604</v>
      </c>
      <c r="DG60" s="116">
        <f>IF(IS!DG20&lt;0,"NM",(-IS!DG20/IS!DG26))</f>
        <v>25.764422418442518</v>
      </c>
      <c r="DH60" s="116">
        <f>IF(IS!DH20&lt;0,"NM",(-IS!DH20/IS!DH26))</f>
        <v>33.137859163408315</v>
      </c>
      <c r="DI60" s="119">
        <f>IF(IS!DI20&lt;0,"NM",(-IS!DI20/IS!DI26))</f>
        <v>27.005453952009656</v>
      </c>
    </row>
    <row r="61" spans="1:119" ht="11.25" customHeight="1">
      <c r="A61" s="118" t="s">
        <v>106</v>
      </c>
      <c r="B61" s="116"/>
      <c r="C61" s="119">
        <f>IF(C50&lt;0,"NM",(C50/IS!C24))</f>
        <v>7.286814670138904</v>
      </c>
      <c r="D61" s="116"/>
      <c r="E61" s="119">
        <f>IF(E50&lt;0,"NM",(E50/IS!E24))</f>
        <v>1.985681293302539</v>
      </c>
      <c r="F61" s="116"/>
      <c r="G61" s="119" t="str">
        <f>IF(G50&lt;0,"NM",(G50/IS!G24))</f>
        <v>NM</v>
      </c>
      <c r="H61" s="116"/>
      <c r="I61" s="119" t="str">
        <f>IF(I50&lt;0,"NM",(I50/IS!I24))</f>
        <v>NM</v>
      </c>
      <c r="J61" s="116"/>
      <c r="K61" s="119" t="str">
        <f>IF(K50&lt;0,"NM",(K50/IS!K24))</f>
        <v>NM</v>
      </c>
      <c r="L61" s="116"/>
      <c r="M61" s="119" t="str">
        <f>IF(M50&lt;0,"NM",(M50/IS!M24))</f>
        <v>NM</v>
      </c>
      <c r="N61" s="116"/>
      <c r="O61" s="119" t="str">
        <f>IF(O50&lt;0,"NM",(O50/IS!O24))</f>
        <v>NM</v>
      </c>
      <c r="P61" s="116"/>
      <c r="Q61" s="119" t="str">
        <f>IF(Q50&lt;0,"NM",(Q50/IS!Q24))</f>
        <v>NM</v>
      </c>
      <c r="R61" s="116"/>
      <c r="S61" s="320" t="str">
        <f>IF(S50&lt;0,"NM",(S50/(IS!S24*4)))</f>
        <v>NM</v>
      </c>
      <c r="T61" s="116" t="str">
        <f>IF(T50&lt;0,"NM",(T50/(IS!T24*4)))</f>
        <v>NM</v>
      </c>
      <c r="U61" s="116">
        <f>IF(U50&lt;0,"NM",(U50/(IS!U24*4)))</f>
        <v>0.27919487565251067</v>
      </c>
      <c r="V61" s="116" t="str">
        <f>IF(V50&lt;0,"NM",(V50/(IS!V24*4)))</f>
        <v>NM</v>
      </c>
      <c r="W61" s="119" t="str">
        <f>IF(W50&lt;0,"NM",(W50/IS!W24))</f>
        <v>NM</v>
      </c>
      <c r="X61" s="116"/>
      <c r="Y61" s="320" t="str">
        <f>IF(Y50&lt;0,"NM",(Y50/(IS!Y24*4)))</f>
        <v>NM</v>
      </c>
      <c r="Z61" s="116" t="str">
        <f>IF(Z50&lt;0,"NM",(Z50/(IS!Z24*4)))</f>
        <v>NM</v>
      </c>
      <c r="AA61" s="116">
        <f>IF(AA50&lt;0,"NM",(AA50/(IS!AA24*4)))</f>
        <v>1.2288224220873994E-3</v>
      </c>
      <c r="AB61" s="116" t="str">
        <f>IF(AB50&lt;0,"NM",(AB50/(IS!AB24*4)))</f>
        <v>NM</v>
      </c>
      <c r="AC61" s="119" t="str">
        <f>IF(AC50&lt;0,"NM",(AC50/IS!AC24))</f>
        <v>NM</v>
      </c>
      <c r="AD61" s="116"/>
      <c r="AE61" s="320">
        <f>IF(AE50&lt;0,"NM",(AE50/(IS!AE24*4)))</f>
        <v>0.8638395904436863</v>
      </c>
      <c r="AF61" s="116">
        <f>IF(AF50&lt;0,"NM",(AF50/(IS!AF24*4)))</f>
        <v>0.75177111716621225</v>
      </c>
      <c r="AG61" s="116">
        <f>IF(AG50&lt;0,"NM",(AG50/(IS!AG24*4)))</f>
        <v>1.3299579831932771</v>
      </c>
      <c r="AH61" s="116">
        <f>IF(AH50&lt;0,"NM",(AH50/(IS!AH24*4)))</f>
        <v>0.23811544991511083</v>
      </c>
      <c r="AI61" s="119">
        <f>IF(AI50&lt;0,"NM",(AI50/IS!AI24))</f>
        <v>0.3772696704774719</v>
      </c>
      <c r="AJ61" s="116"/>
      <c r="AK61" s="320">
        <f>IF(AK50&lt;0,"NM",(AK50/(IS!AK24*4)))</f>
        <v>0.63028169014084556</v>
      </c>
      <c r="AL61" s="116">
        <f>IF(AL50&lt;0,"NM",(AL50/(IS!AL24*4)))</f>
        <v>0.15708812260536401</v>
      </c>
      <c r="AM61" s="116">
        <f>IF(AM50&lt;0,"NM",(AM50/(IS!AM24*4)))</f>
        <v>6.0790273556231966E-3</v>
      </c>
      <c r="AN61" s="116" t="str">
        <f>IF(AN50&lt;0,"NM",(AN50/(IS!AN24*4)))</f>
        <v>NM</v>
      </c>
      <c r="AO61" s="119" t="str">
        <f>IF(AO50&lt;0,"NM",(AO50/IS!AO24))</f>
        <v>NM</v>
      </c>
      <c r="AP61" s="116"/>
      <c r="AQ61" s="320" t="str">
        <f>IF(AQ50&lt;0,"NM",(AQ50/(IS!AQ24*4)))</f>
        <v>NM</v>
      </c>
      <c r="AR61" s="116" t="str">
        <f>IF(AR50&lt;0,"NM",(AR50/(IS!AR24*4)))</f>
        <v>NM</v>
      </c>
      <c r="AS61" s="116" t="str">
        <f>IF(AS50&lt;0,"NM",(AS50/(IS!AS24*4)))</f>
        <v>NM</v>
      </c>
      <c r="AT61" s="116">
        <f>IF(AT50&lt;0,"NM",(AT50/(IS!AT24*4)))</f>
        <v>0.22387566137566153</v>
      </c>
      <c r="AU61" s="119">
        <f>IF(AU50&lt;0,"NM",(AU50/IS!AU24))</f>
        <v>0.3106929784304725</v>
      </c>
      <c r="AV61" s="116"/>
      <c r="AW61" s="320">
        <f>IF(AW50&lt;0,"NM",(AW50/(IS!AW24*4)))</f>
        <v>0.54331140350877183</v>
      </c>
      <c r="AX61" s="116">
        <f>IF(AX50&lt;0,"NM",(AX50/(IS!AX24*4)))</f>
        <v>0.46399676375404453</v>
      </c>
      <c r="AY61" s="116">
        <f>IF(AY50&lt;0,"NM",(AY50/(IS!AY24*4)))</f>
        <v>0.4629934210526318</v>
      </c>
      <c r="AZ61" s="116">
        <f>IF(AZ50&lt;0,"NM",(AZ50/(IS!AZ24*4)))</f>
        <v>0.19249649368864014</v>
      </c>
      <c r="BA61" s="119">
        <f>IF(BA50&lt;0,"NM",(BA50/IS!BA24))</f>
        <v>0.22922755741127374</v>
      </c>
      <c r="BB61" s="116"/>
      <c r="BC61" s="320">
        <f>IF(BC50&lt;0,"NM",(BC50/(IS!BC24*4)))</f>
        <v>0.4150671785028795</v>
      </c>
      <c r="BD61" s="116">
        <f>IF(BD50&lt;0,"NM",(BD50/(IS!BD24*4)))</f>
        <v>0.47523584905660321</v>
      </c>
      <c r="BE61" s="116">
        <f>IF(BE50&lt;0,"NM",(BE50/(IS!BE24*4)))</f>
        <v>0.30462724935732638</v>
      </c>
      <c r="BF61" s="116">
        <f>IF(BF50&lt;0,"NM",(BF50/(IS!BF24*4)))</f>
        <v>7.9355608591885229E-2</v>
      </c>
      <c r="BG61" s="119">
        <f>IF(BG50&lt;0,"NM",(BG50/IS!BG24))</f>
        <v>0.1038656774697382</v>
      </c>
      <c r="BH61" s="116"/>
      <c r="BI61" s="320">
        <f>IF(BI50&lt;0,"NM",(BI50/(IS!BI24*4)))</f>
        <v>0.49851632047477701</v>
      </c>
      <c r="BJ61" s="116">
        <f>IF(BJ50&lt;0,"NM",(BJ50/(IS!BJ24*4)))</f>
        <v>0.33860759493670894</v>
      </c>
      <c r="BK61" s="116">
        <f>IF(BK50&lt;0,"NM",(BK50/(IS!BK24*4)))</f>
        <v>0.21297909407665511</v>
      </c>
      <c r="BL61" s="116" t="str">
        <f>IF(BL50&lt;0,"NM",(BL50/(IS!BL24*4)))</f>
        <v>NM</v>
      </c>
      <c r="BM61" s="119" t="str">
        <f>IF(BM50&lt;0,"NM",(BM50/IS!BM24))</f>
        <v>NM</v>
      </c>
      <c r="BN61" s="116"/>
      <c r="BO61" s="320" t="str">
        <f>IF(BO50&lt;0,"NM",(BO50/(IS!BO24*4)))</f>
        <v>NM</v>
      </c>
      <c r="BP61" s="116" t="str">
        <f>IF(BP50&lt;0,"NM",(BP50/(IS!BP24*4)))</f>
        <v>NM</v>
      </c>
      <c r="BQ61" s="116" t="str">
        <f>IF(BQ50&lt;0,"NM",(BQ50/(IS!BQ24*4)))</f>
        <v>NM</v>
      </c>
      <c r="BR61" s="116" t="str">
        <f>IF(BR50&lt;0,"NM",(BR50/(IS!BR24*4)))</f>
        <v>NM</v>
      </c>
      <c r="BS61" s="119" t="str">
        <f>IF(BS50&lt;0,"NM",(BS50/IS!BS24))</f>
        <v>NM</v>
      </c>
      <c r="BT61" s="116"/>
      <c r="BU61" s="320" t="str">
        <f>IF(BU50&lt;0,"NM",(BU50/(IS!BU24*4)))</f>
        <v>NM</v>
      </c>
      <c r="BV61" s="116" t="str">
        <f>IF(BV50&lt;0,"NM",(BV50/(IS!BV24*4)))</f>
        <v>NM</v>
      </c>
      <c r="BW61" s="116" t="str">
        <f>IF(BW50&lt;0,"NM",(BW50/(IS!BW24*4)))</f>
        <v>NM</v>
      </c>
      <c r="BX61" s="116" t="str">
        <f>IF(BX50&lt;0,"NM",(BX50/(IS!BX24*4)))</f>
        <v>NM</v>
      </c>
      <c r="BY61" s="119" t="str">
        <f>IF(BY50&lt;0,"NM",(BY50/IS!BY24))</f>
        <v>NM</v>
      </c>
      <c r="BZ61" s="116"/>
      <c r="CA61" s="320" t="str">
        <f>IF(CA50&lt;0,"NM",(CA50/(IS!CA24*4)))</f>
        <v>NM</v>
      </c>
      <c r="CB61" s="116" t="str">
        <f>IF(CB50&lt;0,"NM",(CB50/(IS!CB24*4)))</f>
        <v>NM</v>
      </c>
      <c r="CC61" s="116" t="str">
        <f>IF(CC50&lt;0,"NM",(CC50/(IS!CC24*4)))</f>
        <v>NM</v>
      </c>
      <c r="CD61" s="116" t="str">
        <f>IF(CD50&lt;0,"NM",(CD50/(IS!CD24*4)))</f>
        <v>NM</v>
      </c>
      <c r="CE61" s="119" t="str">
        <f>IF(CE50&lt;0,"NM",(CE50/IS!CE24))</f>
        <v>NM</v>
      </c>
      <c r="CF61" s="116"/>
      <c r="CG61" s="320" t="str">
        <f>IF(CG50&lt;0,"NM",(CG50/(IS!CG24*4)))</f>
        <v>NM</v>
      </c>
      <c r="CH61" s="116" t="str">
        <f>IF(CH50&lt;0,"NM",(CH50/(IS!CH24*4)))</f>
        <v>NM</v>
      </c>
      <c r="CI61" s="116">
        <f>IF(CI50&lt;0,"NM",(CI50/(IS!CI24*4)))</f>
        <v>0.17496589358799469</v>
      </c>
      <c r="CJ61" s="116" t="str">
        <f>IF(CJ50&lt;0,"NM",(CJ50/(IS!CJ24*4)))</f>
        <v>NM</v>
      </c>
      <c r="CK61" s="119" t="str">
        <f>IF(CK50&lt;0,"NM",(CK50/IS!CK24))</f>
        <v>NM</v>
      </c>
      <c r="CL61" s="116"/>
      <c r="CM61" s="320" t="str">
        <f>IF(CM50&lt;0,"NM",(CM50/(IS!CM24*4)))</f>
        <v>NM</v>
      </c>
      <c r="CN61" s="116">
        <f>IF(CN50&lt;0,"NM",(CN50/(IS!CN24*4)))</f>
        <v>0.20179879168084827</v>
      </c>
      <c r="CO61" s="116">
        <f>IF(CO50&lt;0,"NM",(CO50/(IS!CO24*4)))</f>
        <v>0.11228964107550858</v>
      </c>
      <c r="CP61" s="116">
        <f>IF(CP50&lt;0,"NM",(CP50/(IS!CP24*4)))</f>
        <v>1.5375603549552684E-2</v>
      </c>
      <c r="CQ61" s="119">
        <f>IF(CQ50&lt;0,"NM",(CQ50/IS!CQ24))</f>
        <v>2.2829180093584134E-2</v>
      </c>
      <c r="CR61" s="116"/>
      <c r="CS61" s="320" t="str">
        <f>IF(CS50&lt;0,"NM",(CS50/(IS!CS24*4)))</f>
        <v>NM</v>
      </c>
      <c r="CT61" s="116" t="str">
        <f>IF(CT50&lt;0,"NM",(CT50/(IS!CT24*4)))</f>
        <v>NM</v>
      </c>
      <c r="CU61" s="116">
        <f>IF(CU50&lt;0,"NM",(CU50/(IS!CU24*4)))</f>
        <v>2.8785988545041191E-2</v>
      </c>
      <c r="CV61" s="116">
        <f>IF(CV50&lt;0,"NM",(CV50/(IS!CV24*4)))</f>
        <v>0.12181428647474433</v>
      </c>
      <c r="CW61" s="119">
        <f>IF(CW50&lt;0,"NM",(CW50/IS!CW24))</f>
        <v>0.14621726740183849</v>
      </c>
      <c r="CY61" s="320" t="str">
        <f>IF(CY50&lt;0,"NM",(CY50/(IS!CY24*4)))</f>
        <v>NM</v>
      </c>
      <c r="CZ61" s="116" t="str">
        <f>IF(CZ50&lt;0,"NM",(CZ50/(IS!CZ24*4)))</f>
        <v>NM</v>
      </c>
      <c r="DA61" s="116">
        <f>IF(DA50&lt;0,"NM",(DA50/(IS!DA24*4)))</f>
        <v>4.9537281026713106E-2</v>
      </c>
      <c r="DB61" s="116">
        <f>IF(DB50&lt;0,"NM",(DB50/(IS!DB24*4)))</f>
        <v>0.12570246452638636</v>
      </c>
      <c r="DC61" s="119">
        <f>IF(DC50&lt;0,"NM",(DC50/IS!DC24))</f>
        <v>0.15042599161105891</v>
      </c>
      <c r="DE61" s="320" t="str">
        <f>IF(DE50&lt;0,"NM",(DE50/(IS!DE24*4)))</f>
        <v>NM</v>
      </c>
      <c r="DF61" s="116" t="str">
        <f>IF(DF50&lt;0,"NM",(DF50/(IS!DF24*4)))</f>
        <v>NM</v>
      </c>
      <c r="DG61" s="116" t="str">
        <f>IF(DG50&lt;0,"NM",(DG50/(IS!DG24*4)))</f>
        <v>NM</v>
      </c>
      <c r="DH61" s="116">
        <f>IF(DH50&lt;0,"NM",(DH50/(IS!DH24*4)))</f>
        <v>8.5097063787295202E-2</v>
      </c>
      <c r="DI61" s="119">
        <f>IF(DI50&lt;0,"NM",(DI50/IS!DI24))</f>
        <v>0.10229887114724801</v>
      </c>
    </row>
    <row r="62" spans="1:119" s="712" customFormat="1" ht="11.25" customHeight="1">
      <c r="A62" s="766" t="s">
        <v>107</v>
      </c>
      <c r="B62" s="112"/>
      <c r="C62" s="111">
        <f>(C23+C29)/(C23+C29+C42)</f>
        <v>0.63415725689067037</v>
      </c>
      <c r="D62" s="112"/>
      <c r="E62" s="111">
        <f>(E23+E29)/(E23+E29+E42)</f>
        <v>0.60398456571383574</v>
      </c>
      <c r="F62" s="112"/>
      <c r="G62" s="111">
        <f>(G23+G29)/(G23+G29+G42)</f>
        <v>8.8371546667253997E-2</v>
      </c>
      <c r="H62" s="112"/>
      <c r="I62" s="111">
        <f>(I23+I29)/(I23+I29+I42)</f>
        <v>0.10653217050190884</v>
      </c>
      <c r="J62" s="112"/>
      <c r="K62" s="111">
        <f>(K23+K29)/(K23+K29+K42)</f>
        <v>0.16172467739164248</v>
      </c>
      <c r="L62" s="112"/>
      <c r="M62" s="111">
        <f>(M23+M29)/(M23+M29+M42)</f>
        <v>0.1817435839393339</v>
      </c>
      <c r="N62" s="112"/>
      <c r="O62" s="111">
        <f>(O23+O29)/(O23+O29+O42)</f>
        <v>0.15537060289298443</v>
      </c>
      <c r="P62" s="112"/>
      <c r="Q62" s="111">
        <f>(Q23+Q29)/(Q23+Q29+Q42)</f>
        <v>0.1311690229926413</v>
      </c>
      <c r="R62" s="112"/>
      <c r="S62" s="767">
        <f>(S23+S29)/(S23+S29+S42)</f>
        <v>0.12679473052316498</v>
      </c>
      <c r="T62" s="112">
        <f>(T23+T29)/(T23+T29+T42)</f>
        <v>0.1265020668439773</v>
      </c>
      <c r="U62" s="112">
        <f>(U23+U29)/(U23+U29+U42)</f>
        <v>0.24219092197363334</v>
      </c>
      <c r="V62" s="112">
        <f>(V23+V29)/(V23+V29+V42)</f>
        <v>0.18934229801935762</v>
      </c>
      <c r="W62" s="111">
        <f>(W23+W29)/(W23+W29+W42)</f>
        <v>0.18934229801935762</v>
      </c>
      <c r="X62" s="112"/>
      <c r="Y62" s="767">
        <f>(Y23+Y29)/(Y23+Y29+Y42)</f>
        <v>0.13810596840468989</v>
      </c>
      <c r="Z62" s="112">
        <f>(Z23+Z29)/(Z23+Z29+Z42)</f>
        <v>0.12944946957884443</v>
      </c>
      <c r="AA62" s="112">
        <f>(AA23+AA29)/(AA23+AA29+AA42)</f>
        <v>0.1408172675139045</v>
      </c>
      <c r="AB62" s="112">
        <f>(AB23+AB29)/(AB23+AB29+AB42)</f>
        <v>6.5076560659599519E-2</v>
      </c>
      <c r="AC62" s="111">
        <f>(AC23+AC29)/(AC23+AC29+AC42)</f>
        <v>6.5076560659599519E-2</v>
      </c>
      <c r="AD62" s="112"/>
      <c r="AE62" s="767">
        <f>(AE23+AE29)/(AE23+AE29+AE42)</f>
        <v>0.59267592357509868</v>
      </c>
      <c r="AF62" s="112">
        <f>(AF23+AF29)/(AF23+AF29+AF42)</f>
        <v>0.43889062080865343</v>
      </c>
      <c r="AG62" s="112">
        <f>(AG23+AG29)/(AG23+AG29+AG42)</f>
        <v>0.420259683124525</v>
      </c>
      <c r="AH62" s="112">
        <f>(AH23+AH29)/(AH23+AH29+AH42)</f>
        <v>0.41714818266542408</v>
      </c>
      <c r="AI62" s="111">
        <f>(AI23+AI29)/(AI23+AI29+AI42)</f>
        <v>0.41714818266542408</v>
      </c>
      <c r="AJ62" s="112"/>
      <c r="AK62" s="767">
        <f>(AK23+AK29)/(AK23+AK29+AK42)</f>
        <v>0.40606302353410451</v>
      </c>
      <c r="AL62" s="112">
        <f>(AL23+AL29)/(AL23+AL29+AL42)</f>
        <v>0.33655362776025233</v>
      </c>
      <c r="AM62" s="112">
        <f>(AM23+AM29)/(AM23+AM29+AM42)</f>
        <v>0.28830030487804881</v>
      </c>
      <c r="AN62" s="112">
        <f>(AN23+AN29)/(AN23+AN29+AN42)</f>
        <v>0.24743935309973045</v>
      </c>
      <c r="AO62" s="111">
        <f>(AO23+AO29)/(AO23+AO29+AO42)</f>
        <v>0.24743935309973045</v>
      </c>
      <c r="AP62" s="112"/>
      <c r="AQ62" s="767">
        <f>(AQ23+AQ29)/(AQ23+AQ29+AQ42)</f>
        <v>0.24169842133913993</v>
      </c>
      <c r="AR62" s="112">
        <f>(AR23+AR29)/(AR23+AR29+AR42)</f>
        <v>0.23493417392916743</v>
      </c>
      <c r="AS62" s="112">
        <f>(AS23+AS29)/(AS23+AS29+AS42)</f>
        <v>0.19727006824829382</v>
      </c>
      <c r="AT62" s="112">
        <f>(AT23+AT29)/(AT23+AT29+AT42)</f>
        <v>0.36335103814582326</v>
      </c>
      <c r="AU62" s="111">
        <f>(AU23+AU29)/(AU23+AU29+AU42)</f>
        <v>0.36335103814582326</v>
      </c>
      <c r="AV62" s="112"/>
      <c r="AW62" s="767">
        <f>(AW23+AW29)/(AW23+AW29+AW42)</f>
        <v>0.34075441227361863</v>
      </c>
      <c r="AX62" s="112">
        <f>(AX23+AX29)/(AX23+AX29+AX42)</f>
        <v>0.31330285216634013</v>
      </c>
      <c r="AY62" s="112">
        <f>(AY23+AY29)/(AY23+AY29+AY42)</f>
        <v>0.34051394204483326</v>
      </c>
      <c r="AZ62" s="112">
        <f>(AZ23+AZ29)/(AZ23+AZ29+AZ42)</f>
        <v>0.32661637931034487</v>
      </c>
      <c r="BA62" s="111">
        <f>(BA23+BA29)/(BA23+BA29+BA42)</f>
        <v>0.32661637931034487</v>
      </c>
      <c r="BB62" s="112"/>
      <c r="BC62" s="767">
        <f>(BC23+BC29)/(BC23+BC29+BC42)</f>
        <v>0.32555770602016909</v>
      </c>
      <c r="BD62" s="112">
        <f>(BD23+BD29)/(BD23+BD29+BD42)</f>
        <v>0.33340259740259742</v>
      </c>
      <c r="BE62" s="112">
        <f>(BE23+BE29)/(BE23+BE29+BE42)</f>
        <v>0.32626380011621153</v>
      </c>
      <c r="BF62" s="112">
        <f>(BF23+BF29)/(BF23+BF29+BF42)</f>
        <v>0.32209380074505689</v>
      </c>
      <c r="BG62" s="111">
        <f>(BG23+BG29)/(BG23+BG29+BG42)</f>
        <v>0.32209380074505689</v>
      </c>
      <c r="BH62" s="112"/>
      <c r="BI62" s="767">
        <f>(BI23+BI29)/(BI23+BI29+BI42)</f>
        <v>0.32705013602798289</v>
      </c>
      <c r="BJ62" s="112">
        <f>(BJ23+BJ29)/(BJ23+BJ29+BJ42)</f>
        <v>0.31769259818731121</v>
      </c>
      <c r="BK62" s="112">
        <f>(BK23+BK29)/(BK23+BK29+BK42)</f>
        <v>0.31303352987767308</v>
      </c>
      <c r="BL62" s="112">
        <f>(BL23+BL29)/(BL23+BL29+BL42)</f>
        <v>0.29455692001327571</v>
      </c>
      <c r="BM62" s="111">
        <f>(BM23+BM29)/(BM23+BM29+BM42)</f>
        <v>0.29455692001327571</v>
      </c>
      <c r="BN62" s="112"/>
      <c r="BO62" s="767">
        <f>(BO23+BO29)/(BO23+BO29+BO42)</f>
        <v>0.29008257705829454</v>
      </c>
      <c r="BP62" s="769">
        <f>(BP23+BP29)/(BP23+BP29+BP42)</f>
        <v>0.28660059624526629</v>
      </c>
      <c r="BQ62" s="769">
        <f>(BQ23+BQ29)/(BQ23+BQ29+BQ42)</f>
        <v>0.30403149875888041</v>
      </c>
      <c r="BR62" s="112">
        <f>(BR23+BR29)/(BR23+BR29+BR42)</f>
        <v>0.31507943551965911</v>
      </c>
      <c r="BS62" s="111">
        <f>(BS23+BS29)/(BS23+BS29+BS42)</f>
        <v>0.31507943551965911</v>
      </c>
      <c r="BT62" s="112"/>
      <c r="BU62" s="767">
        <f>(BU23+BU29)/(BU23+BU29+BU42)</f>
        <v>0.32949265935699684</v>
      </c>
      <c r="BV62" s="112">
        <f>(BV23+BV29)/(BV23+BV29+BV42)</f>
        <v>0.32205635544563199</v>
      </c>
      <c r="BW62" s="112">
        <f>(BW23+BW29)/(BW23+BW29+BW42)</f>
        <v>0.32596103212216954</v>
      </c>
      <c r="BX62" s="112">
        <f>(BX23+BX29)/(BX23+BX29+BX42)</f>
        <v>0.26680672268907563</v>
      </c>
      <c r="BY62" s="111">
        <f>(BY23+BY29)/(BY23+BY29+BY42)</f>
        <v>0.26680672268907563</v>
      </c>
      <c r="BZ62" s="112"/>
      <c r="CA62" s="767">
        <f>(CA23+CA29)/(CA23+CA29+CA42)</f>
        <v>0.29882329674676161</v>
      </c>
      <c r="CB62" s="112">
        <f>(CB23+CB29)/(CB23+CB29+CB42)</f>
        <v>0.33846457469903296</v>
      </c>
      <c r="CC62" s="112">
        <f>(CC23+CC29)/(CC23+CC29+CC42)</f>
        <v>0.34237192719084253</v>
      </c>
      <c r="CD62" s="112">
        <f>(CD23+CD29)/(CD23+CD29+CD42)</f>
        <v>0.37264663287472843</v>
      </c>
      <c r="CE62" s="111">
        <f>(CE23+CE29)/(CE23+CE29+CE42)</f>
        <v>0.37264663287472843</v>
      </c>
      <c r="CF62" s="112"/>
      <c r="CG62" s="767">
        <f>(CG23+CG29)/(CG23+CG29+CG42)</f>
        <v>0.34467932640630605</v>
      </c>
      <c r="CH62" s="112">
        <f>(CH23+CH29)/(CH23+CH29+CH42)</f>
        <v>0.36083424072367876</v>
      </c>
      <c r="CI62" s="112">
        <f>(CI23+CI29)/(CI23+CI29+CI42)</f>
        <v>0.39372336938708619</v>
      </c>
      <c r="CJ62" s="112">
        <f>(CJ23+CJ29)/(CJ23+CJ29+CJ42)</f>
        <v>0.36167435384213736</v>
      </c>
      <c r="CK62" s="111">
        <f>(CK23+CK29)/(CK23+CK29+CK42)</f>
        <v>0.36167435384213736</v>
      </c>
      <c r="CL62" s="112"/>
      <c r="CM62" s="767">
        <f>(CM23+CM29)/(CM23+CM29+CM42)</f>
        <v>0.3653135434850901</v>
      </c>
      <c r="CN62" s="112">
        <f>(CN23+CN29)/(CN23+CN29+CN42)</f>
        <v>0.36854736942937544</v>
      </c>
      <c r="CO62" s="112">
        <f>(CO23+CO29)/(CO23+CO29+CO42)</f>
        <v>0.36654460370022052</v>
      </c>
      <c r="CP62" s="112">
        <f>(CP23+CP29)/(CP23+CP29+CP42)</f>
        <v>0.35471658184231153</v>
      </c>
      <c r="CQ62" s="111">
        <f>(CQ23+CQ29)/(CQ23+CQ29+CQ42)</f>
        <v>0.35471658184231153</v>
      </c>
      <c r="CR62" s="112"/>
      <c r="CS62" s="767">
        <f>(CS23+CS29)/(CS23+CS29+CS42)</f>
        <v>0.35649483853519415</v>
      </c>
      <c r="CT62" s="112">
        <f>(CT23+CT29)/(CT23+CT29+CT42)</f>
        <v>0.35743476902519361</v>
      </c>
      <c r="CU62" s="112">
        <f>(CU23+CU29)/(CU23+CU29+CU42)</f>
        <v>0.35803971732837531</v>
      </c>
      <c r="CV62" s="112">
        <f>(CV23+CV29)/(CV23+CV29+CV42)</f>
        <v>0.3532104542000053</v>
      </c>
      <c r="CW62" s="111">
        <f>(CW23+CW29)/(CW23+CW29+CW42)</f>
        <v>0.3532104542000053</v>
      </c>
      <c r="CY62" s="767">
        <f>(CY23+CY29)/(CY23+CY29+CY42)</f>
        <v>0.3534033244321037</v>
      </c>
      <c r="CZ62" s="112">
        <f>(CZ23+CZ29)/(CZ23+CZ29+CZ42)</f>
        <v>0.35062741526060892</v>
      </c>
      <c r="DA62" s="112">
        <f>(DA23+DA29)/(DA23+DA29+DA42)</f>
        <v>0.34739141591858336</v>
      </c>
      <c r="DB62" s="112">
        <f>(DB23+DB29)/(DB23+DB29+DB42)</f>
        <v>0.33925762614007604</v>
      </c>
      <c r="DC62" s="111">
        <f>(DC23+DC29)/(DC23+DC29+DC42)</f>
        <v>0.33925762614007604</v>
      </c>
      <c r="DE62" s="767">
        <f>(DE23+DE29)/(DE23+DE29+DE42)</f>
        <v>0.33655052258038293</v>
      </c>
      <c r="DF62" s="112">
        <f>(DF23+DF29)/(DF23+DF29+DF42)</f>
        <v>0.33440374693642727</v>
      </c>
      <c r="DG62" s="112">
        <f>(DG23+DG29)/(DG23+DG29+DG42)</f>
        <v>0.33181039969100379</v>
      </c>
      <c r="DH62" s="112">
        <f>(DH23+DH29)/(DH23+DH29+DH42)</f>
        <v>0.32391466564505178</v>
      </c>
      <c r="DI62" s="111">
        <f>(DI23+DI29)/(DI23+DI29+DI42)</f>
        <v>0.32391466564505178</v>
      </c>
      <c r="DJ62"/>
      <c r="DK62"/>
      <c r="DL62"/>
      <c r="DM62"/>
      <c r="DN62"/>
      <c r="DO62"/>
    </row>
    <row r="63" spans="1:119" ht="11.25" customHeight="1">
      <c r="A63" s="113"/>
      <c r="B63" s="88"/>
      <c r="C63" s="68"/>
      <c r="D63" s="88"/>
      <c r="E63" s="68"/>
      <c r="F63" s="88"/>
      <c r="G63" s="68"/>
      <c r="H63" s="88"/>
      <c r="I63" s="68"/>
      <c r="J63" s="88"/>
      <c r="K63" s="68"/>
      <c r="L63" s="88"/>
      <c r="M63" s="68"/>
      <c r="N63" s="88"/>
      <c r="O63" s="68"/>
      <c r="P63" s="88"/>
      <c r="Q63" s="68"/>
      <c r="R63" s="88"/>
      <c r="S63" s="88"/>
      <c r="T63" s="88"/>
      <c r="U63" s="88"/>
      <c r="V63" s="88"/>
      <c r="W63" s="88"/>
      <c r="X63" s="88"/>
      <c r="Y63" s="88"/>
      <c r="Z63" s="88"/>
      <c r="AA63" s="88"/>
      <c r="AB63" s="88"/>
      <c r="AC63" s="88"/>
      <c r="AD63" s="88"/>
      <c r="AE63" s="88"/>
      <c r="AF63" s="88"/>
      <c r="AG63" s="88"/>
      <c r="AH63" s="88"/>
      <c r="AI63" s="88"/>
      <c r="AJ63" s="88"/>
      <c r="AK63" s="88"/>
      <c r="AL63" s="88"/>
      <c r="AM63" s="88"/>
      <c r="AN63" s="88"/>
      <c r="AO63" s="88"/>
      <c r="AP63" s="88"/>
      <c r="AQ63" s="88"/>
      <c r="AR63" s="88"/>
      <c r="AS63" s="88"/>
      <c r="AT63" s="88"/>
      <c r="AU63" s="88"/>
      <c r="AV63" s="88"/>
      <c r="AW63" s="88"/>
      <c r="AX63" s="88"/>
      <c r="AY63" s="88"/>
      <c r="AZ63" s="88"/>
      <c r="BA63" s="88"/>
      <c r="BB63" s="88"/>
      <c r="BC63" s="88"/>
      <c r="BD63" s="88"/>
      <c r="BE63" s="88"/>
      <c r="BF63" s="88"/>
      <c r="BG63" s="88"/>
      <c r="BH63" s="88"/>
      <c r="BI63" s="88"/>
      <c r="BJ63" s="88"/>
      <c r="BK63" s="88"/>
      <c r="BL63" s="88"/>
      <c r="BM63" s="88"/>
      <c r="BN63" s="88"/>
      <c r="BO63" s="88"/>
      <c r="BP63" s="88"/>
      <c r="BQ63" s="88"/>
      <c r="BR63" s="88"/>
      <c r="BS63" s="88"/>
      <c r="BT63" s="88"/>
      <c r="BU63" s="88"/>
      <c r="BV63" s="88"/>
      <c r="BW63" s="88"/>
      <c r="BX63" s="89"/>
      <c r="BY63" s="90"/>
      <c r="BZ63" s="88"/>
      <c r="CA63" s="88"/>
      <c r="CB63" s="88"/>
      <c r="CC63" s="88"/>
      <c r="CD63" s="89"/>
      <c r="CE63" s="90"/>
      <c r="CF63" s="88"/>
      <c r="CG63" s="88"/>
      <c r="CH63" s="88"/>
      <c r="CI63" s="88"/>
      <c r="CJ63" s="89"/>
      <c r="CK63" s="90"/>
      <c r="CL63" s="88"/>
      <c r="CM63" s="88"/>
      <c r="CN63" s="88"/>
      <c r="CO63" s="88"/>
      <c r="CP63" s="89"/>
      <c r="CQ63" s="90"/>
      <c r="CR63" s="88"/>
      <c r="CS63" s="88"/>
      <c r="CT63" s="88"/>
      <c r="CU63" s="88"/>
      <c r="CV63" s="89"/>
      <c r="CW63" s="90"/>
      <c r="CY63" s="88"/>
      <c r="CZ63" s="88"/>
      <c r="DA63" s="88"/>
      <c r="DB63" s="89"/>
      <c r="DC63" s="90"/>
      <c r="DE63" s="88"/>
      <c r="DF63" s="88"/>
      <c r="DG63" s="88"/>
      <c r="DH63" s="89"/>
      <c r="DI63" s="90"/>
    </row>
    <row r="64" spans="1:119" ht="11.25" hidden="1" customHeight="1" outlineLevel="1">
      <c r="A64" s="114" t="s">
        <v>108</v>
      </c>
      <c r="B64" s="91"/>
      <c r="C64" s="92"/>
      <c r="D64" s="91"/>
      <c r="E64" s="92"/>
      <c r="F64" s="91"/>
      <c r="G64" s="92"/>
      <c r="H64" s="91"/>
      <c r="I64" s="92"/>
      <c r="J64" s="91"/>
      <c r="K64" s="92"/>
      <c r="L64" s="91"/>
      <c r="M64" s="92"/>
      <c r="N64" s="91"/>
      <c r="O64" s="92"/>
      <c r="P64" s="91"/>
      <c r="Q64" s="92"/>
      <c r="R64" s="91"/>
      <c r="S64" s="91"/>
      <c r="T64" s="91"/>
      <c r="U64" s="91"/>
      <c r="V64" s="91"/>
      <c r="W64" s="91"/>
      <c r="X64" s="91"/>
      <c r="Y64" s="91"/>
      <c r="Z64" s="91"/>
      <c r="AA64" s="91"/>
      <c r="AB64" s="91"/>
      <c r="AC64" s="91"/>
      <c r="AD64" s="91"/>
      <c r="AE64" s="91"/>
      <c r="AF64" s="91"/>
      <c r="AG64" s="91"/>
      <c r="AH64" s="91"/>
      <c r="AI64" s="91"/>
      <c r="AJ64" s="91"/>
      <c r="AK64" s="91"/>
      <c r="AL64" s="91"/>
      <c r="AM64" s="91"/>
      <c r="AN64" s="91"/>
      <c r="AO64" s="91"/>
      <c r="AP64" s="91"/>
      <c r="AQ64" s="91"/>
      <c r="AR64" s="91"/>
      <c r="AS64" s="91"/>
      <c r="AT64" s="91"/>
      <c r="AU64" s="91"/>
      <c r="AV64" s="91"/>
      <c r="AW64" s="91"/>
      <c r="AX64" s="91"/>
      <c r="AY64" s="91"/>
      <c r="AZ64" s="91"/>
      <c r="BA64" s="91"/>
      <c r="BB64" s="91"/>
      <c r="BC64" s="91"/>
      <c r="BD64" s="91"/>
      <c r="BE64" s="91"/>
      <c r="BF64" s="91"/>
      <c r="BG64" s="91"/>
      <c r="BH64" s="91"/>
      <c r="BI64" s="91"/>
      <c r="BJ64" s="91"/>
      <c r="BK64" s="91"/>
      <c r="BL64" s="91"/>
      <c r="BM64" s="91"/>
      <c r="BN64" s="91"/>
      <c r="BO64" s="91"/>
      <c r="BP64" s="91"/>
      <c r="BQ64" s="91"/>
      <c r="BR64" s="91"/>
      <c r="BS64" s="91"/>
      <c r="BT64" s="91"/>
      <c r="BU64" s="91"/>
      <c r="BV64" s="91"/>
      <c r="BW64" s="91"/>
      <c r="BX64" s="91"/>
      <c r="BY64" s="93"/>
      <c r="BZ64" s="91"/>
      <c r="CA64" s="91"/>
      <c r="CB64" s="91"/>
      <c r="CC64" s="91"/>
      <c r="CD64" s="91"/>
      <c r="CE64" s="93"/>
      <c r="CF64" s="91"/>
      <c r="CG64" s="91"/>
      <c r="CH64" s="91"/>
      <c r="CI64" s="91"/>
      <c r="CJ64" s="91"/>
      <c r="CK64" s="93"/>
      <c r="CL64" s="91"/>
      <c r="CM64" s="91"/>
      <c r="CN64" s="91"/>
      <c r="CO64" s="91"/>
      <c r="CP64" s="91"/>
      <c r="CQ64" s="93"/>
      <c r="CR64" s="91"/>
      <c r="CS64" s="91"/>
      <c r="CT64" s="91"/>
      <c r="CU64" s="91"/>
      <c r="CV64" s="91"/>
      <c r="CW64" s="93"/>
      <c r="CY64" s="91"/>
      <c r="CZ64" s="91"/>
      <c r="DA64" s="91"/>
      <c r="DB64" s="91"/>
      <c r="DC64" s="93"/>
      <c r="DE64" s="91"/>
      <c r="DF64" s="91"/>
      <c r="DG64" s="91"/>
      <c r="DH64" s="91"/>
      <c r="DI64" s="93"/>
    </row>
    <row r="65" spans="1:113" ht="11.25" hidden="1" customHeight="1" outlineLevel="1">
      <c r="A65" s="115" t="s">
        <v>109</v>
      </c>
      <c r="B65" s="116"/>
      <c r="C65" s="117">
        <f>(C15/C27)</f>
        <v>1.2755704449947063</v>
      </c>
      <c r="D65" s="116"/>
      <c r="E65" s="117">
        <f>(E15/E27)</f>
        <v>1.4103260869565217</v>
      </c>
      <c r="F65" s="116"/>
      <c r="G65" s="117">
        <f>(G15/G27)</f>
        <v>4.1553913908225599</v>
      </c>
      <c r="H65" s="116"/>
      <c r="I65" s="117">
        <f>(I15/I27)</f>
        <v>3.5329332180458772</v>
      </c>
      <c r="J65" s="116"/>
      <c r="K65" s="117">
        <f>(K15/K27)</f>
        <v>2.6478899404497747</v>
      </c>
      <c r="L65" s="116"/>
      <c r="M65" s="117">
        <f>(M15/M27)</f>
        <v>2.3077808471454877</v>
      </c>
      <c r="N65" s="116"/>
      <c r="O65" s="117">
        <f>(O15/O27)</f>
        <v>2.4405451601295431</v>
      </c>
      <c r="P65" s="116"/>
      <c r="Q65" s="117">
        <f>(Q15/Q27)</f>
        <v>2.1320920606794314</v>
      </c>
      <c r="R65" s="116"/>
      <c r="S65" s="319">
        <f>(S15/S27)</f>
        <v>2.3593452474538377</v>
      </c>
      <c r="T65" s="116">
        <f>(T15/T27)</f>
        <v>2.3716470487155257</v>
      </c>
      <c r="U65" s="116">
        <f>(U15/U27)</f>
        <v>1.5286227517934976</v>
      </c>
      <c r="V65" s="116">
        <f>(V15/V27)</f>
        <v>1.5105161739986059</v>
      </c>
      <c r="W65" s="117">
        <f>(W15/W27)</f>
        <v>1.5105161739986059</v>
      </c>
      <c r="X65" s="116"/>
      <c r="Y65" s="319">
        <f>(Y15/Y27)</f>
        <v>1.5976836528784091</v>
      </c>
      <c r="Z65" s="116">
        <f>(Z15/Z27)</f>
        <v>1.6424163535469047</v>
      </c>
      <c r="AA65" s="116">
        <f>(AA15/AA27)</f>
        <v>1.6319393297188391</v>
      </c>
      <c r="AB65" s="116">
        <f>(AB15/AB27)</f>
        <v>1.8422741044377116</v>
      </c>
      <c r="AC65" s="117">
        <f>(AC15/AC27)</f>
        <v>1.8422741044377116</v>
      </c>
      <c r="AD65" s="116"/>
      <c r="AE65" s="319">
        <f>(AE15/AE27)</f>
        <v>1.3064521753560259</v>
      </c>
      <c r="AF65" s="116">
        <f>(AF15/AF27)</f>
        <v>1.4906042038207721</v>
      </c>
      <c r="AG65" s="116">
        <f>(AG15/AG27)</f>
        <v>1.5151024927702397</v>
      </c>
      <c r="AH65" s="116">
        <f>(AH15/AH27)</f>
        <v>1.5791802963248032</v>
      </c>
      <c r="AI65" s="117">
        <f>(AI15/AI27)</f>
        <v>1.5791802963248032</v>
      </c>
      <c r="AJ65" s="116"/>
      <c r="AK65" s="319">
        <f>(AK15/AK27)</f>
        <v>1.5741004269160399</v>
      </c>
      <c r="AL65" s="116">
        <f>(AL15/AL27)</f>
        <v>1.5200308166409859</v>
      </c>
      <c r="AM65" s="116">
        <f>(AM15/AM27)</f>
        <v>1.5710172744721689</v>
      </c>
      <c r="AN65" s="116">
        <f>(AN15/AN27)</f>
        <v>1.6166512488436633</v>
      </c>
      <c r="AO65" s="117">
        <f>(AO15/AO27)</f>
        <v>1.6166512488436633</v>
      </c>
      <c r="AP65" s="116"/>
      <c r="AQ65" s="319">
        <f>(AQ15/AQ27)</f>
        <v>1.6071691176470591</v>
      </c>
      <c r="AR65" s="116">
        <f>(AR15/AR27)</f>
        <v>1.5364506627393224</v>
      </c>
      <c r="AS65" s="116">
        <f>(AS15/AS27)</f>
        <v>1.6125760649087224</v>
      </c>
      <c r="AT65" s="116">
        <f>(AT15/AT27)</f>
        <v>1.2641010222489479</v>
      </c>
      <c r="AU65" s="117">
        <f>(AU15/AU27)</f>
        <v>1.2641010222489479</v>
      </c>
      <c r="AV65" s="116"/>
      <c r="AW65" s="319">
        <f>(AW15/AW27)</f>
        <v>1.2806151727304032</v>
      </c>
      <c r="AX65" s="116">
        <f>(AX15/AX27)</f>
        <v>1.2943329266940222</v>
      </c>
      <c r="AY65" s="116">
        <f>(AY15/AY27)</f>
        <v>1.2714518760195757</v>
      </c>
      <c r="AZ65" s="116">
        <f>(AZ15/AZ27)</f>
        <v>1.5799153215136281</v>
      </c>
      <c r="BA65" s="117">
        <f>(BA15/BA27)</f>
        <v>1.5799153215136281</v>
      </c>
      <c r="BB65" s="116"/>
      <c r="BC65" s="319">
        <f>(BC15/BC27)</f>
        <v>1.6142579390797149</v>
      </c>
      <c r="BD65" s="116">
        <f>(BD15/BD27)</f>
        <v>1.612049474664184</v>
      </c>
      <c r="BE65" s="116">
        <f>(BE15/BE27)</f>
        <v>1.8134013109978149</v>
      </c>
      <c r="BF65" s="116">
        <f>(BF15/BF27)</f>
        <v>1.9209445585215608</v>
      </c>
      <c r="BG65" s="117">
        <f>(BG15/BG27)</f>
        <v>1.9209445585215608</v>
      </c>
      <c r="BH65" s="116"/>
      <c r="BI65" s="319">
        <f>(BI15/BI27)</f>
        <v>1.9861629353233829</v>
      </c>
      <c r="BJ65" s="116">
        <f>(BJ15/BJ27)</f>
        <v>2.0965494359654939</v>
      </c>
      <c r="BK65" s="116">
        <f>(BK15/BK27)</f>
        <v>2.1226035868893014</v>
      </c>
      <c r="BL65" s="116">
        <f>(BL15/BL27)</f>
        <v>2.2076780758556889</v>
      </c>
      <c r="BM65" s="117">
        <f>(BM15/BM27)</f>
        <v>2.2076780758556889</v>
      </c>
      <c r="BN65" s="116"/>
      <c r="BO65" s="319">
        <f>(BO15/BO27)</f>
        <v>2.2004172254507526</v>
      </c>
      <c r="BP65" s="116">
        <f>(BP15/BP27)</f>
        <v>2.3315831344470963</v>
      </c>
      <c r="BQ65" s="116">
        <f>(BQ15/BQ27)</f>
        <v>2.2945901639344264</v>
      </c>
      <c r="BR65" s="116">
        <f>(BR15/BR27)</f>
        <v>2.3447743264115322</v>
      </c>
      <c r="BS65" s="117">
        <f>(BS15/BS27)</f>
        <v>2.3447743264115322</v>
      </c>
      <c r="BT65" s="116"/>
      <c r="BU65" s="319">
        <f>(BU15/BU27)</f>
        <v>2.4140610545790935</v>
      </c>
      <c r="BV65" s="116">
        <f>(BV15/BV27)</f>
        <v>2.0774539877300615</v>
      </c>
      <c r="BW65" s="116">
        <f>(BW15/BW27)</f>
        <v>2.050584233101612</v>
      </c>
      <c r="BX65" s="116">
        <f>(BX15/BX27)</f>
        <v>2.2206996033177062</v>
      </c>
      <c r="BY65" s="117">
        <f>(BY15/BY27)</f>
        <v>2.2206996033177062</v>
      </c>
      <c r="BZ65" s="116"/>
      <c r="CA65" s="319">
        <f>(CA15/CA27)</f>
        <v>2.2621377146021788</v>
      </c>
      <c r="CB65" s="116">
        <f>(CB15/CB27)</f>
        <v>2.2713511493178848</v>
      </c>
      <c r="CC65" s="116">
        <f>(CC15/CC27)</f>
        <v>2.2922547955121249</v>
      </c>
      <c r="CD65" s="116">
        <f>(CD15/CD27)</f>
        <v>2.4316752429959974</v>
      </c>
      <c r="CE65" s="117">
        <f>(CE15/CE27)</f>
        <v>2.4316752429959974</v>
      </c>
      <c r="CF65" s="116"/>
      <c r="CG65" s="319">
        <f>(CG15/CG27)</f>
        <v>2.4550398135560303</v>
      </c>
      <c r="CH65" s="116">
        <f>(CH15/CH27)</f>
        <v>2.6329011345218802</v>
      </c>
      <c r="CI65" s="116">
        <f>(CI15/CI27)</f>
        <v>2.6033106134371957</v>
      </c>
      <c r="CJ65" s="116">
        <f>(CJ15/CJ27)</f>
        <v>2.5906577693040989</v>
      </c>
      <c r="CK65" s="117">
        <f>(CK15/CK27)</f>
        <v>2.5906577693040989</v>
      </c>
      <c r="CL65" s="116"/>
      <c r="CM65" s="319">
        <f>(CM15/CM27)</f>
        <v>2.5506986947498267</v>
      </c>
      <c r="CN65" s="116">
        <f>(CN15/CN27)</f>
        <v>2.7159528635924737</v>
      </c>
      <c r="CO65" s="116">
        <f>(CO15/CO27)</f>
        <v>2.7132382812190645</v>
      </c>
      <c r="CP65" s="116">
        <f>(CP15/CP27)</f>
        <v>2.7675336317058954</v>
      </c>
      <c r="CQ65" s="117">
        <f>(CQ15/CQ27)</f>
        <v>2.7675336317058954</v>
      </c>
      <c r="CR65" s="116"/>
      <c r="CS65" s="319">
        <f>(CS15/CS27)</f>
        <v>2.6940274832912889</v>
      </c>
      <c r="CT65" s="116">
        <f>(CT15/CT27)</f>
        <v>2.8678259064751761</v>
      </c>
      <c r="CU65" s="116">
        <f>(CU15/CU27)</f>
        <v>2.8576626681225354</v>
      </c>
      <c r="CV65" s="116">
        <f>(CV15/CV27)</f>
        <v>2.7967470487783901</v>
      </c>
      <c r="CW65" s="117">
        <f>(CW15/CW27)</f>
        <v>2.7967470487783901</v>
      </c>
      <c r="CY65" s="319">
        <f>(CY15/CY27)</f>
        <v>2.8184359688925071</v>
      </c>
      <c r="CZ65" s="116">
        <f>(CZ15/CZ27)</f>
        <v>3.0816796615431188</v>
      </c>
      <c r="DA65" s="116">
        <f>(DA15/DA27)</f>
        <v>3.049070003478104</v>
      </c>
      <c r="DB65" s="116">
        <f>(DB15/DB27)</f>
        <v>3.0613047937148381</v>
      </c>
      <c r="DC65" s="117">
        <f>(DC15/DC27)</f>
        <v>3.0613047937148381</v>
      </c>
      <c r="DE65" s="319">
        <f>(DE15/DE27)</f>
        <v>3.0616294457172581</v>
      </c>
      <c r="DF65" s="116">
        <f>(DF15/DF27)</f>
        <v>3.3333811427925988</v>
      </c>
      <c r="DG65" s="116">
        <f>(DG15/DG27)</f>
        <v>3.330727117022565</v>
      </c>
      <c r="DH65" s="116">
        <f>(DH15/DH27)</f>
        <v>3.3401326090304573</v>
      </c>
      <c r="DI65" s="117">
        <f>(DI15/DI27)</f>
        <v>3.3401326090304573</v>
      </c>
    </row>
    <row r="66" spans="1:113" ht="11.25" hidden="1" customHeight="1" outlineLevel="1">
      <c r="A66" s="118" t="s">
        <v>110</v>
      </c>
      <c r="B66" s="116"/>
      <c r="C66" s="119">
        <f>(C10+C11+C12)/(C27)</f>
        <v>0.47301043734224962</v>
      </c>
      <c r="D66" s="116"/>
      <c r="E66" s="119">
        <f>(E10+E11+E12)/(E27)</f>
        <v>0.49752038043478264</v>
      </c>
      <c r="F66" s="116"/>
      <c r="G66" s="119">
        <f>(G10+G11+G12)/(G27)</f>
        <v>3.0190367949992898</v>
      </c>
      <c r="H66" s="116"/>
      <c r="I66" s="119">
        <f>(I10+I11+I12)/(I27)</f>
        <v>2.1955648237627789</v>
      </c>
      <c r="J66" s="116"/>
      <c r="K66" s="119">
        <f>(K10+K11+K12)/(K27)</f>
        <v>1.5227725429081567</v>
      </c>
      <c r="L66" s="116"/>
      <c r="M66" s="119">
        <f>(M10+M11+M12)/(M27)</f>
        <v>1.1691528545119705</v>
      </c>
      <c r="N66" s="116"/>
      <c r="O66" s="119">
        <f>(O10+O11+O12)/(O27)</f>
        <v>1.218810723281756</v>
      </c>
      <c r="P66" s="116"/>
      <c r="Q66" s="119">
        <f>(Q10+Q11+Q12)/(Q27)</f>
        <v>1.196842938204641</v>
      </c>
      <c r="R66" s="116"/>
      <c r="S66" s="320">
        <f>(S10+S11+S12)/(S27)</f>
        <v>1.3237426410216098</v>
      </c>
      <c r="T66" s="116">
        <f>(T10+T11+T12)/(T27)</f>
        <v>1.3601254403299252</v>
      </c>
      <c r="U66" s="116">
        <f>(U10+U11+U12)/(U27)</f>
        <v>0.65355940220512898</v>
      </c>
      <c r="V66" s="116">
        <f>(V10+V11+V12)/(V27)</f>
        <v>0.67520294370874512</v>
      </c>
      <c r="W66" s="119">
        <f>(W10+W11+W12)/(W27)</f>
        <v>0.67520294370874512</v>
      </c>
      <c r="X66" s="116"/>
      <c r="Y66" s="320">
        <f>(Y10+Y11+Y12)/(Y27)</f>
        <v>0.65495641201536214</v>
      </c>
      <c r="Z66" s="116">
        <f>(Z10+Z11+Z12)/(Z27)</f>
        <v>0.60131642047460709</v>
      </c>
      <c r="AA66" s="116">
        <f>(AA10+AA11+AA12)/(AA27)</f>
        <v>0.59275168805743916</v>
      </c>
      <c r="AB66" s="116">
        <f>(AB10+AB11+AB12)/(AB27)</f>
        <v>0.94421671716271616</v>
      </c>
      <c r="AC66" s="119">
        <f>(AC10+AC11+AC12)/(AC27)</f>
        <v>0.94421671716271616</v>
      </c>
      <c r="AD66" s="116"/>
      <c r="AE66" s="320">
        <f>(AE10+AE11+AE12)/(AE27)</f>
        <v>0.58484435631563314</v>
      </c>
      <c r="AF66" s="116">
        <f>(AF10+AF11+AF12)/(AF27)</f>
        <v>0.51355242979175186</v>
      </c>
      <c r="AG66" s="116">
        <f>(AG10+AG11+AG12)/(AG27)</f>
        <v>0.47792984433192692</v>
      </c>
      <c r="AH66" s="116">
        <f>(AH10+AH11+AH12)/(AH27)</f>
        <v>0.65345391572060818</v>
      </c>
      <c r="AI66" s="119">
        <f>(AI10+AI11+AI12)/(AI27)</f>
        <v>0.65345391572060818</v>
      </c>
      <c r="AJ66" s="116"/>
      <c r="AK66" s="320">
        <f>(AK10+AK11+AK12)/(AK27)</f>
        <v>0.59524293555600727</v>
      </c>
      <c r="AL66" s="116">
        <f>(AL10+AL11+AL12)/(AL27)</f>
        <v>0.5531587057010785</v>
      </c>
      <c r="AM66" s="116">
        <f>(AM10+AM11+AM12)/(AM27)</f>
        <v>0.58003838771593086</v>
      </c>
      <c r="AN66" s="116">
        <f>(AN10+AN11+AN12)/(AN27)</f>
        <v>0.72747456059204441</v>
      </c>
      <c r="AO66" s="119">
        <f>(AO10+AO11+AO12)/(AO27)</f>
        <v>0.72747456059204441</v>
      </c>
      <c r="AP66" s="116"/>
      <c r="AQ66" s="320">
        <f>(AQ10+AQ11+AQ12)/(AQ27)</f>
        <v>0.70128676470588236</v>
      </c>
      <c r="AR66" s="116">
        <f>(AR10+AR11+AR12)/(AR27)</f>
        <v>0.6472754050073638</v>
      </c>
      <c r="AS66" s="116">
        <f>(AS10+AS11+AS12)/(AS27)</f>
        <v>0.65229885057471271</v>
      </c>
      <c r="AT66" s="116">
        <f>(AT10+AT11+AT12)/(AT27)</f>
        <v>0.56067348165965136</v>
      </c>
      <c r="AU66" s="119">
        <f>(AU10+AU11+AU12)/(AU27)</f>
        <v>0.56067348165965136</v>
      </c>
      <c r="AV66" s="116"/>
      <c r="AW66" s="320">
        <f>(AW10+AW11+AW12)/(AW27)</f>
        <v>0.51279697004476077</v>
      </c>
      <c r="AX66" s="116">
        <f>(AX10+AX11+AX12)/(AX27)</f>
        <v>0.49550848397471442</v>
      </c>
      <c r="AY66" s="116">
        <f>(AY10+AY11+AY12)/(AY27)</f>
        <v>0.51103860793909739</v>
      </c>
      <c r="AZ66" s="116">
        <f>(AZ10+AZ11+AZ12)/(AZ27)</f>
        <v>0.70256681661815301</v>
      </c>
      <c r="BA66" s="119">
        <f>(BA10+BA11+BA12)/(BA27)</f>
        <v>0.70256681661815301</v>
      </c>
      <c r="BB66" s="116"/>
      <c r="BC66" s="320">
        <f>(BC10+BC11+BC12)/(BC27)</f>
        <v>0.64147764095917037</v>
      </c>
      <c r="BD66" s="116">
        <f>(BD10+BD11+BD12)/(BD27)</f>
        <v>0.65048543689320382</v>
      </c>
      <c r="BE66" s="116">
        <f>(BE10+BE11+BE12)/(BE27)</f>
        <v>0.73838310269482876</v>
      </c>
      <c r="BF66" s="116">
        <f>(BF10+BF11+BF12)/(BF27)</f>
        <v>0.8798767967145793</v>
      </c>
      <c r="BG66" s="119">
        <f>(BG10+BG11+BG12)/(BG27)</f>
        <v>0.8798767967145793</v>
      </c>
      <c r="BH66" s="116"/>
      <c r="BI66" s="320">
        <f>(BI10+BI11+BI12)/(BI27)</f>
        <v>0.84390547263681581</v>
      </c>
      <c r="BJ66" s="116">
        <f>(BJ10+BJ11+BJ12)/(BJ27)</f>
        <v>0.9147312541473126</v>
      </c>
      <c r="BK66" s="116">
        <f>(BK10+BK11+BK12)/(BK27)</f>
        <v>0.9346011131725418</v>
      </c>
      <c r="BL66" s="116">
        <f>(BL10+BL11+BL12)/(BL27)</f>
        <v>1.1506321307431389</v>
      </c>
      <c r="BM66" s="119">
        <f>(BM10+BM11+BM12)/(BM27)</f>
        <v>1.1506321307431389</v>
      </c>
      <c r="BN66" s="116"/>
      <c r="BO66" s="320">
        <f>(BO10+BO11+BO12)/(BO27)</f>
        <v>1.1160780807629265</v>
      </c>
      <c r="BP66" s="116">
        <f>(BP10+BP11+BP12)/(BP27)</f>
        <v>1.1729514717581544</v>
      </c>
      <c r="BQ66" s="116">
        <f>(BQ10+BQ11+BQ12)/(BQ27)</f>
        <v>1.1659016393442625</v>
      </c>
      <c r="BR66" s="116">
        <f>(BR10+BR11+BR12)/(BR27)</f>
        <v>1.3569589840398146</v>
      </c>
      <c r="BS66" s="119">
        <f>(BS10+BS11+BS12)/(BS27)</f>
        <v>1.3569589840398146</v>
      </c>
      <c r="BT66" s="116"/>
      <c r="BU66" s="320">
        <f>(BU10+BU11+BU12)/(BU27)</f>
        <v>1.3319148936170213</v>
      </c>
      <c r="BV66" s="116">
        <f>(BV10+BV11+BV12)/(BV27)</f>
        <v>1.1256134969325156</v>
      </c>
      <c r="BW66" s="116">
        <f>(BW10+BW11+BW12)/(BW27)</f>
        <v>1.1456885076172163</v>
      </c>
      <c r="BX66" s="116">
        <f>(BX10+BX11+BX12)/(BX27)</f>
        <v>1.2675802380093761</v>
      </c>
      <c r="BY66" s="119">
        <f>(BY10+BY11+BY12)/(BY27)</f>
        <v>1.2675802380093761</v>
      </c>
      <c r="BZ66" s="116"/>
      <c r="CA66" s="320">
        <f>(CA10+CA11+CA12)/(CA27)</f>
        <v>1.2071257153405948</v>
      </c>
      <c r="CB66" s="116">
        <f>(CB10+CB11+CB12)/(CB27)</f>
        <v>1.1723042421977201</v>
      </c>
      <c r="CC66" s="116">
        <f>(CC10+CC11+CC12)/(CC27)</f>
        <v>1.2035830618892511</v>
      </c>
      <c r="CD66" s="116">
        <f>(CD10+CD11+CD12)/(CD27)</f>
        <v>1.4183342862588144</v>
      </c>
      <c r="CE66" s="119">
        <f>(CE10+CE11+CE12)/(CE27)</f>
        <v>1.4183342862588144</v>
      </c>
      <c r="CF66" s="116"/>
      <c r="CG66" s="320">
        <f>(CG10+CG11+CG12)/(CG27)</f>
        <v>1.3398718197708293</v>
      </c>
      <c r="CH66" s="116">
        <f>(CH10+CH11+CH12)/(CH27)</f>
        <v>1.3790518638573743</v>
      </c>
      <c r="CI66" s="116">
        <f>(CI10+CI11+CI12)/(CI27)</f>
        <v>1.3612463485881208</v>
      </c>
      <c r="CJ66" s="116">
        <f>(CJ10+CJ11+CJ12)/(CJ27)</f>
        <v>1.4461391801715919</v>
      </c>
      <c r="CK66" s="119">
        <f>(CK10+CK11+CK12)/(CK27)</f>
        <v>1.4461391801715919</v>
      </c>
      <c r="CL66" s="116"/>
      <c r="CM66" s="320">
        <f>(CM10+CM11+CM12)/(CM27)</f>
        <v>1.2919668216403546</v>
      </c>
      <c r="CN66" s="116">
        <f>(CN10+CN11+CN12)/(CN27)</f>
        <v>1.3064449497974269</v>
      </c>
      <c r="CO66" s="116">
        <f>(CO10+CO11+CO12)/(CO27)</f>
        <v>1.3712620779790241</v>
      </c>
      <c r="CP66" s="116">
        <f>(CP10+CP11+CP12)/(CP27)</f>
        <v>1.5336688199072035</v>
      </c>
      <c r="CQ66" s="119">
        <f>(CQ10+CQ11+CQ12)/(CQ27)</f>
        <v>1.5336688199072035</v>
      </c>
      <c r="CR66" s="116"/>
      <c r="CS66" s="320">
        <f>(CS10+CS11+CS12)/(CS27)</f>
        <v>1.4519978668519438</v>
      </c>
      <c r="CT66" s="116">
        <f>(CT10+CT11+CT12)/(CT27)</f>
        <v>1.4696895145668794</v>
      </c>
      <c r="CU66" s="116">
        <f>(CU10+CU11+CU12)/(CU27)</f>
        <v>1.454586134289769</v>
      </c>
      <c r="CV66" s="116">
        <f>(CV10+CV11+CV12)/(CV27)</f>
        <v>1.4255052020052255</v>
      </c>
      <c r="CW66" s="119">
        <f>(CW10+CW11+CW12)/(CW27)</f>
        <v>1.4255052020052255</v>
      </c>
      <c r="CY66" s="320">
        <f>(CY10+CY11+CY12)/(CY27)</f>
        <v>1.4880888083041413</v>
      </c>
      <c r="CZ66" s="116">
        <f>(CZ10+CZ11+CZ12)/(CZ27)</f>
        <v>1.5721592014054719</v>
      </c>
      <c r="DA66" s="116">
        <f>(DA10+DA11+DA12)/(DA27)</f>
        <v>1.5334400046964374</v>
      </c>
      <c r="DB66" s="116">
        <f>(DB10+DB11+DB12)/(DB27)</f>
        <v>1.5524965596102487</v>
      </c>
      <c r="DC66" s="119">
        <f>(DC10+DC11+DC12)/(DC27)</f>
        <v>1.5524965596102487</v>
      </c>
      <c r="DE66" s="320">
        <f>(DE10+DE11+DE12)/(DE27)</f>
        <v>1.6536259493996417</v>
      </c>
      <c r="DF66" s="116">
        <f>(DF10+DF11+DF12)/(DF27)</f>
        <v>1.7236557195254689</v>
      </c>
      <c r="DG66" s="116">
        <f>(DG10+DG11+DG12)/(DG27)</f>
        <v>1.7136822884799185</v>
      </c>
      <c r="DH66" s="116">
        <f>(DH10+DH11+DH12)/(DH27)</f>
        <v>1.7034378142101196</v>
      </c>
      <c r="DI66" s="119">
        <f>(DI10+DI11+DI12)/(DI27)</f>
        <v>1.7034378142101196</v>
      </c>
    </row>
    <row r="67" spans="1:113" ht="11.25" hidden="1" customHeight="1" outlineLevel="1">
      <c r="A67" s="118" t="s">
        <v>111</v>
      </c>
      <c r="B67" s="116"/>
      <c r="C67" s="119">
        <f>C10/C27</f>
        <v>4.9345997569475393E-2</v>
      </c>
      <c r="D67" s="116"/>
      <c r="E67" s="119">
        <f>E10/E27</f>
        <v>8.2982336956521754E-2</v>
      </c>
      <c r="F67" s="116"/>
      <c r="G67" s="119">
        <f>G10/G27</f>
        <v>0.61755931240232986</v>
      </c>
      <c r="H67" s="116"/>
      <c r="I67" s="119">
        <f>I10/I27</f>
        <v>0.21313768373938252</v>
      </c>
      <c r="J67" s="116"/>
      <c r="K67" s="119">
        <f>K10/K27</f>
        <v>0.87530574964135699</v>
      </c>
      <c r="L67" s="116"/>
      <c r="M67" s="119">
        <f>M10/M27</f>
        <v>0.23335174953959481</v>
      </c>
      <c r="N67" s="116"/>
      <c r="O67" s="119">
        <f>O10/O27</f>
        <v>0.29279417056495138</v>
      </c>
      <c r="P67" s="116"/>
      <c r="Q67" s="119">
        <f>Q10/Q27</f>
        <v>0.42359274714423883</v>
      </c>
      <c r="R67" s="116"/>
      <c r="S67" s="320">
        <f>S10/S27</f>
        <v>0.58260398651363499</v>
      </c>
      <c r="T67" s="116">
        <f>T10/T27</f>
        <v>0.82993384311366958</v>
      </c>
      <c r="U67" s="116">
        <f>U10/U27</f>
        <v>0.24861757120493735</v>
      </c>
      <c r="V67" s="116">
        <f>V10/V27</f>
        <v>0.26724509040219752</v>
      </c>
      <c r="W67" s="119">
        <f>W10/W27</f>
        <v>0.26724509040219752</v>
      </c>
      <c r="X67" s="116"/>
      <c r="Y67" s="320">
        <f>Y10/Y27</f>
        <v>0.2788629569728257</v>
      </c>
      <c r="Z67" s="116">
        <f>Z10/Z27</f>
        <v>0.2209826251468984</v>
      </c>
      <c r="AA67" s="116">
        <f>AA10/AA27</f>
        <v>0.18486189052929691</v>
      </c>
      <c r="AB67" s="116">
        <f>AB10/AB27</f>
        <v>0.5924077704509001</v>
      </c>
      <c r="AC67" s="119">
        <f>AC10/AC27</f>
        <v>0.5924077704509001</v>
      </c>
      <c r="AD67" s="116"/>
      <c r="AE67" s="320">
        <f>AE10/AE27</f>
        <v>0.35865687202309732</v>
      </c>
      <c r="AF67" s="116">
        <f>AF10/AF27</f>
        <v>0.21754494923910705</v>
      </c>
      <c r="AG67" s="116">
        <f>AG10/AG27</f>
        <v>0.16566310594028108</v>
      </c>
      <c r="AH67" s="116">
        <f>AH10/AH27</f>
        <v>0.31979988454877817</v>
      </c>
      <c r="AI67" s="119">
        <f>AI10/AI27</f>
        <v>0.31979988454877817</v>
      </c>
      <c r="AJ67" s="116"/>
      <c r="AK67" s="320">
        <f>AK10/AK27</f>
        <v>0.30168733482415122</v>
      </c>
      <c r="AL67" s="116">
        <f>AL10/AL27</f>
        <v>0.29391371340523881</v>
      </c>
      <c r="AM67" s="116">
        <f>AM10/AM27</f>
        <v>0.28502879078694815</v>
      </c>
      <c r="AN67" s="116">
        <f>AN10/AN27</f>
        <v>0.38316373728029601</v>
      </c>
      <c r="AO67" s="119">
        <f>AO10/AO27</f>
        <v>0.38316373728029601</v>
      </c>
      <c r="AP67" s="116"/>
      <c r="AQ67" s="320">
        <f>AQ10/AQ27</f>
        <v>0.37334558823529412</v>
      </c>
      <c r="AR67" s="116">
        <f>AR10/AR27</f>
        <v>0.34536082474226798</v>
      </c>
      <c r="AS67" s="116">
        <f>AS10/AS27</f>
        <v>0.3177822853279243</v>
      </c>
      <c r="AT67" s="116">
        <f>AT10/AT27</f>
        <v>0.27708959711365005</v>
      </c>
      <c r="AU67" s="119">
        <f>AU10/AU27</f>
        <v>0.27708959711365005</v>
      </c>
      <c r="AV67" s="116"/>
      <c r="AW67" s="320">
        <f>AW10/AW27</f>
        <v>0.22185240445311605</v>
      </c>
      <c r="AX67" s="116">
        <f>AX10/AX27</f>
        <v>0.18831096817123211</v>
      </c>
      <c r="AY67" s="116">
        <f>AY10/AY27</f>
        <v>0.21294181620445896</v>
      </c>
      <c r="AZ67" s="116">
        <f>AZ10/AZ27</f>
        <v>0.32548293199259065</v>
      </c>
      <c r="BA67" s="119">
        <f>BA10/BA27</f>
        <v>0.32548293199259065</v>
      </c>
      <c r="BB67" s="116"/>
      <c r="BC67" s="320">
        <f>BC10/BC27</f>
        <v>0.29747245625405055</v>
      </c>
      <c r="BD67" s="116">
        <f>BD10/BD27</f>
        <v>0.31959037105998134</v>
      </c>
      <c r="BE67" s="116">
        <f>BE10/BE27</f>
        <v>0.3526584122359796</v>
      </c>
      <c r="BF67" s="116">
        <f>BF10/BF27</f>
        <v>0.45555881490173078</v>
      </c>
      <c r="BG67" s="119">
        <f>BG10/BG27</f>
        <v>0.45555881490173078</v>
      </c>
      <c r="BH67" s="116"/>
      <c r="BI67" s="320">
        <f>BI10/BI27</f>
        <v>0.4188432835820895</v>
      </c>
      <c r="BJ67" s="116">
        <f>BJ10/BJ27</f>
        <v>0.41622428666224293</v>
      </c>
      <c r="BK67" s="116">
        <f>BK10/BK27</f>
        <v>0.47433518862090296</v>
      </c>
      <c r="BL67" s="116">
        <f>BL10/BL27</f>
        <v>0.67637989515880359</v>
      </c>
      <c r="BM67" s="119">
        <f>BM10/BM27</f>
        <v>0.67637989515880359</v>
      </c>
      <c r="BN67" s="116"/>
      <c r="BO67" s="320">
        <f>BO10/BO27</f>
        <v>0.67650126657726117</v>
      </c>
      <c r="BP67" s="116">
        <f>BP10/BP27</f>
        <v>0.62020684168655527</v>
      </c>
      <c r="BQ67" s="116">
        <f>BQ10/BQ27</f>
        <v>0.5396721311475412</v>
      </c>
      <c r="BR67" s="116">
        <f>BR10/BR27</f>
        <v>0.54830959327269602</v>
      </c>
      <c r="BS67" s="119">
        <f>BS10/BS27</f>
        <v>0.54830959327269602</v>
      </c>
      <c r="BT67" s="116"/>
      <c r="BU67" s="320">
        <f>BU10/BU27</f>
        <v>0.61887141535615176</v>
      </c>
      <c r="BV67" s="116">
        <f>BV10/BV27</f>
        <v>0.4920245398773006</v>
      </c>
      <c r="BW67" s="116">
        <f>BW10/BW27</f>
        <v>0.48957254843957992</v>
      </c>
      <c r="BX67" s="116">
        <f>BX10/BX27</f>
        <v>0.48160836639019117</v>
      </c>
      <c r="BY67" s="119">
        <f>BY10/BY27</f>
        <v>0.48160836639019117</v>
      </c>
      <c r="BZ67" s="116"/>
      <c r="CA67" s="320">
        <f>CA10/CA27</f>
        <v>0.3874838471478681</v>
      </c>
      <c r="CB67" s="116">
        <f>CB10/CB27</f>
        <v>0.4344982246309102</v>
      </c>
      <c r="CC67" s="116">
        <f>CC10/CC27</f>
        <v>0.50434310532030413</v>
      </c>
      <c r="CD67" s="116">
        <f>CD10/CD27</f>
        <v>0.65256336954450156</v>
      </c>
      <c r="CE67" s="119">
        <f>CE10/CE27</f>
        <v>0.65256336954450156</v>
      </c>
      <c r="CF67" s="116"/>
      <c r="CG67" s="320">
        <f>CG10/CG27</f>
        <v>0.53893959992231499</v>
      </c>
      <c r="CH67" s="116">
        <f>CH10/CH27</f>
        <v>0.44104538087520262</v>
      </c>
      <c r="CI67" s="116">
        <f>CI10/CI27</f>
        <v>0.51392405063291136</v>
      </c>
      <c r="CJ67" s="116">
        <f>CJ10/CJ27</f>
        <v>0.61963775023832224</v>
      </c>
      <c r="CK67" s="119">
        <f>CK10/CK27</f>
        <v>0.61963775023832224</v>
      </c>
      <c r="CL67" s="116"/>
      <c r="CM67" s="320">
        <f>CM10/CM27</f>
        <v>0.58458330888671795</v>
      </c>
      <c r="CN67" s="116">
        <f>CN10/CN27</f>
        <v>0.51257812693789195</v>
      </c>
      <c r="CO67" s="116">
        <f>CO10/CO27</f>
        <v>0.53283222373627981</v>
      </c>
      <c r="CP67" s="116">
        <f>CP10/CP27</f>
        <v>0.58830419809407586</v>
      </c>
      <c r="CQ67" s="119">
        <f>CQ10/CQ27</f>
        <v>0.58830419809407586</v>
      </c>
      <c r="CR67" s="116"/>
      <c r="CS67" s="320">
        <f>CS10/CS27</f>
        <v>0.72673185585529454</v>
      </c>
      <c r="CT67" s="116">
        <f>CT10/CT27</f>
        <v>0.65686233725831733</v>
      </c>
      <c r="CU67" s="116">
        <f>CU10/CU27</f>
        <v>0.60327628375041342</v>
      </c>
      <c r="CV67" s="116">
        <f>CV10/CV27</f>
        <v>0.48003527283734915</v>
      </c>
      <c r="CW67" s="119">
        <f>CW10/CW27</f>
        <v>0.48003527283734915</v>
      </c>
      <c r="CY67" s="320">
        <f>CY10/CY27</f>
        <v>0.69649834007699207</v>
      </c>
      <c r="CZ67" s="116">
        <f>CZ10/CZ27</f>
        <v>0.67337349619360731</v>
      </c>
      <c r="DA67" s="116">
        <f>DA10/DA27</f>
        <v>0.59912657686005866</v>
      </c>
      <c r="DB67" s="116">
        <f>DB10/DB27</f>
        <v>0.49314834633085647</v>
      </c>
      <c r="DC67" s="119">
        <f>DC10/DC27</f>
        <v>0.49314834633085647</v>
      </c>
      <c r="DE67" s="320">
        <f>DE10/DE27</f>
        <v>0.807052630042984</v>
      </c>
      <c r="DF67" s="116">
        <f>DF10/DF27</f>
        <v>0.7593618327981454</v>
      </c>
      <c r="DG67" s="116">
        <f>DG10/DG27</f>
        <v>0.70680181652159269</v>
      </c>
      <c r="DH67" s="116">
        <f>DH10/DH27</f>
        <v>0.5485038274861691</v>
      </c>
      <c r="DI67" s="119">
        <f>DI10/DI27</f>
        <v>0.5485038274861691</v>
      </c>
    </row>
    <row r="68" spans="1:113" ht="11.25" hidden="1" customHeight="1" outlineLevel="1">
      <c r="A68" s="120" t="s">
        <v>112</v>
      </c>
      <c r="B68" s="121"/>
      <c r="C68" s="122">
        <f>(C15-C13)/C27</f>
        <v>0.53494859592637123</v>
      </c>
      <c r="D68" s="121"/>
      <c r="E68" s="122">
        <f>(E15-E13)/E27</f>
        <v>0.54612771739130428</v>
      </c>
      <c r="F68" s="121"/>
      <c r="G68" s="122">
        <f>(G15-G13)/G27</f>
        <v>3.1436567694274751</v>
      </c>
      <c r="H68" s="121"/>
      <c r="I68" s="122">
        <f>(I15-I13)/I27</f>
        <v>2.3241696760083408</v>
      </c>
      <c r="J68" s="121"/>
      <c r="K68" s="122">
        <f>(K15-K13)/K27</f>
        <v>1.5968749032437843</v>
      </c>
      <c r="L68" s="121"/>
      <c r="M68" s="122">
        <f>(M15-M13)/M27</f>
        <v>1.2944106813996314</v>
      </c>
      <c r="N68" s="121"/>
      <c r="O68" s="122">
        <f>(O15-O13)/O27</f>
        <v>1.4712396545519972</v>
      </c>
      <c r="P68" s="121"/>
      <c r="Q68" s="122">
        <f>(Q15-Q13)/Q27</f>
        <v>1.3363677557673193</v>
      </c>
      <c r="R68" s="121"/>
      <c r="S68" s="321">
        <f>(S15-S13)/S27</f>
        <v>1.4721712698495888</v>
      </c>
      <c r="T68" s="121">
        <f>(T15-T13)/T27</f>
        <v>1.4851963227081368</v>
      </c>
      <c r="U68" s="121">
        <f>(U15-U13)/U27</f>
        <v>0.77773585755633923</v>
      </c>
      <c r="V68" s="121">
        <f>(V15-V13)/V27</f>
        <v>0.82120454265917753</v>
      </c>
      <c r="W68" s="122">
        <f>(W15-W13)/W27</f>
        <v>0.82120454265917753</v>
      </c>
      <c r="X68" s="121"/>
      <c r="Y68" s="321">
        <f>(Y15-Y13)/Y27</f>
        <v>0.80846322936643433</v>
      </c>
      <c r="Z68" s="121">
        <f>(Z15-Z13)/Z27</f>
        <v>0.74708706398182945</v>
      </c>
      <c r="AA68" s="121">
        <f>(AA15-AA13)/AA27</f>
        <v>0.75643980251747434</v>
      </c>
      <c r="AB68" s="121">
        <f>(AB15-AB13)/AB27</f>
        <v>1.046693993940474</v>
      </c>
      <c r="AC68" s="122">
        <f>(AC15-AC13)/AC27</f>
        <v>1.046693993940474</v>
      </c>
      <c r="AD68" s="121"/>
      <c r="AE68" s="321">
        <f>(AE15-AE13)/AE27</f>
        <v>0.69126430506570991</v>
      </c>
      <c r="AF68" s="121">
        <f>(AF15-AF13)/AF27</f>
        <v>0.64487325390161476</v>
      </c>
      <c r="AG68" s="121">
        <f>(AG15-AG13)/AG27</f>
        <v>0.61825099685286999</v>
      </c>
      <c r="AH68" s="121">
        <f>(AH15-AH13)/AH27</f>
        <v>0.76120838945545521</v>
      </c>
      <c r="AI68" s="122">
        <f>(AI15-AI13)/AI27</f>
        <v>0.76120838945545521</v>
      </c>
      <c r="AJ68" s="121"/>
      <c r="AK68" s="321">
        <f>(AK15-AK13)/AK27</f>
        <v>0.71945517381581636</v>
      </c>
      <c r="AL68" s="121">
        <f>(AL15-AL13)/AL27</f>
        <v>0.67950693374422177</v>
      </c>
      <c r="AM68" s="121">
        <f>(AM15-AM13)/AM27</f>
        <v>0.71957773512476009</v>
      </c>
      <c r="AN68" s="121">
        <f>(AN15-AN13)/AN27</f>
        <v>0.83441258094357063</v>
      </c>
      <c r="AO68" s="122">
        <f>(AO15-AO13)/AO27</f>
        <v>0.83441258094357063</v>
      </c>
      <c r="AP68" s="121"/>
      <c r="AQ68" s="321">
        <f>(AQ15-AQ13)/AQ27</f>
        <v>0.81452205882352957</v>
      </c>
      <c r="AR68" s="121">
        <f>(AR15-AR13)/AR27</f>
        <v>0.75497054491899851</v>
      </c>
      <c r="AS68" s="121">
        <f>(AS15-AS13)/AS27</f>
        <v>0.78803245436105485</v>
      </c>
      <c r="AT68" s="121">
        <f>(AT15-AT13)/AT27</f>
        <v>0.64954900781719804</v>
      </c>
      <c r="AU68" s="122">
        <f>(AU15-AU13)/AU27</f>
        <v>0.64954900781719804</v>
      </c>
      <c r="AV68" s="121"/>
      <c r="AW68" s="321">
        <f>(AW15-AW13)/AW27</f>
        <v>0.62458395500975572</v>
      </c>
      <c r="AX68" s="121">
        <f>(AX15-AX13)/AX27</f>
        <v>0.60818454031274238</v>
      </c>
      <c r="AY68" s="121">
        <f>(AY15-AY13)/AY27</f>
        <v>0.61740076128330612</v>
      </c>
      <c r="AZ68" s="121">
        <f>(AZ15-AZ13)/AZ27</f>
        <v>0.81754432389521059</v>
      </c>
      <c r="BA68" s="122">
        <f>(BA15-BA13)/BA27</f>
        <v>0.81754432389521059</v>
      </c>
      <c r="BB68" s="121"/>
      <c r="BC68" s="321">
        <f>(BC15-BC13)/BC27</f>
        <v>0.77433570965651344</v>
      </c>
      <c r="BD68" s="121">
        <f>(BD15-BD13)/BD27</f>
        <v>0.78707274903577618</v>
      </c>
      <c r="BE68" s="121">
        <f>(BE15-BE13)/BE27</f>
        <v>0.8916241806263655</v>
      </c>
      <c r="BF68" s="121">
        <f>(BF15-BF13)/BF27</f>
        <v>1.0240539747726607</v>
      </c>
      <c r="BG68" s="122">
        <f>(BG15-BG13)/BG27</f>
        <v>1.0240539747726607</v>
      </c>
      <c r="BH68" s="121"/>
      <c r="BI68" s="321">
        <f>(BI15-BI13)/BI27</f>
        <v>1.0195895522388059</v>
      </c>
      <c r="BJ68" s="121">
        <f>(BJ15-BJ13)/BJ27</f>
        <v>1.0982083609820834</v>
      </c>
      <c r="BK68" s="121">
        <f>(BK15-BK13)/BK27</f>
        <v>1.1454854669140386</v>
      </c>
      <c r="BL68" s="121">
        <f>(BL15-BL13)/BL27</f>
        <v>1.2983348751156334</v>
      </c>
      <c r="BM68" s="122">
        <f>(BM15-BM13)/BM27</f>
        <v>1.2983348751156334</v>
      </c>
      <c r="BN68" s="121"/>
      <c r="BO68" s="321">
        <f>(BO15-BO13)/BO27</f>
        <v>1.2758158247653106</v>
      </c>
      <c r="BP68" s="121">
        <f>(BP15-BP13)/BP27</f>
        <v>1.3576770087509946</v>
      </c>
      <c r="BQ68" s="121">
        <f>(BQ15-BQ13)/BQ27</f>
        <v>1.365409836065574</v>
      </c>
      <c r="BR68" s="121">
        <f>(BR15-BR13)/BR27</f>
        <v>1.5254848120816886</v>
      </c>
      <c r="BS68" s="122">
        <f>(BS15-BS13)/BS27</f>
        <v>1.5254848120816886</v>
      </c>
      <c r="BT68" s="121"/>
      <c r="BU68" s="321">
        <f>(BU15-BU13)/BU27</f>
        <v>1.5372802960222016</v>
      </c>
      <c r="BV68" s="121">
        <f>(BV15-BV13)/BV27</f>
        <v>1.3315950920245399</v>
      </c>
      <c r="BW68" s="121">
        <f>(BW15-BW13)/BW27</f>
        <v>1.3431445052507023</v>
      </c>
      <c r="BX68" s="121">
        <f>(BX15-BX13)/BX27</f>
        <v>1.4597908402452215</v>
      </c>
      <c r="BY68" s="122">
        <f>(BY15-BY13)/BY27</f>
        <v>1.4597908402452215</v>
      </c>
      <c r="BZ68" s="121"/>
      <c r="CA68" s="321">
        <f>(CA15-CA13)/CA27</f>
        <v>1.4127745984862474</v>
      </c>
      <c r="CB68" s="121">
        <f>(CB15-CB13)/CB27</f>
        <v>1.3911418426462343</v>
      </c>
      <c r="CC68" s="121">
        <f>(CC15-CC13)/CC27</f>
        <v>1.4180238870792619</v>
      </c>
      <c r="CD68" s="121">
        <f>(CD15-CD13)/CD27</f>
        <v>1.5923384791309316</v>
      </c>
      <c r="CE68" s="122">
        <f>(CE15-CE13)/CE27</f>
        <v>1.5923384791309316</v>
      </c>
      <c r="CF68" s="121"/>
      <c r="CG68" s="321">
        <f>(CG15-CG13)/CG27</f>
        <v>1.5298116139056126</v>
      </c>
      <c r="CH68" s="121">
        <f>(CH15-CH13)/CH27</f>
        <v>1.6096029173419772</v>
      </c>
      <c r="CI68" s="121">
        <f>(CI15-CI13)/CI27</f>
        <v>1.5998052580331061</v>
      </c>
      <c r="CJ68" s="121">
        <f>(CJ15-CJ13)/CJ27</f>
        <v>1.663679694947569</v>
      </c>
      <c r="CK68" s="122">
        <f>(CK15-CK13)/CK27</f>
        <v>1.663679694947569</v>
      </c>
      <c r="CL68" s="121"/>
      <c r="CM68" s="321">
        <f>(CM15-CM13)/CM27</f>
        <v>1.5121302139490549</v>
      </c>
      <c r="CN68" s="121">
        <f>(CN15-CN13)/CN27</f>
        <v>1.5753080508919444</v>
      </c>
      <c r="CO68" s="121">
        <f>(CO15-CO13)/CO27</f>
        <v>1.652185855456328</v>
      </c>
      <c r="CP68" s="121">
        <f>(CP15-CP13)/CP27</f>
        <v>1.8011523860723826</v>
      </c>
      <c r="CQ68" s="122">
        <f>(CQ15-CQ13)/CQ27</f>
        <v>1.8011523860723826</v>
      </c>
      <c r="CR68" s="121"/>
      <c r="CS68" s="321">
        <f>(CS15-CS13)/CS27</f>
        <v>1.698250750315387</v>
      </c>
      <c r="CT68" s="121">
        <f>(CT15-CT13)/CT27</f>
        <v>1.7701896360726797</v>
      </c>
      <c r="CU68" s="121">
        <f>(CU15-CU13)/CU27</f>
        <v>1.7635060575065471</v>
      </c>
      <c r="CV68" s="121">
        <f>(CV15-CV13)/CV27</f>
        <v>1.7225852677815157</v>
      </c>
      <c r="CW68" s="122">
        <f>(CW15-CW13)/CW27</f>
        <v>1.7225852677815157</v>
      </c>
      <c r="CY68" s="321">
        <f>(CY15-CY13)/CY27</f>
        <v>1.7649903562499529</v>
      </c>
      <c r="CZ68" s="121">
        <f>(CZ15-CZ13)/CZ27</f>
        <v>1.9112024194276021</v>
      </c>
      <c r="DA68" s="121">
        <f>(DA15-DA13)/DA27</f>
        <v>1.8816772466244551</v>
      </c>
      <c r="DB68" s="121">
        <f>(DB15-DB13)/DB27</f>
        <v>1.8965728360669007</v>
      </c>
      <c r="DC68" s="122">
        <f>(DC15-DC13)/DC27</f>
        <v>1.8965728360669007</v>
      </c>
      <c r="DE68" s="321">
        <f>(DE15-DE13)/DE27</f>
        <v>1.9623396268265512</v>
      </c>
      <c r="DF68" s="121">
        <f>(DF15-DF13)/DF27</f>
        <v>2.1029678959410547</v>
      </c>
      <c r="DG68" s="121">
        <f>(DG15-DG13)/DG27</f>
        <v>2.102990035314988</v>
      </c>
      <c r="DH68" s="121">
        <f>(DH15-DH13)/DH27</f>
        <v>2.0977923159661169</v>
      </c>
      <c r="DI68" s="122">
        <f>(DI15-DI13)/DI27</f>
        <v>2.0977923159661169</v>
      </c>
    </row>
    <row r="69" spans="1:113" ht="11.25" hidden="1" customHeight="1" outlineLevel="1">
      <c r="A69" s="113"/>
      <c r="B69" s="88"/>
      <c r="C69" s="68"/>
      <c r="D69" s="88"/>
      <c r="E69" s="68"/>
      <c r="F69" s="88"/>
      <c r="G69" s="68"/>
      <c r="H69" s="88"/>
      <c r="I69" s="68"/>
      <c r="J69" s="88"/>
      <c r="K69" s="68"/>
      <c r="L69" s="88"/>
      <c r="M69" s="68"/>
      <c r="N69" s="88"/>
      <c r="O69" s="68"/>
      <c r="P69" s="88"/>
      <c r="Q69" s="6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88"/>
      <c r="AJ69" s="88"/>
      <c r="AK69" s="88"/>
      <c r="AL69" s="88"/>
      <c r="AM69" s="88"/>
      <c r="AN69" s="88"/>
      <c r="AO69" s="88"/>
      <c r="AP69" s="88"/>
      <c r="AQ69" s="88"/>
      <c r="AR69" s="88"/>
      <c r="AS69" s="88"/>
      <c r="AT69" s="88"/>
      <c r="AU69" s="88"/>
      <c r="AV69" s="88"/>
      <c r="AW69" s="88"/>
      <c r="AX69" s="88"/>
      <c r="AY69" s="88"/>
      <c r="AZ69" s="88"/>
      <c r="BA69" s="88"/>
      <c r="BB69" s="88"/>
      <c r="BC69" s="88"/>
      <c r="BD69" s="88"/>
      <c r="BE69" s="88"/>
      <c r="BF69" s="88"/>
      <c r="BG69" s="88"/>
      <c r="BH69" s="88"/>
      <c r="BI69" s="88"/>
      <c r="BJ69" s="88"/>
      <c r="BK69" s="88"/>
      <c r="BL69" s="88"/>
      <c r="BM69" s="88"/>
      <c r="BN69" s="88"/>
      <c r="BO69" s="88"/>
      <c r="BP69" s="88"/>
      <c r="BQ69" s="88"/>
      <c r="BR69" s="88"/>
      <c r="BS69" s="88"/>
      <c r="BT69" s="88"/>
      <c r="BU69" s="88"/>
      <c r="BV69" s="88"/>
      <c r="BW69" s="88"/>
      <c r="BX69" s="89"/>
      <c r="BY69" s="90"/>
      <c r="BZ69" s="88"/>
      <c r="CA69" s="88"/>
      <c r="CB69" s="88"/>
      <c r="CC69" s="88"/>
      <c r="CD69" s="89"/>
      <c r="CE69" s="90"/>
      <c r="CF69" s="88"/>
      <c r="CG69" s="88"/>
      <c r="CH69" s="88"/>
      <c r="CI69" s="88"/>
      <c r="CJ69" s="89"/>
      <c r="CK69" s="90"/>
      <c r="CL69" s="88"/>
      <c r="CM69" s="88"/>
      <c r="CN69" s="88"/>
      <c r="CO69" s="88"/>
      <c r="CP69" s="89"/>
      <c r="CQ69" s="90"/>
      <c r="CR69" s="88"/>
      <c r="CS69" s="88"/>
      <c r="CT69" s="88"/>
      <c r="CU69" s="88"/>
      <c r="CV69" s="89"/>
      <c r="CW69" s="90"/>
      <c r="CY69" s="88"/>
      <c r="CZ69" s="88"/>
      <c r="DA69" s="88"/>
      <c r="DB69" s="89"/>
      <c r="DC69" s="90"/>
      <c r="DE69" s="88"/>
      <c r="DF69" s="88"/>
      <c r="DG69" s="88"/>
      <c r="DH69" s="89"/>
      <c r="DI69" s="90"/>
    </row>
    <row r="70" spans="1:113" ht="11.25" customHeight="1" collapsed="1">
      <c r="A70" s="114" t="s">
        <v>113</v>
      </c>
      <c r="B70" s="91"/>
      <c r="C70" s="92"/>
      <c r="D70" s="91"/>
      <c r="E70" s="92"/>
      <c r="F70" s="91"/>
      <c r="G70" s="92"/>
      <c r="H70" s="91"/>
      <c r="I70" s="92"/>
      <c r="J70" s="91"/>
      <c r="K70" s="92"/>
      <c r="L70" s="91"/>
      <c r="M70" s="92"/>
      <c r="N70" s="91"/>
      <c r="O70" s="92"/>
      <c r="P70" s="91"/>
      <c r="Q70" s="92"/>
      <c r="R70" s="91"/>
      <c r="S70" s="91"/>
      <c r="T70" s="91"/>
      <c r="U70" s="91"/>
      <c r="V70" s="91"/>
      <c r="W70" s="91"/>
      <c r="X70" s="91"/>
      <c r="Y70" s="91"/>
      <c r="Z70" s="91"/>
      <c r="AA70" s="91"/>
      <c r="AB70" s="91"/>
      <c r="AC70" s="91"/>
      <c r="AD70" s="91"/>
      <c r="AE70" s="91"/>
      <c r="AF70" s="91"/>
      <c r="AG70" s="91"/>
      <c r="AH70" s="91"/>
      <c r="AI70" s="91"/>
      <c r="AJ70" s="91"/>
      <c r="AK70" s="91"/>
      <c r="AL70" s="91"/>
      <c r="AM70" s="91"/>
      <c r="AN70" s="91"/>
      <c r="AO70" s="91"/>
      <c r="AP70" s="91"/>
      <c r="AQ70" s="91"/>
      <c r="AR70" s="91"/>
      <c r="AS70" s="91"/>
      <c r="AT70" s="91"/>
      <c r="AU70" s="91"/>
      <c r="AV70" s="91"/>
      <c r="AW70" s="91"/>
      <c r="AX70" s="91"/>
      <c r="AY70" s="91"/>
      <c r="AZ70" s="91"/>
      <c r="BA70" s="91"/>
      <c r="BB70" s="91"/>
      <c r="BC70" s="91"/>
      <c r="BD70" s="91"/>
      <c r="BE70" s="91"/>
      <c r="BF70" s="91"/>
      <c r="BG70" s="91"/>
      <c r="BH70" s="91"/>
      <c r="BI70" s="91"/>
      <c r="BJ70" s="91"/>
      <c r="BK70" s="91"/>
      <c r="BL70" s="91"/>
      <c r="BM70" s="91"/>
      <c r="BN70" s="91"/>
      <c r="BO70" s="91"/>
      <c r="BP70" s="91"/>
      <c r="BQ70" s="91"/>
      <c r="BR70" s="91"/>
      <c r="BS70" s="91"/>
      <c r="BT70" s="91"/>
      <c r="BU70" s="91"/>
      <c r="BV70" s="91"/>
      <c r="BW70" s="91"/>
      <c r="BX70" s="91"/>
      <c r="BY70" s="93"/>
      <c r="BZ70" s="91"/>
      <c r="CA70" s="91"/>
      <c r="CB70" s="91"/>
      <c r="CC70" s="91"/>
      <c r="CD70" s="91"/>
      <c r="CE70" s="93"/>
      <c r="CF70" s="91"/>
      <c r="CG70" s="91"/>
      <c r="CH70" s="91"/>
      <c r="CI70" s="91"/>
      <c r="CJ70" s="91"/>
      <c r="CK70" s="93"/>
      <c r="CL70" s="91"/>
      <c r="CM70" s="91"/>
      <c r="CN70" s="91"/>
      <c r="CO70" s="91"/>
      <c r="CP70" s="91"/>
      <c r="CQ70" s="93"/>
      <c r="CR70" s="91"/>
      <c r="CS70" s="91"/>
      <c r="CT70" s="91"/>
      <c r="CU70" s="91"/>
      <c r="CV70" s="91"/>
      <c r="CW70" s="93"/>
      <c r="CY70" s="91"/>
      <c r="CZ70" s="91"/>
      <c r="DA70" s="91"/>
      <c r="DB70" s="91"/>
      <c r="DC70" s="93"/>
      <c r="DE70" s="91"/>
      <c r="DF70" s="91"/>
      <c r="DG70" s="91"/>
      <c r="DH70" s="91"/>
      <c r="DI70" s="93"/>
    </row>
    <row r="71" spans="1:113" ht="11.25" customHeight="1">
      <c r="A71" s="123" t="s">
        <v>114</v>
      </c>
      <c r="B71" s="124"/>
      <c r="C71" s="125">
        <f>365/(IS!C9/BS!C12)</f>
        <v>84.264020897007626</v>
      </c>
      <c r="D71" s="124"/>
      <c r="E71" s="125">
        <f>365/(IS!E9/BS!E12)</f>
        <v>68.858556191065091</v>
      </c>
      <c r="F71" s="124"/>
      <c r="G71" s="125">
        <f>365/(IS!G9/BS!G12)</f>
        <v>55.396595389154328</v>
      </c>
      <c r="H71" s="124"/>
      <c r="I71" s="125">
        <f>365/(IS!I9/BS!I12)</f>
        <v>63.804414668090743</v>
      </c>
      <c r="J71" s="124"/>
      <c r="K71" s="125">
        <f>365/(IS!K9/BS!K12)</f>
        <v>79.372422481849753</v>
      </c>
      <c r="L71" s="124"/>
      <c r="M71" s="125">
        <f>365/(IS!M9/BS!M12)</f>
        <v>70.195700459185431</v>
      </c>
      <c r="N71" s="124"/>
      <c r="O71" s="125">
        <f>365/(IS!O9/BS!O12)</f>
        <v>74.166291629162913</v>
      </c>
      <c r="P71" s="124"/>
      <c r="Q71" s="125">
        <f>365/(IS!Q9/BS!Q12)</f>
        <v>66.589778994393598</v>
      </c>
      <c r="R71" s="124"/>
      <c r="S71" s="322">
        <f>(365/4)/(IS!S9/BS!S12)</f>
        <v>53.466135510668806</v>
      </c>
      <c r="T71" s="124">
        <f>(365/4)/(IS!T9/BS!T12)</f>
        <v>56.038795119572477</v>
      </c>
      <c r="U71" s="124">
        <f>(365/4)/(IS!U9/BS!U12)</f>
        <v>62.572422999904646</v>
      </c>
      <c r="V71" s="124">
        <f>(365/4)/(IS!V9/BS!V12)</f>
        <v>53.558451612903212</v>
      </c>
      <c r="W71" s="125">
        <f>365/(IS!W9/BS!W12)</f>
        <v>66.666345443448648</v>
      </c>
      <c r="X71" s="124"/>
      <c r="Y71" s="322">
        <f>(365/4)/(IS!Y9/BS!Y12)</f>
        <v>33.024571640582835</v>
      </c>
      <c r="Z71" s="124">
        <f>(365/4)/(IS!Z9/BS!Z12)</f>
        <v>27.630899086187078</v>
      </c>
      <c r="AA71" s="124">
        <f>(365/4)/(IS!AA9/BS!AA12)</f>
        <v>32.399487094639312</v>
      </c>
      <c r="AB71" s="124">
        <f>(365/4)/(IS!AB9/BS!AB12)</f>
        <v>49.01787319948253</v>
      </c>
      <c r="AC71" s="125">
        <f>365/(IS!AC9/BS!AC12)</f>
        <v>65.476559473072442</v>
      </c>
      <c r="AD71" s="124"/>
      <c r="AE71" s="322">
        <f>(365/4)/(IS!AE9/BS!AE12)</f>
        <v>63.212930130088118</v>
      </c>
      <c r="AF71" s="124">
        <f>(365/4)/(IS!AF9/BS!AF12)</f>
        <v>48.11086677367576</v>
      </c>
      <c r="AG71" s="124">
        <f>(365/4)/(IS!AG9/BS!AG12)</f>
        <v>58.823647253201159</v>
      </c>
      <c r="AH71" s="124">
        <f>(365/4)/(IS!AH9/BS!AH12)</f>
        <v>49.764831852791886</v>
      </c>
      <c r="AI71" s="125">
        <f>365/(IS!AI9/BS!AI12)</f>
        <v>56.673742209375852</v>
      </c>
      <c r="AJ71" s="124"/>
      <c r="AK71" s="322">
        <f>(365/4)/(IS!AK9/BS!AK12)</f>
        <v>56.571041214750544</v>
      </c>
      <c r="AL71" s="124">
        <f>(365/4)/(IS!AL9/BS!AL12)</f>
        <v>48.028217821782178</v>
      </c>
      <c r="AM71" s="124">
        <f>(365/4)/(IS!AM9/BS!AM12)</f>
        <v>52.216616371180685</v>
      </c>
      <c r="AN71" s="124">
        <f>(365/4)/(IS!AN9/BS!AN12)</f>
        <v>45.849140283842793</v>
      </c>
      <c r="AO71" s="125">
        <f>365/(IS!AO9/BS!AO12)</f>
        <v>60.292956482727675</v>
      </c>
      <c r="AP71" s="124"/>
      <c r="AQ71" s="322">
        <f>(365/4)/(IS!AQ9/BS!AQ12)</f>
        <v>57.470741807706162</v>
      </c>
      <c r="AR71" s="124">
        <f>(365/4)/(IS!AR9/BS!AR12)</f>
        <v>48.975988700564976</v>
      </c>
      <c r="AS71" s="124">
        <f>(365/4)/(IS!AS9/BS!AS12)</f>
        <v>57.479851708575119</v>
      </c>
      <c r="AT71" s="124">
        <f>(365/4)/(IS!AT9/BS!AT12)</f>
        <v>51.074561403508774</v>
      </c>
      <c r="AU71" s="125">
        <f>365/(IS!AU9/BS!AU12)</f>
        <v>65.14560502720515</v>
      </c>
      <c r="AV71" s="124"/>
      <c r="AW71" s="322">
        <f>(365/4)/(IS!AW9/BS!AW12)</f>
        <v>64.028361344537814</v>
      </c>
      <c r="AX71" s="124">
        <f>(365/4)/(IS!AX9/BS!AX12)</f>
        <v>62.251059322033882</v>
      </c>
      <c r="AY71" s="124">
        <f>(365/4)/(IS!AY9/BS!AY12)</f>
        <v>59.124940248565977</v>
      </c>
      <c r="AZ71" s="124">
        <f>(365/4)/(IS!AZ9/BS!AZ12)</f>
        <v>54.31593348768682</v>
      </c>
      <c r="BA71" s="125">
        <f>365/(IS!BA9/BS!BA12)</f>
        <v>62.494399709390336</v>
      </c>
      <c r="BB71" s="124"/>
      <c r="BC71" s="322">
        <f>(365/4)/(IS!BC9/BS!BC12)</f>
        <v>58.898545364891518</v>
      </c>
      <c r="BD71" s="124">
        <f>(365/4)/(IS!BD9/BS!BD12)</f>
        <v>53.964820537199898</v>
      </c>
      <c r="BE71" s="124">
        <f>(365/4)/(IS!BE9/BS!BE12)</f>
        <v>53.959356855739173</v>
      </c>
      <c r="BF71" s="124">
        <f>(365/4)/(IS!BF9/BS!BF12)</f>
        <v>51.031558090083124</v>
      </c>
      <c r="BG71" s="125">
        <f>365/(IS!BG9/BS!BG12)</f>
        <v>58.945238361058394</v>
      </c>
      <c r="BH71" s="124"/>
      <c r="BI71" s="322">
        <f>(365/4)/(IS!BI9/BS!BI12)</f>
        <v>63.415734621250628</v>
      </c>
      <c r="BJ71" s="124">
        <f>(365/4)/(IS!BJ9/BS!BJ12)</f>
        <v>60.27835788085293</v>
      </c>
      <c r="BK71" s="124">
        <f>(365/4)/(IS!BK9/BS!BK12)</f>
        <v>61.879555808656036</v>
      </c>
      <c r="BL71" s="124">
        <f>(365/4)/(IS!BL9/BS!BL12)</f>
        <v>50.839521825756208</v>
      </c>
      <c r="BM71" s="125">
        <f>365/(IS!BM9/BS!BM12)</f>
        <v>61.038382081113404</v>
      </c>
      <c r="BN71" s="124"/>
      <c r="BO71" s="322">
        <f>(365/4)/(IS!BO9/BS!BO12)</f>
        <v>63.532570214774601</v>
      </c>
      <c r="BP71" s="124">
        <f>(365/4)/(IS!BP9/BS!BP12)</f>
        <v>55.779405334499351</v>
      </c>
      <c r="BQ71" s="124">
        <f>(365/4)/(IS!BQ9/BS!BQ12)</f>
        <v>58.449559313959021</v>
      </c>
      <c r="BR71" s="124">
        <f>(365/4)/(IS!BR9/BS!BR12)</f>
        <v>52.666338582677156</v>
      </c>
      <c r="BS71" s="125">
        <f>365/(IS!BS9/BS!BS12)</f>
        <v>59.161921609818116</v>
      </c>
      <c r="BT71" s="124"/>
      <c r="BU71" s="322">
        <f>(365/4)/(IS!BU9/BS!BU12)</f>
        <v>58.751060820367748</v>
      </c>
      <c r="BV71" s="124">
        <f>(365/4)/(IS!BV9/BS!BV12)</f>
        <v>55.372159090909093</v>
      </c>
      <c r="BW71" s="124">
        <f>(365/4)/(IS!BW9/BS!BW12)</f>
        <v>55.818921989396614</v>
      </c>
      <c r="BX71" s="124">
        <f>(365/4)/(IS!BX9/BS!BX12)</f>
        <v>44.785393140945224</v>
      </c>
      <c r="BY71" s="125">
        <f>365/(IS!BY9/BS!BY12)</f>
        <v>52.756189185860329</v>
      </c>
      <c r="BZ71" s="124"/>
      <c r="CA71" s="322">
        <f>(365/4)/(IS!CA9/BS!CA12)</f>
        <v>56.733484283431004</v>
      </c>
      <c r="CB71" s="124">
        <f>(365/4)/(IS!CB9/BS!CB12)</f>
        <v>50.792641915523269</v>
      </c>
      <c r="CC71" s="124">
        <f>(365/4)/(IS!CC9/BS!CC12)</f>
        <v>51.798679867986799</v>
      </c>
      <c r="CD71" s="124">
        <f>(365/4)/(IS!CD9/BS!CD12)</f>
        <v>47.322719540718694</v>
      </c>
      <c r="CE71" s="125">
        <f>365/(IS!CE9/BS!CE12)</f>
        <v>55.249487991063113</v>
      </c>
      <c r="CF71" s="124"/>
      <c r="CG71" s="322">
        <f>(365/4)/(IS!CG9/BS!CG12)</f>
        <v>53.436606910885949</v>
      </c>
      <c r="CH71" s="124">
        <f>(365/4)/(IS!CH9/BS!CH12)</f>
        <v>52.871776331646188</v>
      </c>
      <c r="CI71" s="124">
        <f>(365/4)/(IS!CI9/BS!CI12)</f>
        <v>56.518021120293859</v>
      </c>
      <c r="CJ71" s="124">
        <f>(365/4)/(IS!CJ9/BS!CJ12)</f>
        <v>54.922007540056534</v>
      </c>
      <c r="CK71" s="125">
        <f>365/(IS!CK9/BS!CK12)</f>
        <v>65.997225210940599</v>
      </c>
      <c r="CL71" s="124"/>
      <c r="CM71" s="2004">
        <f>CG71+3.5</f>
        <v>56.936606910885949</v>
      </c>
      <c r="CN71" s="1975">
        <f t="shared" ref="CN71:CP72" si="21">CH71+3.5</f>
        <v>56.371776331646188</v>
      </c>
      <c r="CO71" s="1975">
        <f t="shared" si="21"/>
        <v>60.018021120293859</v>
      </c>
      <c r="CP71" s="1975">
        <f t="shared" si="21"/>
        <v>58.422007540056534</v>
      </c>
      <c r="CQ71" s="125">
        <f>365/(IS!CQ9/BS!CQ12)</f>
        <v>69.826372363341108</v>
      </c>
      <c r="CR71" s="124"/>
      <c r="CS71" s="2004">
        <f>CM71-1</f>
        <v>55.936606910885949</v>
      </c>
      <c r="CT71" s="1975">
        <f t="shared" ref="CT71:CV72" si="22">CN71-1</f>
        <v>55.371776331646188</v>
      </c>
      <c r="CU71" s="1975">
        <f t="shared" si="22"/>
        <v>59.018021120293859</v>
      </c>
      <c r="CV71" s="1975">
        <f t="shared" si="22"/>
        <v>57.422007540056534</v>
      </c>
      <c r="CW71" s="125">
        <f>365/(IS!CW9/BS!CW12)</f>
        <v>69.855976281834586</v>
      </c>
      <c r="CY71" s="2004">
        <f>CS71+3.5</f>
        <v>59.436606910885949</v>
      </c>
      <c r="CZ71" s="1975">
        <f t="shared" ref="CZ71:CZ72" si="23">CT71+3.5</f>
        <v>58.871776331646188</v>
      </c>
      <c r="DA71" s="1975">
        <f t="shared" ref="DA71:DA72" si="24">CU71+3.5</f>
        <v>62.518021120293859</v>
      </c>
      <c r="DB71" s="1975">
        <f t="shared" ref="DB71:DB72" si="25">CV71+3.5</f>
        <v>60.922007540056534</v>
      </c>
      <c r="DC71" s="125">
        <f>365/(IS!DC9/BS!DC12)</f>
        <v>73.869353418094647</v>
      </c>
      <c r="DE71" s="2004">
        <f>CY71+2</f>
        <v>61.436606910885949</v>
      </c>
      <c r="DF71" s="1975">
        <f t="shared" ref="DF71:DH72" si="26">CZ71+2</f>
        <v>60.871776331646188</v>
      </c>
      <c r="DG71" s="1975">
        <f t="shared" si="26"/>
        <v>64.518021120293866</v>
      </c>
      <c r="DH71" s="1975">
        <f t="shared" si="26"/>
        <v>62.922007540056534</v>
      </c>
      <c r="DI71" s="125">
        <f>365/(IS!DI9/BS!DI12)</f>
        <v>76.661430865159574</v>
      </c>
    </row>
    <row r="72" spans="1:113" ht="11.25" customHeight="1">
      <c r="A72" s="123" t="s">
        <v>115</v>
      </c>
      <c r="B72" s="124"/>
      <c r="C72" s="125">
        <f>365/(IS!C12/BS!C13)</f>
        <v>316.04771477226518</v>
      </c>
      <c r="D72" s="124"/>
      <c r="E72" s="125">
        <f>365/(IS!E12/BS!E13)</f>
        <v>293.7039028401544</v>
      </c>
      <c r="F72" s="124"/>
      <c r="G72" s="125">
        <f>365/(IS!G12/BS!G13)</f>
        <v>365.2153876415544</v>
      </c>
      <c r="H72" s="124"/>
      <c r="I72" s="125">
        <f>365/(IS!I12/BS!I13)</f>
        <v>398.01814719647604</v>
      </c>
      <c r="J72" s="124"/>
      <c r="K72" s="125">
        <f>365/(IS!K12/BS!K13)</f>
        <v>314.23955497692032</v>
      </c>
      <c r="L72" s="124"/>
      <c r="M72" s="125">
        <f>365/(IS!M12/BS!M13)</f>
        <v>262.02857142857141</v>
      </c>
      <c r="N72" s="124"/>
      <c r="O72" s="125">
        <f>365/(IS!O12/BS!O13)</f>
        <v>237.00144630589369</v>
      </c>
      <c r="P72" s="124"/>
      <c r="Q72" s="125">
        <f>365/(IS!Q12/BS!Q13)</f>
        <v>208.18947128576553</v>
      </c>
      <c r="R72" s="124"/>
      <c r="S72" s="323">
        <f>(365/4)/(IS!S12/BS!S13)</f>
        <v>181.37321428571428</v>
      </c>
      <c r="T72" s="124">
        <f>(365/4)/(IS!T12/BS!T13)</f>
        <v>173.50953741245854</v>
      </c>
      <c r="U72" s="124">
        <f>(365/4)/(IS!U12/BS!U13)</f>
        <v>207.33576004907394</v>
      </c>
      <c r="V72" s="124">
        <f>(365/4)/(IS!V12/BS!V13)</f>
        <v>169.39933474114255</v>
      </c>
      <c r="W72" s="125">
        <f>365/(IS!W12/BS!W13)</f>
        <v>207.58545454545452</v>
      </c>
      <c r="X72" s="124"/>
      <c r="Y72" s="323">
        <f>(365/4)/(IS!Y12/BS!Y13)</f>
        <v>127.29192480617412</v>
      </c>
      <c r="Z72" s="124">
        <f>(365/4)/(IS!Z12/BS!Z13)</f>
        <v>111.99346045207945</v>
      </c>
      <c r="AA72" s="124">
        <f>(365/4)/(IS!AA12/BS!AA13)</f>
        <v>128.68253069222055</v>
      </c>
      <c r="AB72" s="124">
        <f>(365/4)/(IS!AB12/BS!AB13)</f>
        <v>233.12139092214983</v>
      </c>
      <c r="AC72" s="125">
        <f>365/(IS!AC12/BS!AC13)</f>
        <v>292.62931034482756</v>
      </c>
      <c r="AD72" s="124"/>
      <c r="AE72" s="323">
        <f>(365/4)/(IS!AE12/BS!AE13)</f>
        <v>375.5689963797264</v>
      </c>
      <c r="AF72" s="124">
        <f>(365/4)/(IS!AF12/BS!AF13)</f>
        <v>244.55551814183616</v>
      </c>
      <c r="AG72" s="124">
        <f>(365/4)/(IS!AG12/BS!AG13)</f>
        <v>318.20059160305345</v>
      </c>
      <c r="AH72" s="124">
        <f>(365/4)/(IS!AH12/BS!AH13)</f>
        <v>235.23574893875076</v>
      </c>
      <c r="AI72" s="125">
        <f>365/(IS!AI12/BS!AI13)</f>
        <v>257.70054808171403</v>
      </c>
      <c r="AJ72" s="124"/>
      <c r="AK72" s="323">
        <f>(365/4)/(IS!AK12/BS!AK13)</f>
        <v>300.16823161189353</v>
      </c>
      <c r="AL72" s="124">
        <f>(365/4)/(IS!AL12/BS!AL13)</f>
        <v>281.82236376503892</v>
      </c>
      <c r="AM72" s="124">
        <f>(365/4)/(IS!AM12/BS!AM13)</f>
        <v>277.44002741603839</v>
      </c>
      <c r="AN72" s="124">
        <f>(365/4)/(IS!AN12/BS!AN13)</f>
        <v>205.6529850746268</v>
      </c>
      <c r="AO72" s="125">
        <f>365/(IS!AO12/BS!AO13)</f>
        <v>256.09359442416189</v>
      </c>
      <c r="AP72" s="124"/>
      <c r="AQ72" s="323">
        <f>(365/4)/(IS!AQ12/BS!AQ13)</f>
        <v>260.23148148148147</v>
      </c>
      <c r="AR72" s="124">
        <f>(365/4)/(IS!AR12/BS!AR13)</f>
        <v>235.04626820388347</v>
      </c>
      <c r="AS72" s="124">
        <f>(365/4)/(IS!AS12/BS!AS13)</f>
        <v>281.36378002528448</v>
      </c>
      <c r="AT72" s="124">
        <f>(365/4)/(IS!AT12/BS!AT13)</f>
        <v>218.81159080244009</v>
      </c>
      <c r="AU72" s="125">
        <f>365/(IS!AU12/BS!AU13)</f>
        <v>271.3734904699549</v>
      </c>
      <c r="AV72" s="124"/>
      <c r="AW72" s="323">
        <f>(365/4)/(IS!AW12/BS!AW13)</f>
        <v>278.17866666666669</v>
      </c>
      <c r="AX72" s="124">
        <f>(365/4)/(IS!AX12/BS!AX13)</f>
        <v>270.38493773946368</v>
      </c>
      <c r="AY72" s="124">
        <f>(365/4)/(IS!AY12/BS!AY13)</f>
        <v>245.75794894760409</v>
      </c>
      <c r="AZ72" s="124">
        <f>(365/4)/(IS!AZ12/BS!AZ13)</f>
        <v>206.91951987406529</v>
      </c>
      <c r="BA72" s="125">
        <f>365/(IS!BA12/BS!BA13)</f>
        <v>240.71534851779788</v>
      </c>
      <c r="BB72" s="124"/>
      <c r="BC72" s="323">
        <f>(365/4)/(IS!BC12/BS!BC13)</f>
        <v>281.30352045670782</v>
      </c>
      <c r="BD72" s="124">
        <f>(365/4)/(IS!BD12/BS!BD13)</f>
        <v>250.34221583370186</v>
      </c>
      <c r="BE72" s="124">
        <f>(365/4)/(IS!BE12/BS!BE13)</f>
        <v>249.53759723422641</v>
      </c>
      <c r="BF72" s="124">
        <f>(365/4)/(IS!BF12/BS!BF13)</f>
        <v>206.35863535502961</v>
      </c>
      <c r="BG72" s="125">
        <f>365/(IS!BG12/BS!BG13)</f>
        <v>237.92506129410509</v>
      </c>
      <c r="BH72" s="124"/>
      <c r="BI72" s="323">
        <f>(365/4)/(IS!BI12/BS!BI13)</f>
        <v>265.21797568957459</v>
      </c>
      <c r="BJ72" s="124">
        <f>(365/4)/(IS!BJ12/BS!BJ13)</f>
        <v>221.07185990338161</v>
      </c>
      <c r="BK72" s="124">
        <f>(365/4)/(IS!BK12/BS!BK13)</f>
        <v>239.49335548172755</v>
      </c>
      <c r="BL72" s="124">
        <f>(365/4)/(IS!BL12/BS!BL13)</f>
        <v>177.15355497037521</v>
      </c>
      <c r="BM72" s="125">
        <f>365/(IS!BM12/BS!BM13)</f>
        <v>213.80176780216502</v>
      </c>
      <c r="BN72" s="124"/>
      <c r="BO72" s="323">
        <f>(365/4)/(IS!BO12/BS!BO13)</f>
        <v>239.41067653276954</v>
      </c>
      <c r="BP72" s="124">
        <f>(365/4)/(IS!BP12/BS!BP13)</f>
        <v>227.41907573289902</v>
      </c>
      <c r="BQ72" s="124">
        <f>(365/4)/(IS!BQ12/BS!BQ13)</f>
        <v>220.7447716602646</v>
      </c>
      <c r="BR72" s="124">
        <f>(365/4)/(IS!BR12/BS!BR13)</f>
        <v>152.95909410112361</v>
      </c>
      <c r="BS72" s="125">
        <f>365/(IS!BS12/BS!BS13)</f>
        <v>174.04214942069515</v>
      </c>
      <c r="BT72" s="124"/>
      <c r="BU72" s="323">
        <f>(365/4)/(IS!BU12/BS!BU13)</f>
        <v>231.99235515021456</v>
      </c>
      <c r="BV72" s="124">
        <f>(365/4)/(IS!BV12/BS!BV13)</f>
        <v>203.92865349264704</v>
      </c>
      <c r="BW72" s="124">
        <f>(365/4)/(IS!BW12/BS!BW13)</f>
        <v>204.52143861293345</v>
      </c>
      <c r="BX72" s="124">
        <f>(365/4)/(IS!BX12/BS!BX13)</f>
        <v>150.77329678935007</v>
      </c>
      <c r="BY72" s="125">
        <f>365/(IS!BY12/BS!BY13)</f>
        <v>176.47800183318057</v>
      </c>
      <c r="BZ72" s="124"/>
      <c r="CA72" s="323">
        <f>(365/4)/(IS!CA12/BS!CA13)</f>
        <v>209.92062500000003</v>
      </c>
      <c r="CB72" s="124">
        <f>(365/4)/(IS!CB12/BS!CB13)</f>
        <v>220.63013347022587</v>
      </c>
      <c r="CC72" s="124">
        <f>(365/4)/(IS!CC12/BS!CC13)</f>
        <v>218.99093392945852</v>
      </c>
      <c r="CD72" s="124">
        <f>(365/4)/(IS!CD12/BS!CD13)</f>
        <v>166.88745847176077</v>
      </c>
      <c r="CE72" s="125">
        <f>365/(IS!CE12/BS!CE13)</f>
        <v>192.07312701636991</v>
      </c>
      <c r="CF72" s="124"/>
      <c r="CG72" s="323">
        <f>(365/4)/(IS!CG12/BS!CG13)</f>
        <v>215.7394540942928</v>
      </c>
      <c r="CH72" s="124">
        <f>(365/4)/(IS!CH12/BS!CH13)</f>
        <v>207.98905685920579</v>
      </c>
      <c r="CI72" s="124">
        <f>(365/4)/(IS!CI12/BS!CI13)</f>
        <v>206.05225679228744</v>
      </c>
      <c r="CJ72" s="124">
        <f>(365/4)/(IS!CJ12/BS!CJ13)</f>
        <v>167.10263653483992</v>
      </c>
      <c r="CK72" s="125">
        <f>365/(IS!CK12/BS!CK13)</f>
        <v>193.56784467713788</v>
      </c>
      <c r="CL72" s="124"/>
      <c r="CM72" s="2005">
        <f>CG72+3.5</f>
        <v>219.2394540942928</v>
      </c>
      <c r="CN72" s="1975">
        <f t="shared" si="21"/>
        <v>211.48905685920579</v>
      </c>
      <c r="CO72" s="1975">
        <f t="shared" si="21"/>
        <v>209.55225679228744</v>
      </c>
      <c r="CP72" s="1975">
        <f t="shared" si="21"/>
        <v>170.60263653483992</v>
      </c>
      <c r="CQ72" s="125">
        <f>365/(IS!CQ12/BS!CQ13)</f>
        <v>184.61641981751421</v>
      </c>
      <c r="CR72" s="124"/>
      <c r="CS72" s="2005">
        <f>CM72-1</f>
        <v>218.2394540942928</v>
      </c>
      <c r="CT72" s="1975">
        <f t="shared" si="22"/>
        <v>210.48905685920579</v>
      </c>
      <c r="CU72" s="1975">
        <f t="shared" si="22"/>
        <v>208.55225679228744</v>
      </c>
      <c r="CV72" s="1975">
        <f t="shared" si="22"/>
        <v>169.60263653483992</v>
      </c>
      <c r="CW72" s="125">
        <f>365/(IS!CW12/BS!CW13)</f>
        <v>206.32782207848817</v>
      </c>
      <c r="CY72" s="2005">
        <f>CS72+3.5</f>
        <v>221.7394540942928</v>
      </c>
      <c r="CZ72" s="1975">
        <f t="shared" si="23"/>
        <v>213.98905685920579</v>
      </c>
      <c r="DA72" s="1975">
        <f t="shared" si="24"/>
        <v>212.05225679228744</v>
      </c>
      <c r="DB72" s="1975">
        <f t="shared" si="25"/>
        <v>173.10263653483992</v>
      </c>
      <c r="DC72" s="125">
        <f>365/(IS!DC12/BS!DC13)</f>
        <v>209.89097950175994</v>
      </c>
      <c r="DE72" s="2005">
        <f>CY72+2</f>
        <v>223.7394540942928</v>
      </c>
      <c r="DF72" s="1975">
        <f t="shared" si="26"/>
        <v>215.98905685920579</v>
      </c>
      <c r="DG72" s="1975">
        <f t="shared" si="26"/>
        <v>214.05225679228744</v>
      </c>
      <c r="DH72" s="1975">
        <f t="shared" si="26"/>
        <v>175.10263653483992</v>
      </c>
      <c r="DI72" s="125">
        <f>365/(IS!DI12/BS!DI13)</f>
        <v>213.33741865240449</v>
      </c>
    </row>
    <row r="73" spans="1:113" ht="11.25" customHeight="1">
      <c r="A73" s="123" t="s">
        <v>116</v>
      </c>
      <c r="B73" s="124"/>
      <c r="C73" s="125">
        <f>365/(IS!C12/BS!C24)</f>
        <v>60.390244509963402</v>
      </c>
      <c r="D73" s="124"/>
      <c r="E73" s="125">
        <f>365/(IS!E12/BS!E24)</f>
        <v>76.89496489341515</v>
      </c>
      <c r="F73" s="124"/>
      <c r="G73" s="125">
        <f>365/(IS!G12/BS!G24)</f>
        <v>77.96006968836933</v>
      </c>
      <c r="H73" s="124"/>
      <c r="I73" s="125">
        <f>365/(IS!I12/BS!I24)</f>
        <v>82.666789024502151</v>
      </c>
      <c r="J73" s="124"/>
      <c r="K73" s="125">
        <f>365/(IS!K12/BS!K24)</f>
        <v>63.739073094026345</v>
      </c>
      <c r="L73" s="124"/>
      <c r="M73" s="125">
        <f>365/(IS!M12/BS!M24)</f>
        <v>44.523809523809518</v>
      </c>
      <c r="N73" s="124"/>
      <c r="O73" s="125">
        <f>365/(IS!O12/BS!O24)</f>
        <v>49.825117512353863</v>
      </c>
      <c r="P73" s="124"/>
      <c r="Q73" s="125">
        <f>365/(IS!Q12/BS!Q24)</f>
        <v>30.45471072457023</v>
      </c>
      <c r="R73" s="124"/>
      <c r="S73" s="323">
        <f>(365/4)/(IS!S12/BS!S24)</f>
        <v>28.796428571428571</v>
      </c>
      <c r="T73" s="124">
        <f>(365/4)/(IS!T12/BS!T24)</f>
        <v>20.752395871728712</v>
      </c>
      <c r="U73" s="124">
        <f>(365/4)/(IS!U12/BS!U24)</f>
        <v>32.826179562765176</v>
      </c>
      <c r="V73" s="124">
        <f>(365/4)/(IS!V12/BS!V24)</f>
        <v>29.095517093840151</v>
      </c>
      <c r="W73" s="125">
        <f>365/(IS!W12/BS!W24)</f>
        <v>35.654249471458776</v>
      </c>
      <c r="X73" s="124"/>
      <c r="Y73" s="323">
        <f>(365/4)/(IS!Y12/BS!Y24)</f>
        <v>21.29661999504372</v>
      </c>
      <c r="Z73" s="124">
        <f>(365/4)/(IS!Z12/BS!Z24)</f>
        <v>18.191727408670275</v>
      </c>
      <c r="AA73" s="124">
        <f>(365/4)/(IS!AA12/BS!AA24)</f>
        <v>21.722266019655265</v>
      </c>
      <c r="AB73" s="124">
        <f>(365/4)/(IS!AB12/BS!AB24)</f>
        <v>27.312385181963339</v>
      </c>
      <c r="AC73" s="125">
        <f>365/(IS!AC12/BS!AC24)</f>
        <v>34.284303160919535</v>
      </c>
      <c r="AD73" s="124"/>
      <c r="AE73" s="323">
        <f>(365/4)/(IS!AE12/BS!AE24)</f>
        <v>43.466713596138369</v>
      </c>
      <c r="AF73" s="124">
        <f>(365/4)/(IS!AF12/BS!AF24)</f>
        <v>27.233534909290817</v>
      </c>
      <c r="AG73" s="124">
        <f>(365/4)/(IS!AG12/BS!AG24)</f>
        <v>32.409770992366411</v>
      </c>
      <c r="AH73" s="124">
        <f>(365/4)/(IS!AH12/BS!AH24)</f>
        <v>23.960733778047299</v>
      </c>
      <c r="AI73" s="125">
        <f>365/(IS!AI12/BS!AI24)</f>
        <v>26.248961966450754</v>
      </c>
      <c r="AJ73" s="124"/>
      <c r="AK73" s="323">
        <f>(365/4)/(IS!AK12/BS!AK24)</f>
        <v>33.91529733959311</v>
      </c>
      <c r="AL73" s="124">
        <f>(365/4)/(IS!AL12/BS!AL24)</f>
        <v>26.348195329087044</v>
      </c>
      <c r="AM73" s="124">
        <f>(365/4)/(IS!AM12/BS!AM24)</f>
        <v>28.456991089787525</v>
      </c>
      <c r="AN73" s="124">
        <f>(365/4)/(IS!AN12/BS!AN24)</f>
        <v>24.223081023454146</v>
      </c>
      <c r="AO73" s="125">
        <f>365/(IS!AO12/BS!AO24)</f>
        <v>30.164288084965143</v>
      </c>
      <c r="AP73" s="124"/>
      <c r="AQ73" s="323">
        <f>(365/4)/(IS!AQ12/BS!AQ24)</f>
        <v>32.408234126984134</v>
      </c>
      <c r="AR73" s="124">
        <f>(365/4)/(IS!AR12/BS!AR24)</f>
        <v>29.678398058252426</v>
      </c>
      <c r="AS73" s="124">
        <f>(365/4)/(IS!AS12/BS!AS24)</f>
        <v>34.665771175726931</v>
      </c>
      <c r="AT73" s="124">
        <f>(365/4)/(IS!AT12/BS!AT24)</f>
        <v>27.404974190520875</v>
      </c>
      <c r="AU73" s="125">
        <f>365/(IS!AU12/BS!AU24)</f>
        <v>33.98806925651099</v>
      </c>
      <c r="AV73" s="124"/>
      <c r="AW73" s="323">
        <f>(365/4)/(IS!AW12/BS!AW24)</f>
        <v>39.42</v>
      </c>
      <c r="AX73" s="124">
        <f>(365/4)/(IS!AX12/BS!AX24)</f>
        <v>35.835727969348667</v>
      </c>
      <c r="AY73" s="124">
        <f>(365/4)/(IS!AY12/BS!AY24)</f>
        <v>31.26119570085087</v>
      </c>
      <c r="AZ73" s="124">
        <f>(365/4)/(IS!AZ12/BS!AZ24)</f>
        <v>25.963695395513568</v>
      </c>
      <c r="BA73" s="125">
        <f>365/(IS!BA12/BS!BA24)</f>
        <v>30.204303536683067</v>
      </c>
      <c r="BB73" s="124"/>
      <c r="BC73" s="323">
        <f>(365/4)/(IS!BC12/BS!BC24)</f>
        <v>37.767602283539482</v>
      </c>
      <c r="BD73" s="124">
        <f>(365/4)/(IS!BD12/BS!BD24)</f>
        <v>31.237284387439185</v>
      </c>
      <c r="BE73" s="124">
        <f>(365/4)/(IS!BE12/BS!BE24)</f>
        <v>30.758426966292134</v>
      </c>
      <c r="BF73" s="124">
        <f>(365/4)/(IS!BF12/BS!BF24)</f>
        <v>23.48742603550296</v>
      </c>
      <c r="BG73" s="125">
        <f>365/(IS!BG12/BS!BG24)</f>
        <v>27.080268628078027</v>
      </c>
      <c r="BH73" s="124"/>
      <c r="BI73" s="323">
        <f>(365/4)/(IS!BI12/BS!BI24)</f>
        <v>32.336372136512388</v>
      </c>
      <c r="BJ73" s="124">
        <f>(365/4)/(IS!BJ12/BS!BJ24)</f>
        <v>25.530897745571654</v>
      </c>
      <c r="BK73" s="124">
        <f>(365/4)/(IS!BK12/BS!BK24)</f>
        <v>31.414555647840533</v>
      </c>
      <c r="BL73" s="124">
        <f>(365/4)/(IS!BL12/BS!BL24)</f>
        <v>22.467083607636603</v>
      </c>
      <c r="BM73" s="125">
        <f>365/(IS!BM12/BS!BM24)</f>
        <v>27.114907140728967</v>
      </c>
      <c r="BN73" s="124"/>
      <c r="BO73" s="323">
        <f>(365/4)/(IS!BO12/BS!BO24)</f>
        <v>44.911205073995774</v>
      </c>
      <c r="BP73" s="124">
        <f>(365/4)/(IS!BP12/BS!BP24)</f>
        <v>37.971294788273617</v>
      </c>
      <c r="BQ73" s="124">
        <f>(365/4)/(IS!BQ12/BS!BQ24)</f>
        <v>38.361609048228765</v>
      </c>
      <c r="BR73" s="124">
        <f>(365/4)/(IS!BR12/BS!BR24)</f>
        <v>24.350421348314612</v>
      </c>
      <c r="BS73" s="125">
        <f>365/(IS!BS12/BS!BS24)</f>
        <v>27.706751897722732</v>
      </c>
      <c r="BT73" s="124"/>
      <c r="BU73" s="323">
        <f>(365/4)/(IS!BU12/BS!BU24)</f>
        <v>42.638814377682401</v>
      </c>
      <c r="BV73" s="124">
        <f>(365/4)/(IS!BV12/BS!BV24)</f>
        <v>35.392922794117645</v>
      </c>
      <c r="BW73" s="124">
        <f>(365/4)/(IS!BW12/BS!BW24)</f>
        <v>37.372305529522023</v>
      </c>
      <c r="BX73" s="124">
        <f>(365/4)/(IS!BX12/BS!BX24)</f>
        <v>25.760082223962417</v>
      </c>
      <c r="BY73" s="125">
        <f>365/(IS!BY12/BS!BY24)</f>
        <v>30.151810265811182</v>
      </c>
      <c r="BZ73" s="124"/>
      <c r="CA73" s="323">
        <f>(365/4)/(IS!CA12/BS!CA24)</f>
        <v>43.389374999999994</v>
      </c>
      <c r="CB73" s="124">
        <f>(365/4)/(IS!CB12/BS!CB24)</f>
        <v>41.221765913757693</v>
      </c>
      <c r="CC73" s="124">
        <f>(365/4)/(IS!CC12/BS!CC24)</f>
        <v>42.293219076005961</v>
      </c>
      <c r="CD73" s="124">
        <f>(365/4)/(IS!CD12/BS!CD24)</f>
        <v>32.627180232558132</v>
      </c>
      <c r="CE73" s="125">
        <f>365/(IS!CE12/BS!CE24)</f>
        <v>37.551081371728991</v>
      </c>
      <c r="CF73" s="124"/>
      <c r="CG73" s="323">
        <f>(365/4)/(IS!CG12/BS!CG24)</f>
        <v>42.885235732009932</v>
      </c>
      <c r="CH73" s="124">
        <f>(365/4)/(IS!CH12/BS!CH24)</f>
        <v>37.760040613718409</v>
      </c>
      <c r="CI73" s="124">
        <f>(365/4)/(IS!CI12/BS!CI24)</f>
        <v>37.907537248028049</v>
      </c>
      <c r="CJ73" s="124">
        <f>(365/4)/(IS!CJ12/BS!CJ24)</f>
        <v>31.207156308851221</v>
      </c>
      <c r="CK73" s="125">
        <f>365/(IS!CK12/BS!CK24)</f>
        <v>36.149650959860388</v>
      </c>
      <c r="CL73" s="124"/>
      <c r="CM73" s="2005">
        <f>CG73-3.5</f>
        <v>39.385235732009932</v>
      </c>
      <c r="CN73" s="1975">
        <f t="shared" ref="CN73:CP73" si="27">CH73-3.5</f>
        <v>34.260040613718409</v>
      </c>
      <c r="CO73" s="1975">
        <f t="shared" si="27"/>
        <v>34.407537248028049</v>
      </c>
      <c r="CP73" s="1975">
        <f t="shared" si="27"/>
        <v>27.707156308851221</v>
      </c>
      <c r="CQ73" s="125">
        <f>365/(IS!CQ12/BS!CQ24)</f>
        <v>29.983100525059918</v>
      </c>
      <c r="CR73" s="124"/>
      <c r="CS73" s="2005">
        <f>CM73+1</f>
        <v>40.385235732009932</v>
      </c>
      <c r="CT73" s="1975">
        <f t="shared" ref="CT73:CV73" si="28">CN73+1</f>
        <v>35.260040613718409</v>
      </c>
      <c r="CU73" s="1975">
        <f t="shared" si="28"/>
        <v>35.407537248028049</v>
      </c>
      <c r="CV73" s="1975">
        <f t="shared" si="28"/>
        <v>28.707156308851221</v>
      </c>
      <c r="CW73" s="125">
        <f>365/(IS!CW12/BS!CW24)</f>
        <v>34.923307563413253</v>
      </c>
      <c r="CY73" s="2005">
        <f>CS73-3.5</f>
        <v>36.885235732009932</v>
      </c>
      <c r="CZ73" s="1975">
        <f t="shared" ref="CZ73" si="29">CT73-3.5</f>
        <v>31.760040613718409</v>
      </c>
      <c r="DA73" s="1975">
        <f t="shared" ref="DA73" si="30">CU73-3.5</f>
        <v>31.907537248028049</v>
      </c>
      <c r="DB73" s="1975">
        <f t="shared" ref="DB73" si="31">CV73-3.5</f>
        <v>25.207156308851221</v>
      </c>
      <c r="DC73" s="125">
        <f>365/(IS!DC12/BS!DC24)</f>
        <v>30.564264265575723</v>
      </c>
      <c r="DE73" s="2005">
        <f>CY73-2</f>
        <v>34.885235732009932</v>
      </c>
      <c r="DF73" s="1975">
        <f t="shared" ref="DF73:DH73" si="32">CZ73-2</f>
        <v>29.760040613718409</v>
      </c>
      <c r="DG73" s="1975">
        <f t="shared" si="32"/>
        <v>29.907537248028049</v>
      </c>
      <c r="DH73" s="1975">
        <f t="shared" si="32"/>
        <v>23.207156308851221</v>
      </c>
      <c r="DI73" s="125">
        <f>365/(IS!DI12/BS!DI24)</f>
        <v>28.274587517179388</v>
      </c>
    </row>
    <row r="74" spans="1:113" ht="11.25" customHeight="1">
      <c r="A74" s="127" t="s">
        <v>117</v>
      </c>
      <c r="B74" s="128"/>
      <c r="C74" s="129">
        <f>C71+C72-C73</f>
        <v>339.92149115930943</v>
      </c>
      <c r="D74" s="128"/>
      <c r="E74" s="129">
        <f>E71+E72-E73</f>
        <v>285.66749413780434</v>
      </c>
      <c r="F74" s="128"/>
      <c r="G74" s="129">
        <f>G71+G72-G73</f>
        <v>342.65191334233941</v>
      </c>
      <c r="H74" s="128"/>
      <c r="I74" s="129">
        <f>I71+I72-I73</f>
        <v>379.15577284006463</v>
      </c>
      <c r="J74" s="128"/>
      <c r="K74" s="129">
        <f>K71+K72-K73</f>
        <v>329.8729043647437</v>
      </c>
      <c r="L74" s="128"/>
      <c r="M74" s="129">
        <f>M71+M72-M73</f>
        <v>287.70046236394734</v>
      </c>
      <c r="N74" s="128"/>
      <c r="O74" s="129">
        <f>O71+O72-O73</f>
        <v>261.34262042270274</v>
      </c>
      <c r="P74" s="128"/>
      <c r="Q74" s="129">
        <f>Q71+Q72-Q73</f>
        <v>244.32453955558893</v>
      </c>
      <c r="R74" s="128"/>
      <c r="S74" s="324">
        <f>S71+S72-S73</f>
        <v>206.04292122495451</v>
      </c>
      <c r="T74" s="128">
        <f>T71+T72-T73</f>
        <v>208.79593666030232</v>
      </c>
      <c r="U74" s="128">
        <f>U71+U72-U73</f>
        <v>237.08200348621341</v>
      </c>
      <c r="V74" s="128">
        <f>V71+V72-V73</f>
        <v>193.86226926020561</v>
      </c>
      <c r="W74" s="129">
        <f>W71+W72-W73</f>
        <v>238.59755051744438</v>
      </c>
      <c r="X74" s="128"/>
      <c r="Y74" s="324">
        <f>Y71+Y72-Y73</f>
        <v>139.01987645171323</v>
      </c>
      <c r="Z74" s="128">
        <f>Z71+Z72-Z73</f>
        <v>121.43263212959626</v>
      </c>
      <c r="AA74" s="128">
        <f>AA71+AA72-AA73</f>
        <v>139.35975176720461</v>
      </c>
      <c r="AB74" s="128">
        <f>AB71+AB72-AB73</f>
        <v>254.82687893966903</v>
      </c>
      <c r="AC74" s="129">
        <f>AC71+AC72-AC73</f>
        <v>323.82156665698045</v>
      </c>
      <c r="AD74" s="128"/>
      <c r="AE74" s="324">
        <f>AE71+AE72-AE73</f>
        <v>395.31521291367613</v>
      </c>
      <c r="AF74" s="128">
        <f>AF71+AF72-AF73</f>
        <v>265.43285000622109</v>
      </c>
      <c r="AG74" s="128">
        <f>AG71+AG72-AG73</f>
        <v>344.61446786388819</v>
      </c>
      <c r="AH74" s="128">
        <f>AH71+AH72-AH73</f>
        <v>261.03984701349532</v>
      </c>
      <c r="AI74" s="129">
        <f>AI71+AI72-AI73</f>
        <v>288.12532832463916</v>
      </c>
      <c r="AJ74" s="128"/>
      <c r="AK74" s="324">
        <f>AK71+AK72-AK73</f>
        <v>322.82397548705097</v>
      </c>
      <c r="AL74" s="128">
        <f>AL71+AL72-AL73</f>
        <v>303.50238625773403</v>
      </c>
      <c r="AM74" s="128">
        <f>AM71+AM72-AM73</f>
        <v>301.19965269743153</v>
      </c>
      <c r="AN74" s="128">
        <f>AN71+AN72-AN73</f>
        <v>227.27904433501544</v>
      </c>
      <c r="AO74" s="129">
        <f>AO71+AO72-AO73</f>
        <v>286.2222628219244</v>
      </c>
      <c r="AP74" s="128"/>
      <c r="AQ74" s="324">
        <f>AQ71+AQ72-AQ73</f>
        <v>285.29398916220345</v>
      </c>
      <c r="AR74" s="128">
        <f>AR71+AR72-AR73</f>
        <v>254.34385884619604</v>
      </c>
      <c r="AS74" s="128">
        <f>AS71+AS72-AS73</f>
        <v>304.17786055813264</v>
      </c>
      <c r="AT74" s="128">
        <f>AT71+AT72-AT73</f>
        <v>242.48117801542799</v>
      </c>
      <c r="AU74" s="129">
        <f>AU71+AU72-AU73</f>
        <v>302.53102624064906</v>
      </c>
      <c r="AV74" s="128"/>
      <c r="AW74" s="324">
        <f>AW71+AW72-AW73</f>
        <v>302.78702801120448</v>
      </c>
      <c r="AX74" s="128">
        <f>AX71+AX72-AX73</f>
        <v>296.80026909214888</v>
      </c>
      <c r="AY74" s="128">
        <f>AY71+AY72-AY73</f>
        <v>273.62169349531922</v>
      </c>
      <c r="AZ74" s="128">
        <f>AZ71+AZ72-AZ73</f>
        <v>235.27175796623851</v>
      </c>
      <c r="BA74" s="129">
        <f>BA71+BA72-BA73</f>
        <v>273.00544469050516</v>
      </c>
      <c r="BB74" s="128"/>
      <c r="BC74" s="324">
        <f>BC71+BC72-BC73</f>
        <v>302.43446353805984</v>
      </c>
      <c r="BD74" s="128">
        <f>BD71+BD72-BD73</f>
        <v>273.0697519834626</v>
      </c>
      <c r="BE74" s="128">
        <f>BE71+BE72-BE73</f>
        <v>272.73852712367346</v>
      </c>
      <c r="BF74" s="128">
        <f>BF71+BF72-BF73</f>
        <v>233.90276740960979</v>
      </c>
      <c r="BG74" s="129">
        <f>BG71+BG72-BG73</f>
        <v>269.79003102708543</v>
      </c>
      <c r="BH74" s="128"/>
      <c r="BI74" s="324">
        <f>BI71+BI72-BI73</f>
        <v>296.29733817431281</v>
      </c>
      <c r="BJ74" s="128">
        <f>BJ71+BJ72-BJ73</f>
        <v>255.81932003866288</v>
      </c>
      <c r="BK74" s="128">
        <f>BK71+BK72-BK73</f>
        <v>269.95835564254304</v>
      </c>
      <c r="BL74" s="128">
        <f>BL71+BL72-BL73</f>
        <v>205.52599318849482</v>
      </c>
      <c r="BM74" s="129">
        <f>BM71+BM72-BM73</f>
        <v>247.72524274254943</v>
      </c>
      <c r="BN74" s="1312"/>
      <c r="BO74" s="324">
        <f>BO71+BO72-BO73</f>
        <v>258.03204167354841</v>
      </c>
      <c r="BP74" s="1314">
        <f>BP71+BP72-BP73</f>
        <v>245.22718627912474</v>
      </c>
      <c r="BQ74" s="1314">
        <f>BQ71+BQ72-BQ73</f>
        <v>240.83272192599489</v>
      </c>
      <c r="BR74" s="128">
        <f>BR71+BR72-BR73</f>
        <v>181.27501133548617</v>
      </c>
      <c r="BS74" s="129">
        <f>BS71+BS72-BS73</f>
        <v>205.49731913279052</v>
      </c>
      <c r="BT74" s="1312"/>
      <c r="BU74" s="324">
        <f>BU71+BU72-BU73</f>
        <v>248.10460159289991</v>
      </c>
      <c r="BV74" s="1314">
        <f>BV71+BV72-BV73</f>
        <v>223.90788978943849</v>
      </c>
      <c r="BW74" s="1314">
        <f>BW71+BW72-BW73</f>
        <v>222.96805507280806</v>
      </c>
      <c r="BX74" s="128">
        <f>BX71+BX72-BX73</f>
        <v>169.79860770633286</v>
      </c>
      <c r="BY74" s="129">
        <f>BY71+BY72-BY73</f>
        <v>199.08238075322973</v>
      </c>
      <c r="BZ74" s="1312"/>
      <c r="CA74" s="324">
        <f>CA71+CA72-CA73</f>
        <v>223.26473428343101</v>
      </c>
      <c r="CB74" s="1314">
        <f>CB71+CB72-CB73</f>
        <v>230.20100947199148</v>
      </c>
      <c r="CC74" s="1314">
        <f>CC71+CC72-CC73</f>
        <v>228.49639472143937</v>
      </c>
      <c r="CD74" s="128">
        <f>CD71+CD72-CD73</f>
        <v>181.5829977799213</v>
      </c>
      <c r="CE74" s="129">
        <f>CE71+CE72-CE73</f>
        <v>209.77153363570403</v>
      </c>
      <c r="CF74" s="1312"/>
      <c r="CG74" s="324">
        <f>CG71+CG72-CG73</f>
        <v>226.29082527316879</v>
      </c>
      <c r="CH74" s="1314">
        <f>CH71+CH72-CH73</f>
        <v>223.10079257713355</v>
      </c>
      <c r="CI74" s="1314">
        <f>CI71+CI72-CI73</f>
        <v>224.66274066455321</v>
      </c>
      <c r="CJ74" s="128">
        <f>CJ71+CJ72-CJ73</f>
        <v>190.81748776604525</v>
      </c>
      <c r="CK74" s="1313">
        <f>CK71+CK72-CK73</f>
        <v>223.41541892821809</v>
      </c>
      <c r="CL74" s="1312"/>
      <c r="CM74" s="1315">
        <f>CM71+CM72-CM73</f>
        <v>236.79082527316879</v>
      </c>
      <c r="CN74" s="1312">
        <f>CN71+CN72-CN73</f>
        <v>233.60079257713355</v>
      </c>
      <c r="CO74" s="1312">
        <f>CO71+CO72-CO73</f>
        <v>235.16274066455321</v>
      </c>
      <c r="CP74" s="1312">
        <f>CP71+CP72-CP73</f>
        <v>201.31748776604525</v>
      </c>
      <c r="CQ74" s="1313">
        <f>CQ71+CQ72-CQ73</f>
        <v>224.45969165579541</v>
      </c>
      <c r="CR74" s="1312"/>
      <c r="CS74" s="1315">
        <f>CS71+CS72-CS73</f>
        <v>233.79082527316879</v>
      </c>
      <c r="CT74" s="1312">
        <f>CT71+CT72-CT73</f>
        <v>230.60079257713355</v>
      </c>
      <c r="CU74" s="1312">
        <f>CU71+CU72-CU73</f>
        <v>232.16274066455321</v>
      </c>
      <c r="CV74" s="1312">
        <f>CV71+CV72-CV73</f>
        <v>198.31748776604525</v>
      </c>
      <c r="CW74" s="1313">
        <f>CW71+CW72-CW73</f>
        <v>241.26049079690947</v>
      </c>
      <c r="CY74" s="1315">
        <f>CY71+CY72-CY73</f>
        <v>244.29082527316879</v>
      </c>
      <c r="CZ74" s="1312">
        <f>CZ71+CZ72-CZ73</f>
        <v>241.10079257713355</v>
      </c>
      <c r="DA74" s="1312">
        <f>DA71+DA72-DA73</f>
        <v>242.66274066455321</v>
      </c>
      <c r="DB74" s="1312">
        <f>DB71+DB72-DB73</f>
        <v>208.81748776604525</v>
      </c>
      <c r="DC74" s="1313">
        <f>DC71+DC72-DC73</f>
        <v>253.19606865427886</v>
      </c>
      <c r="DE74" s="1315">
        <f>DE71+DE72-DE73</f>
        <v>250.29082527316879</v>
      </c>
      <c r="DF74" s="1312">
        <f t="shared" ref="DF74:DH74" si="33">DF71+DF72-DF73</f>
        <v>247.10079257713355</v>
      </c>
      <c r="DG74" s="1312">
        <f t="shared" si="33"/>
        <v>248.66274066455327</v>
      </c>
      <c r="DH74" s="1312">
        <f t="shared" si="33"/>
        <v>214.81748776604525</v>
      </c>
      <c r="DI74" s="1313">
        <f>DI71+DI72-DI73</f>
        <v>261.72426200038467</v>
      </c>
    </row>
    <row r="75" spans="1:113" ht="11.25" customHeight="1">
      <c r="A75" s="130"/>
      <c r="B75" s="88"/>
      <c r="C75" s="68"/>
      <c r="D75" s="88"/>
      <c r="E75" s="68"/>
      <c r="F75" s="88"/>
      <c r="G75" s="68"/>
      <c r="H75" s="88"/>
      <c r="I75" s="68"/>
      <c r="J75" s="88"/>
      <c r="K75" s="68"/>
      <c r="L75" s="88"/>
      <c r="M75" s="68"/>
      <c r="N75" s="88"/>
      <c r="O75" s="68"/>
      <c r="P75" s="88"/>
      <c r="Q75" s="68"/>
      <c r="R75" s="88"/>
      <c r="S75" s="88"/>
      <c r="T75" s="88"/>
      <c r="U75" s="88"/>
      <c r="V75" s="88"/>
      <c r="W75" s="88"/>
      <c r="X75" s="88"/>
      <c r="Y75" s="88"/>
      <c r="Z75" s="88"/>
      <c r="AA75" s="88"/>
      <c r="AB75" s="88"/>
      <c r="AC75" s="88"/>
      <c r="AD75" s="88"/>
      <c r="AE75" s="88"/>
      <c r="AF75" s="88"/>
      <c r="AG75" s="88"/>
      <c r="AH75" s="88"/>
      <c r="AI75" s="88"/>
      <c r="AJ75" s="88"/>
      <c r="AK75" s="88"/>
      <c r="AL75" s="88"/>
      <c r="AM75" s="88"/>
      <c r="AN75" s="88"/>
      <c r="AO75" s="88"/>
      <c r="AP75" s="88"/>
      <c r="AQ75" s="88"/>
      <c r="AR75" s="88"/>
      <c r="AS75" s="88"/>
      <c r="AT75" s="88"/>
      <c r="AU75" s="88"/>
      <c r="AV75" s="88"/>
      <c r="AW75" s="88"/>
      <c r="AX75" s="88"/>
      <c r="AY75" s="88"/>
      <c r="AZ75" s="88"/>
      <c r="BA75" s="88"/>
      <c r="BB75" s="88"/>
      <c r="BC75" s="88"/>
      <c r="BD75" s="88"/>
      <c r="BE75" s="88"/>
      <c r="BF75" s="88"/>
      <c r="BG75" s="88"/>
      <c r="BH75" s="88"/>
      <c r="BI75" s="88"/>
      <c r="BJ75" s="88"/>
      <c r="BK75" s="88"/>
      <c r="BL75" s="89"/>
      <c r="BM75" s="88"/>
      <c r="BN75" s="88"/>
      <c r="BO75" s="88"/>
      <c r="BP75" s="88"/>
      <c r="BQ75" s="88"/>
      <c r="BR75" s="89"/>
      <c r="BS75" s="88"/>
      <c r="BT75" s="88"/>
      <c r="BU75" s="88"/>
      <c r="BV75" s="88"/>
      <c r="BW75" s="88"/>
      <c r="BX75" s="88"/>
      <c r="BY75" s="88"/>
      <c r="BZ75" s="88"/>
      <c r="CA75" s="88"/>
      <c r="CB75" s="88"/>
      <c r="CC75" s="88"/>
      <c r="CD75" s="88"/>
      <c r="CE75" s="88"/>
      <c r="CF75" s="88"/>
      <c r="CG75" s="88"/>
      <c r="CH75" s="88"/>
      <c r="CI75" s="88"/>
      <c r="CJ75" s="89"/>
      <c r="CK75" s="90"/>
      <c r="CL75" s="88"/>
      <c r="CM75" s="88"/>
      <c r="CN75" s="88"/>
      <c r="CO75" s="88"/>
      <c r="CP75" s="89"/>
      <c r="CQ75" s="90"/>
      <c r="CR75" s="88"/>
      <c r="CS75" s="88"/>
      <c r="CT75" s="88"/>
      <c r="CU75" s="88"/>
      <c r="CV75" s="89"/>
      <c r="CW75" s="90"/>
      <c r="CY75" s="88"/>
      <c r="CZ75" s="88"/>
      <c r="DA75" s="88"/>
      <c r="DB75" s="89"/>
      <c r="DC75" s="90"/>
      <c r="DE75" s="88"/>
      <c r="DF75" s="88"/>
      <c r="DG75" s="88"/>
      <c r="DH75" s="89"/>
      <c r="DI75" s="90"/>
    </row>
    <row r="76" spans="1:113" ht="11.25" customHeight="1" collapsed="1">
      <c r="A76" s="1659" t="s">
        <v>467</v>
      </c>
      <c r="B76" s="91"/>
      <c r="C76" s="92"/>
      <c r="D76" s="91"/>
      <c r="E76" s="92"/>
      <c r="F76" s="91"/>
      <c r="G76" s="92"/>
      <c r="H76" s="91"/>
      <c r="I76" s="92"/>
      <c r="J76" s="91"/>
      <c r="K76" s="92"/>
      <c r="L76" s="91"/>
      <c r="M76" s="92"/>
      <c r="N76" s="91"/>
      <c r="O76" s="92"/>
      <c r="P76" s="91"/>
      <c r="Q76" s="92"/>
      <c r="R76" s="91"/>
      <c r="S76" s="91"/>
      <c r="T76" s="91"/>
      <c r="U76" s="91"/>
      <c r="V76" s="91"/>
      <c r="W76" s="91"/>
      <c r="X76" s="91"/>
      <c r="Y76" s="91"/>
      <c r="Z76" s="91"/>
      <c r="AA76" s="91"/>
      <c r="AB76" s="91"/>
      <c r="AC76" s="91"/>
      <c r="AD76" s="91"/>
      <c r="AE76" s="91"/>
      <c r="AF76" s="91"/>
      <c r="AG76" s="91"/>
      <c r="AH76" s="91"/>
      <c r="AI76" s="91"/>
      <c r="AJ76" s="91"/>
      <c r="AK76" s="91"/>
      <c r="AL76" s="91"/>
      <c r="AM76" s="91"/>
      <c r="AN76" s="91"/>
      <c r="AO76" s="91"/>
      <c r="AP76" s="91"/>
      <c r="AQ76" s="91"/>
      <c r="AR76" s="91"/>
      <c r="AS76" s="91"/>
      <c r="AT76" s="91"/>
      <c r="AU76" s="91"/>
      <c r="AV76" s="91"/>
      <c r="AW76" s="91"/>
      <c r="AX76" s="91"/>
      <c r="AY76" s="91"/>
      <c r="AZ76" s="91"/>
      <c r="BA76" s="91"/>
      <c r="BB76" s="91"/>
      <c r="BC76" s="91"/>
      <c r="BD76" s="91"/>
      <c r="BE76" s="91"/>
      <c r="BF76" s="91"/>
      <c r="BG76" s="91"/>
      <c r="BH76" s="91"/>
      <c r="BI76" s="91"/>
      <c r="BJ76" s="91"/>
      <c r="BK76" s="91"/>
      <c r="BL76" s="91"/>
      <c r="BM76" s="91"/>
      <c r="BN76" s="91"/>
      <c r="BO76" s="91"/>
      <c r="BP76" s="91"/>
      <c r="BQ76" s="91"/>
      <c r="BR76" s="91"/>
      <c r="BS76" s="91"/>
      <c r="BT76" s="91"/>
      <c r="BU76" s="91"/>
      <c r="BV76" s="91"/>
      <c r="BW76" s="91"/>
      <c r="BX76" s="91"/>
      <c r="BY76" s="93"/>
      <c r="BZ76" s="91"/>
      <c r="CA76" s="91"/>
      <c r="CB76" s="91"/>
      <c r="CC76" s="91"/>
      <c r="CD76" s="91"/>
      <c r="CE76" s="93"/>
      <c r="CF76" s="91"/>
      <c r="CG76" s="91"/>
      <c r="CH76" s="91"/>
      <c r="CI76" s="91"/>
      <c r="CJ76" s="91"/>
      <c r="CK76" s="93"/>
      <c r="CL76" s="91"/>
      <c r="CM76" s="91"/>
      <c r="CN76" s="91"/>
      <c r="CO76" s="91"/>
      <c r="CP76" s="91"/>
      <c r="CQ76" s="93"/>
      <c r="CR76" s="91"/>
      <c r="CS76" s="91"/>
      <c r="CT76" s="91"/>
      <c r="CU76" s="91"/>
      <c r="CV76" s="91"/>
      <c r="CW76" s="93"/>
      <c r="CY76" s="91"/>
      <c r="CZ76" s="91"/>
      <c r="DA76" s="91"/>
      <c r="DB76" s="91"/>
      <c r="DC76" s="93"/>
      <c r="DE76" s="91"/>
      <c r="DF76" s="91"/>
      <c r="DG76" s="91"/>
      <c r="DH76" s="91"/>
      <c r="DI76" s="93"/>
    </row>
    <row r="77" spans="1:113" ht="11.25" customHeight="1">
      <c r="A77" s="1660" t="s">
        <v>371</v>
      </c>
      <c r="B77" s="1662"/>
      <c r="C77" s="1663">
        <f>CF!C50</f>
        <v>-0.88599999999999901</v>
      </c>
      <c r="D77" s="1662"/>
      <c r="E77" s="1663">
        <f>CF!E50</f>
        <v>1.3079999999999989</v>
      </c>
      <c r="F77" s="1662"/>
      <c r="G77" s="1663">
        <f>CF!G50</f>
        <v>19.292000000000009</v>
      </c>
      <c r="H77" s="1662"/>
      <c r="I77" s="1663">
        <f>CF!I50</f>
        <v>-13.353999999999997</v>
      </c>
      <c r="J77" s="1662"/>
      <c r="K77" s="1663">
        <f>CF!K50</f>
        <v>27.643000000000001</v>
      </c>
      <c r="L77" s="1662"/>
      <c r="M77" s="1663">
        <f>CF!M50</f>
        <v>-52.46899999999998</v>
      </c>
      <c r="N77" s="1662"/>
      <c r="O77" s="1663">
        <f>CF!O50</f>
        <v>7.2049999999999983</v>
      </c>
      <c r="P77" s="1662"/>
      <c r="Q77" s="1663">
        <f>CF!Q50</f>
        <v>21.211999999999996</v>
      </c>
      <c r="R77" s="1662"/>
      <c r="S77" s="1664">
        <f>CF!S50</f>
        <v>19.275999999999996</v>
      </c>
      <c r="T77" s="1665">
        <f>CF!T50</f>
        <v>27.517000000000003</v>
      </c>
      <c r="U77" s="1665">
        <f>CF!U50</f>
        <v>-65.274000000000001</v>
      </c>
      <c r="V77" s="1666">
        <f>CF!V50</f>
        <v>7.9959999999999969</v>
      </c>
      <c r="W77" s="1663">
        <f>CF!W50</f>
        <v>-10.485000000000001</v>
      </c>
      <c r="X77" s="1662"/>
      <c r="Y77" s="1664">
        <f>CF!Y50</f>
        <v>22.623999999999995</v>
      </c>
      <c r="Z77" s="1665">
        <f>CF!Z50</f>
        <v>-52.275999999999996</v>
      </c>
      <c r="AA77" s="1665">
        <f>CF!AA50</f>
        <v>26.133999999999993</v>
      </c>
      <c r="AB77" s="1666">
        <f>CF!AB50</f>
        <v>24.717999999999993</v>
      </c>
      <c r="AC77" s="1663">
        <f>CF!AC50</f>
        <v>21.200000000000003</v>
      </c>
      <c r="AD77" s="1662"/>
      <c r="AE77" s="1664">
        <f>CF!AE50</f>
        <v>-34.09999999999998</v>
      </c>
      <c r="AF77" s="1665">
        <f>CF!AF50</f>
        <v>-172.9</v>
      </c>
      <c r="AG77" s="1665">
        <f>CF!AG50</f>
        <v>-41.099999999999994</v>
      </c>
      <c r="AH77" s="1666">
        <f>CF!AH50</f>
        <v>81.899999999999991</v>
      </c>
      <c r="AI77" s="1663">
        <f>CF!AI50</f>
        <v>-166.2</v>
      </c>
      <c r="AJ77" s="1662"/>
      <c r="AK77" s="1664">
        <f>CF!AK50</f>
        <v>-17.799999999999997</v>
      </c>
      <c r="AL77" s="1665">
        <f>CF!AL50</f>
        <v>4.2000000000000046</v>
      </c>
      <c r="AM77" s="1665">
        <f>CF!AM50</f>
        <v>-4.1000000000000112</v>
      </c>
      <c r="AN77" s="1666">
        <f>CF!AN50</f>
        <v>58.600000000000016</v>
      </c>
      <c r="AO77" s="1663">
        <f>CF!AO50</f>
        <v>40.900000000000027</v>
      </c>
      <c r="AP77" s="1662"/>
      <c r="AQ77" s="1664">
        <f>CF!AQ50</f>
        <v>-4.0000000000000027</v>
      </c>
      <c r="AR77" s="1665">
        <f>CF!AR50</f>
        <v>-15.499999999999984</v>
      </c>
      <c r="AS77" s="1665">
        <f>CF!AS50</f>
        <v>0.40000000000000746</v>
      </c>
      <c r="AT77" s="1666">
        <f>CF!AT50</f>
        <v>42.4</v>
      </c>
      <c r="AU77" s="1663">
        <f>CF!AU50</f>
        <v>23.300000000000033</v>
      </c>
      <c r="AV77" s="1662"/>
      <c r="AW77" s="1664">
        <f>CF!AW50</f>
        <v>-37.100000000000009</v>
      </c>
      <c r="AX77" s="1665">
        <f>CF!AX50</f>
        <v>-23.500000000000007</v>
      </c>
      <c r="AY77" s="1665">
        <f>CF!AY50</f>
        <v>26.000000000000014</v>
      </c>
      <c r="AZ77" s="1666">
        <f>CF!AZ50</f>
        <v>50.199999999999989</v>
      </c>
      <c r="BA77" s="1663">
        <f>CF!BA50</f>
        <v>15.599999999999969</v>
      </c>
      <c r="BB77" s="1662"/>
      <c r="BC77" s="1664">
        <f>CF!BC50</f>
        <v>-16.500000000000014</v>
      </c>
      <c r="BD77" s="1665">
        <f>CF!BD50</f>
        <v>10.80000000000001</v>
      </c>
      <c r="BE77" s="1665">
        <f>CF!BE50</f>
        <v>1.8000000000000078</v>
      </c>
      <c r="BF77" s="1666">
        <f>CF!BF50</f>
        <v>68.499999999999986</v>
      </c>
      <c r="BG77" s="1663">
        <f>CF!BG50</f>
        <v>64.600000000000009</v>
      </c>
      <c r="BH77" s="1662"/>
      <c r="BI77" s="1664">
        <f>CF!BI50</f>
        <v>-41.2</v>
      </c>
      <c r="BJ77" s="1665">
        <f>CF!BJ50</f>
        <v>-18.499999999999986</v>
      </c>
      <c r="BK77" s="1665">
        <f>CF!BK50</f>
        <v>55.899999999999991</v>
      </c>
      <c r="BL77" s="1666">
        <f>CF!BL50</f>
        <v>131.9</v>
      </c>
      <c r="BM77" s="1663">
        <f>CF!BM50</f>
        <v>128.1</v>
      </c>
      <c r="BN77" s="1662"/>
      <c r="BO77" s="1664">
        <f>CF!BO50</f>
        <v>15.299999999999997</v>
      </c>
      <c r="BP77" s="1665">
        <f>CF!BP50</f>
        <v>-64.199999999999989</v>
      </c>
      <c r="BQ77" s="1665">
        <f>CF!BQ50</f>
        <v>-60.600000000000009</v>
      </c>
      <c r="BR77" s="1666">
        <f>CF!BR50</f>
        <v>-9.6999999999999744</v>
      </c>
      <c r="BS77" s="1663">
        <f>CF!BS50</f>
        <v>-119.19999999999996</v>
      </c>
      <c r="BT77" s="1662"/>
      <c r="BU77" s="1664">
        <f>CF!BU50</f>
        <v>14.999999999999998</v>
      </c>
      <c r="BV77" s="1665">
        <f>CF!BV50</f>
        <v>-13.700000000000003</v>
      </c>
      <c r="BW77" s="1665">
        <f>CF!BW50</f>
        <v>10.199999999999996</v>
      </c>
      <c r="BX77" s="1666">
        <f>CF!BX50</f>
        <v>-63.899999999999984</v>
      </c>
      <c r="BY77" s="1663">
        <f>CF!BY50</f>
        <v>-52.400000000000048</v>
      </c>
      <c r="BZ77" s="1662"/>
      <c r="CA77" s="1664">
        <f>CF!CA50</f>
        <v>-57.20000000000001</v>
      </c>
      <c r="CB77" s="1665">
        <f>CF!CB50</f>
        <v>22.600000000000009</v>
      </c>
      <c r="CC77" s="1665">
        <f>CF!CC50</f>
        <v>46.2</v>
      </c>
      <c r="CD77" s="1666">
        <f>CF!CD50</f>
        <v>63.7</v>
      </c>
      <c r="CE77" s="1663">
        <f>CF!CE50</f>
        <v>75.300000000000026</v>
      </c>
      <c r="CF77" s="1662"/>
      <c r="CG77" s="1664">
        <f>CF!CG50</f>
        <v>-65.199999999999989</v>
      </c>
      <c r="CH77" s="1665">
        <f>CF!CH50</f>
        <v>-59.300000000000004</v>
      </c>
      <c r="CI77" s="1665">
        <f>CF!CI50</f>
        <v>46.400000000000013</v>
      </c>
      <c r="CJ77" s="1666">
        <f>CF!CJ50</f>
        <v>61.100000000000016</v>
      </c>
      <c r="CK77" s="1663">
        <f>CF!CK50</f>
        <v>-17.000000000000011</v>
      </c>
      <c r="CL77" s="1662"/>
      <c r="CM77" s="1664">
        <f>CF!CM50</f>
        <v>-12.158154100885291</v>
      </c>
      <c r="CN77" s="1665">
        <f>CF!CN50</f>
        <v>-65.879094424083576</v>
      </c>
      <c r="CO77" s="1665">
        <f>CF!CO50</f>
        <v>14.129009292848146</v>
      </c>
      <c r="CP77" s="1666">
        <f>CF!CP50</f>
        <v>32.21173406548867</v>
      </c>
      <c r="CQ77" s="1663">
        <f>CF!CQ50</f>
        <v>-31.696505166632107</v>
      </c>
      <c r="CR77" s="1662"/>
      <c r="CS77" s="1664">
        <f>CF!CS50</f>
        <v>85.892159185100468</v>
      </c>
      <c r="CT77" s="1665">
        <f>CF!CT50</f>
        <v>-66.529996309811622</v>
      </c>
      <c r="CU77" s="1665">
        <f>CF!CU50</f>
        <v>-21.918853202393493</v>
      </c>
      <c r="CV77" s="1666">
        <f>CF!CV50</f>
        <v>-45.893410202978735</v>
      </c>
      <c r="CW77" s="1663">
        <f>CF!CW50</f>
        <v>-48.450100530083375</v>
      </c>
      <c r="CY77" s="1664">
        <f>CF!CY50</f>
        <v>109.32495872654657</v>
      </c>
      <c r="CZ77" s="1665">
        <f>CF!CZ50</f>
        <v>-49.222980559100897</v>
      </c>
      <c r="DA77" s="1665">
        <f>CF!DA50</f>
        <v>-23.620900249860014</v>
      </c>
      <c r="DB77" s="1666">
        <f>CF!DB50</f>
        <v>-42.923674480257013</v>
      </c>
      <c r="DC77" s="1663">
        <f>CF!DC50</f>
        <v>-6.4425965626712411</v>
      </c>
      <c r="DE77" s="1664">
        <f>CF!DE50</f>
        <v>159.19751766518979</v>
      </c>
      <c r="DF77" s="1665">
        <f>CF!DF50</f>
        <v>-61.554867785706428</v>
      </c>
      <c r="DG77" s="1665">
        <f>CF!DG50</f>
        <v>-17.271553450078358</v>
      </c>
      <c r="DH77" s="1666">
        <f>CF!DH50</f>
        <v>-63.854898634227133</v>
      </c>
      <c r="DI77" s="1663">
        <f>CF!DI50</f>
        <v>16.516197795177845</v>
      </c>
    </row>
    <row r="78" spans="1:113" ht="11.25" customHeight="1">
      <c r="A78" s="1660" t="s">
        <v>468</v>
      </c>
      <c r="B78" s="1662"/>
      <c r="C78" s="1663">
        <f>CF!C26</f>
        <v>-6.4439999999999991</v>
      </c>
      <c r="D78" s="1662"/>
      <c r="E78" s="1663">
        <f>CF!E26</f>
        <v>5.7649999999999988</v>
      </c>
      <c r="F78" s="1662"/>
      <c r="G78" s="1663">
        <f>CF!G26</f>
        <v>-0.20199999999999907</v>
      </c>
      <c r="H78" s="1662"/>
      <c r="I78" s="1663">
        <f>CF!I26</f>
        <v>-11.475000000000001</v>
      </c>
      <c r="J78" s="1662"/>
      <c r="K78" s="1663">
        <f>CF!K26</f>
        <v>-10.728000000000003</v>
      </c>
      <c r="L78" s="1662"/>
      <c r="M78" s="1663">
        <f>CF!M26</f>
        <v>-6.1119999999999965</v>
      </c>
      <c r="N78" s="1662"/>
      <c r="O78" s="1663">
        <f>CF!O26</f>
        <v>-0.88900000000000023</v>
      </c>
      <c r="P78" s="1662"/>
      <c r="Q78" s="1663">
        <f>CF!Q26</f>
        <v>49.721999999999994</v>
      </c>
      <c r="R78" s="1662"/>
      <c r="S78" s="1667">
        <f>CF!S26</f>
        <v>4.3219999999999992</v>
      </c>
      <c r="T78" s="1662">
        <f>CF!T26</f>
        <v>0.11699999999999999</v>
      </c>
      <c r="U78" s="1662">
        <f>CF!U26</f>
        <v>13.395999999999997</v>
      </c>
      <c r="V78" s="1666">
        <f>CF!V26</f>
        <v>19.857999999999997</v>
      </c>
      <c r="W78" s="1663">
        <f>CF!W26</f>
        <v>37.692999999999998</v>
      </c>
      <c r="X78" s="1662"/>
      <c r="Y78" s="1667">
        <f>CF!Y26</f>
        <v>21.522999999999996</v>
      </c>
      <c r="Z78" s="1662">
        <f>CF!Z26</f>
        <v>-4.8900000000000006</v>
      </c>
      <c r="AA78" s="1662">
        <f>CF!AA26</f>
        <v>16.247999999999998</v>
      </c>
      <c r="AB78" s="1666">
        <f>CF!AB26</f>
        <v>74.718999999999994</v>
      </c>
      <c r="AC78" s="1663">
        <f>CF!AC26</f>
        <v>107.60000000000001</v>
      </c>
      <c r="AD78" s="1662"/>
      <c r="AE78" s="1667">
        <f>CF!AE26</f>
        <v>22.300000000000004</v>
      </c>
      <c r="AF78" s="1662">
        <f>CF!AF26</f>
        <v>-4.1999999999999957</v>
      </c>
      <c r="AG78" s="1662">
        <f>CF!AG26</f>
        <v>0.79999999999999716</v>
      </c>
      <c r="AH78" s="1666">
        <f>CF!AH26</f>
        <v>88</v>
      </c>
      <c r="AI78" s="1663">
        <f>CF!AI26</f>
        <v>106.9</v>
      </c>
      <c r="AJ78" s="1662"/>
      <c r="AK78" s="1667">
        <f>CF!AK26</f>
        <v>13.100000000000003</v>
      </c>
      <c r="AL78" s="1662">
        <f>CF!AL26</f>
        <v>38.199999999999996</v>
      </c>
      <c r="AM78" s="1662">
        <f>CF!AM26</f>
        <v>15.999999999999995</v>
      </c>
      <c r="AN78" s="1666">
        <f>CF!AN26</f>
        <v>82.500000000000014</v>
      </c>
      <c r="AO78" s="1663">
        <f>CF!AO26</f>
        <v>149.80000000000001</v>
      </c>
      <c r="AP78" s="1662"/>
      <c r="AQ78" s="1667">
        <f>CF!AQ26</f>
        <v>5.4999999999999964</v>
      </c>
      <c r="AR78" s="1662">
        <f>CF!AR26</f>
        <v>47.600000000000009</v>
      </c>
      <c r="AS78" s="1662">
        <f>CF!AS26</f>
        <v>9.6000000000000085</v>
      </c>
      <c r="AT78" s="1666">
        <f>CF!AT26</f>
        <v>93.399999999999991</v>
      </c>
      <c r="AU78" s="1663">
        <f>CF!AU26</f>
        <v>156.10000000000002</v>
      </c>
      <c r="AV78" s="1662"/>
      <c r="AW78" s="1667">
        <f>CF!AW26</f>
        <v>-29.400000000000009</v>
      </c>
      <c r="AX78" s="1662">
        <f>CF!AX26</f>
        <v>3.7999999999999972</v>
      </c>
      <c r="AY78" s="1662">
        <f>CF!AY26</f>
        <v>21.200000000000014</v>
      </c>
      <c r="AZ78" s="1666">
        <f>CF!AZ26</f>
        <v>92.1</v>
      </c>
      <c r="BA78" s="1663">
        <f>CF!BA26</f>
        <v>87.699999999999974</v>
      </c>
      <c r="BB78" s="1662"/>
      <c r="BC78" s="1667">
        <f>CF!BC26</f>
        <v>4.7999999999999901</v>
      </c>
      <c r="BD78" s="1662">
        <f>CF!BD26</f>
        <v>37.100000000000009</v>
      </c>
      <c r="BE78" s="1662">
        <f>CF!BE26</f>
        <v>0.30000000000000426</v>
      </c>
      <c r="BF78" s="1666">
        <f>CF!BF26</f>
        <v>90.899999999999991</v>
      </c>
      <c r="BG78" s="1663">
        <f>CF!BG26</f>
        <v>133.10000000000002</v>
      </c>
      <c r="BH78" s="1662"/>
      <c r="BI78" s="1667">
        <f>CF!BI26</f>
        <v>-18.2</v>
      </c>
      <c r="BJ78" s="1662">
        <f>CF!BJ26</f>
        <v>-6.6999999999999886</v>
      </c>
      <c r="BK78" s="1662">
        <f>CF!BK26</f>
        <v>38.499999999999993</v>
      </c>
      <c r="BL78" s="1666">
        <f>CF!BL26</f>
        <v>131.4</v>
      </c>
      <c r="BM78" s="1663">
        <f>CF!BM26</f>
        <v>145</v>
      </c>
      <c r="BN78" s="1662"/>
      <c r="BO78" s="1667">
        <f>CF!BO26</f>
        <v>18.499999999999996</v>
      </c>
      <c r="BP78" s="1662">
        <f>CF!BP26</f>
        <v>13.000000000000011</v>
      </c>
      <c r="BQ78" s="1662">
        <f>CF!BQ26</f>
        <v>13.5</v>
      </c>
      <c r="BR78" s="1666">
        <f>CF!BR26</f>
        <v>69.3</v>
      </c>
      <c r="BS78" s="1663">
        <f>CF!BS26</f>
        <v>114.30000000000001</v>
      </c>
      <c r="BT78" s="1662"/>
      <c r="BU78" s="1667">
        <f>CF!BU26</f>
        <v>27</v>
      </c>
      <c r="BV78" s="1662">
        <f>CF!BV26</f>
        <v>-1.5</v>
      </c>
      <c r="BW78" s="1662">
        <f>CF!BW26</f>
        <v>54.099999999999994</v>
      </c>
      <c r="BX78" s="1666">
        <f>CF!BX26</f>
        <v>149.60000000000002</v>
      </c>
      <c r="BY78" s="1663">
        <f>CF!BY26</f>
        <v>229.2</v>
      </c>
      <c r="BZ78" s="1662"/>
      <c r="CA78" s="1667">
        <f>CF!CA26</f>
        <v>-14</v>
      </c>
      <c r="CB78" s="1662">
        <f>CF!CB26</f>
        <v>18.099999999999994</v>
      </c>
      <c r="CC78" s="1662">
        <f>CF!CC26</f>
        <v>35.899999999999991</v>
      </c>
      <c r="CD78" s="1666">
        <f>CF!CD26</f>
        <v>90.800000000000011</v>
      </c>
      <c r="CE78" s="1663">
        <f>CF!CE26</f>
        <v>130.80000000000001</v>
      </c>
      <c r="CF78" s="1662"/>
      <c r="CG78" s="1667">
        <f>CF!CG26</f>
        <v>32.599999999999994</v>
      </c>
      <c r="CH78" s="1662">
        <f>CF!CH26</f>
        <v>-17.200000000000003</v>
      </c>
      <c r="CI78" s="1662">
        <f>CF!CI26</f>
        <v>35.299999999999997</v>
      </c>
      <c r="CJ78" s="1666">
        <f>CF!CJ26</f>
        <v>103.7</v>
      </c>
      <c r="CK78" s="1663">
        <f>CF!CK26</f>
        <v>154.39999999999998</v>
      </c>
      <c r="CL78" s="1662"/>
      <c r="CM78" s="1667">
        <f>CF!CM26</f>
        <v>39.335308794911661</v>
      </c>
      <c r="CN78" s="1662">
        <f>CF!CN26</f>
        <v>-14.128456200073011</v>
      </c>
      <c r="CO78" s="1662">
        <f>CF!CO26</f>
        <v>66.299258712598274</v>
      </c>
      <c r="CP78" s="1666">
        <f>CF!CP26</f>
        <v>87.189065761644045</v>
      </c>
      <c r="CQ78" s="1663">
        <f>CF!CQ26</f>
        <v>178.6951770690809</v>
      </c>
      <c r="CR78" s="1662"/>
      <c r="CS78" s="1667">
        <f>CF!CS26</f>
        <v>146.4634044233153</v>
      </c>
      <c r="CT78" s="1662">
        <f>CF!CT26</f>
        <v>-5.5513548317320414</v>
      </c>
      <c r="CU78" s="1662">
        <f>CF!CU26</f>
        <v>39.228517587550286</v>
      </c>
      <c r="CV78" s="1666">
        <f>CF!CV26</f>
        <v>18.272555531106605</v>
      </c>
      <c r="CW78" s="1663">
        <f>CF!CW26</f>
        <v>198.41312271024015</v>
      </c>
      <c r="CY78" s="1667">
        <f>CF!CY26</f>
        <v>170.12222044725223</v>
      </c>
      <c r="CZ78" s="1662">
        <f>CF!CZ26</f>
        <v>11.813494191696805</v>
      </c>
      <c r="DA78" s="1662">
        <f>CF!DA26</f>
        <v>37.860721924825526</v>
      </c>
      <c r="DB78" s="1666">
        <f>CF!DB26</f>
        <v>21.465693184590066</v>
      </c>
      <c r="DC78" s="1663">
        <f>CF!DC26</f>
        <v>241.26212974836471</v>
      </c>
      <c r="DE78" s="1667">
        <f>CF!DE26</f>
        <v>220.11952469706739</v>
      </c>
      <c r="DF78" s="1662">
        <f>CF!DF26</f>
        <v>-0.21251240304178509</v>
      </c>
      <c r="DG78" s="1662">
        <f>CF!DG26</f>
        <v>44.337653111518094</v>
      </c>
      <c r="DH78" s="1666">
        <f>CF!DH26</f>
        <v>0.89735572324727286</v>
      </c>
      <c r="DI78" s="1663">
        <f>CF!DI26</f>
        <v>265.14202112879093</v>
      </c>
    </row>
    <row r="79" spans="1:113" ht="11.25" customHeight="1">
      <c r="A79" s="1660" t="s">
        <v>372</v>
      </c>
      <c r="B79" s="1662"/>
      <c r="C79" s="1663">
        <f>CF!C59</f>
        <v>-9.4219999999999988</v>
      </c>
      <c r="D79" s="1662"/>
      <c r="E79" s="1663">
        <f>CF!E59</f>
        <v>1.2019999999999991</v>
      </c>
      <c r="F79" s="1662"/>
      <c r="G79" s="1663">
        <f>CF!G59</f>
        <v>-5.7829999999999995</v>
      </c>
      <c r="H79" s="1662"/>
      <c r="I79" s="1663">
        <f>CF!I59</f>
        <v>-29.07</v>
      </c>
      <c r="J79" s="1662"/>
      <c r="K79" s="1663">
        <f>CF!K59</f>
        <v>-39.493000000000002</v>
      </c>
      <c r="L79" s="1662"/>
      <c r="M79" s="1663">
        <f>CF!M59</f>
        <v>-11.602999999999996</v>
      </c>
      <c r="N79" s="1662"/>
      <c r="O79" s="1663">
        <f>CF!O59</f>
        <v>-8.1530000000000005</v>
      </c>
      <c r="P79" s="1662"/>
      <c r="Q79" s="1663">
        <f>CF!Q59</f>
        <v>44.930999999999997</v>
      </c>
      <c r="R79" s="1662"/>
      <c r="S79" s="1667">
        <f>CF!S59</f>
        <v>2.9599999999999991</v>
      </c>
      <c r="T79" s="1662">
        <f>CF!T59</f>
        <v>-0.98099999999999987</v>
      </c>
      <c r="U79" s="1662">
        <f>CF!U59</f>
        <v>10.818999999999997</v>
      </c>
      <c r="V79" s="1666">
        <f>CF!V59</f>
        <v>17.271999999999998</v>
      </c>
      <c r="W79" s="1663">
        <f>CF!W59</f>
        <v>30.069999999999997</v>
      </c>
      <c r="X79" s="1662"/>
      <c r="Y79" s="1667">
        <f>CF!Y59</f>
        <v>17.265999999999998</v>
      </c>
      <c r="Z79" s="1662">
        <f>CF!Z59</f>
        <v>-13.656000000000001</v>
      </c>
      <c r="AA79" s="1662">
        <f>CF!AA59</f>
        <v>9.3929999999999971</v>
      </c>
      <c r="AB79" s="1666">
        <f>CF!AB59</f>
        <v>68.396999999999991</v>
      </c>
      <c r="AC79" s="1663">
        <f>CF!AC59</f>
        <v>81.400000000000006</v>
      </c>
      <c r="AD79" s="1662"/>
      <c r="AE79" s="1667">
        <f>CF!AE59</f>
        <v>8.9000000000000039</v>
      </c>
      <c r="AF79" s="1662">
        <f>CF!AF59</f>
        <v>-17.899999999999999</v>
      </c>
      <c r="AG79" s="1662">
        <f>CF!AG59</f>
        <v>-11.899999999999999</v>
      </c>
      <c r="AH79" s="1666">
        <f>CF!AH59</f>
        <v>80.400000000000006</v>
      </c>
      <c r="AI79" s="1663">
        <f>CF!AI59</f>
        <v>59.500000000000007</v>
      </c>
      <c r="AJ79" s="1662"/>
      <c r="AK79" s="1667">
        <f>CF!AK59</f>
        <v>9.2000000000000028</v>
      </c>
      <c r="AL79" s="1662">
        <f>CF!AL59</f>
        <v>34.999999999999993</v>
      </c>
      <c r="AM79" s="1662">
        <f>CF!AM59</f>
        <v>14.199999999999994</v>
      </c>
      <c r="AN79" s="1666">
        <f>CF!AN59</f>
        <v>75.100000000000009</v>
      </c>
      <c r="AO79" s="1663">
        <f>CF!AO59</f>
        <v>133.5</v>
      </c>
      <c r="AP79" s="1662"/>
      <c r="AQ79" s="1667">
        <f>CF!AQ59</f>
        <v>9.9999999999996092E-2</v>
      </c>
      <c r="AR79" s="1662">
        <f>CF!AR59</f>
        <v>42.300000000000011</v>
      </c>
      <c r="AS79" s="1662">
        <f>CF!AS59</f>
        <v>-0.19999999999999218</v>
      </c>
      <c r="AT79" s="1666">
        <f>CF!AT59</f>
        <v>82</v>
      </c>
      <c r="AU79" s="1663">
        <f>CF!AU59</f>
        <v>124.20000000000002</v>
      </c>
      <c r="AV79" s="1662"/>
      <c r="AW79" s="1667">
        <f>CF!AW59</f>
        <v>-39.300000000000011</v>
      </c>
      <c r="AX79" s="1662">
        <f>CF!AX59</f>
        <v>-19.400000000000006</v>
      </c>
      <c r="AY79" s="1662">
        <f>CF!AY59</f>
        <v>15.900000000000016</v>
      </c>
      <c r="AZ79" s="1666">
        <f>CF!AZ59</f>
        <v>76.099999999999994</v>
      </c>
      <c r="BA79" s="1663">
        <f>CF!BA59</f>
        <v>33.299999999999976</v>
      </c>
      <c r="BB79" s="1662"/>
      <c r="BC79" s="1667">
        <f>CF!BC59</f>
        <v>-6.0000000000000107</v>
      </c>
      <c r="BD79" s="1662">
        <f>CF!BD59</f>
        <v>17.500000000000011</v>
      </c>
      <c r="BE79" s="1662">
        <f>CF!BE59</f>
        <v>-19.099999999999994</v>
      </c>
      <c r="BF79" s="1666">
        <f>CF!BF59</f>
        <v>67.899999999999991</v>
      </c>
      <c r="BG79" s="1663">
        <f>CF!BG59</f>
        <v>60.300000000000026</v>
      </c>
      <c r="BH79" s="1662"/>
      <c r="BI79" s="1667">
        <f>CF!BI59</f>
        <v>-32.799999999999997</v>
      </c>
      <c r="BJ79" s="1662">
        <f>CF!BJ59</f>
        <v>-23.199999999999989</v>
      </c>
      <c r="BK79" s="1662">
        <f>CF!BK59</f>
        <v>28.299999999999994</v>
      </c>
      <c r="BL79" s="1666">
        <f>CF!BL59</f>
        <v>122.4</v>
      </c>
      <c r="BM79" s="1663">
        <f>CF!BM59</f>
        <v>94.7</v>
      </c>
      <c r="BN79" s="1662"/>
      <c r="BO79" s="1667">
        <f>CF!BO59</f>
        <v>9.2999999999999972</v>
      </c>
      <c r="BP79" s="1662">
        <f>CF!BP59</f>
        <v>5.4000000000000092</v>
      </c>
      <c r="BQ79" s="1662">
        <f>CF!BQ59</f>
        <v>3.6000000000000014</v>
      </c>
      <c r="BR79" s="1666">
        <f>CF!BR59</f>
        <v>62.2</v>
      </c>
      <c r="BS79" s="1663">
        <f>CF!BS59</f>
        <v>80.500000000000014</v>
      </c>
      <c r="BT79" s="1662"/>
      <c r="BU79" s="1667">
        <f>CF!BU59</f>
        <v>21.3</v>
      </c>
      <c r="BV79" s="1662">
        <f>CF!BV59</f>
        <v>-9.1999999999999993</v>
      </c>
      <c r="BW79" s="1662">
        <f>CF!BW59</f>
        <v>45.399999999999991</v>
      </c>
      <c r="BX79" s="1666">
        <f>CF!BX59</f>
        <v>137.50000000000003</v>
      </c>
      <c r="BY79" s="1663">
        <f>CF!BY59</f>
        <v>195</v>
      </c>
      <c r="BZ79" s="1662"/>
      <c r="CA79" s="1667">
        <f>CF!CA59</f>
        <v>-22</v>
      </c>
      <c r="CB79" s="1662">
        <f>CF!CB59</f>
        <v>8.899999999999995</v>
      </c>
      <c r="CC79" s="1662">
        <f>CF!CC59</f>
        <v>27.099999999999991</v>
      </c>
      <c r="CD79" s="1666">
        <f>CF!CD59</f>
        <v>79.700000000000017</v>
      </c>
      <c r="CE79" s="1663">
        <f>CF!CE59</f>
        <v>93.700000000000017</v>
      </c>
      <c r="CF79" s="1662"/>
      <c r="CG79" s="1667">
        <f>CF!CG59</f>
        <v>21.099999999999994</v>
      </c>
      <c r="CH79" s="1662">
        <f>CF!CH59</f>
        <v>-26.800000000000004</v>
      </c>
      <c r="CI79" s="1662">
        <f>CF!CI59</f>
        <v>25.099999999999998</v>
      </c>
      <c r="CJ79" s="1666">
        <f>CF!CJ59</f>
        <v>91.3</v>
      </c>
      <c r="CK79" s="1663">
        <f>CF!CK59</f>
        <v>110.69999999999997</v>
      </c>
      <c r="CL79" s="1662"/>
      <c r="CM79" s="1667">
        <f>CF!CM59</f>
        <v>28.10786320363713</v>
      </c>
      <c r="CN79" s="1662">
        <f>CF!CN59</f>
        <v>-25.636990568750885</v>
      </c>
      <c r="CO79" s="1662">
        <f>CF!CO59</f>
        <v>54.347764219249029</v>
      </c>
      <c r="CP79" s="1666">
        <f>CF!CP59</f>
        <v>72.407691399360701</v>
      </c>
      <c r="CQ79" s="1663">
        <f>CF!CQ59</f>
        <v>129.22632825349592</v>
      </c>
      <c r="CR79" s="1662"/>
      <c r="CS79" s="1667">
        <f>CF!CS59</f>
        <v>136.11838191797784</v>
      </c>
      <c r="CT79" s="1662">
        <f>CF!CT59</f>
        <v>-16.337054589022479</v>
      </c>
      <c r="CU79" s="1662">
        <f>CF!CU59</f>
        <v>28.241574599290324</v>
      </c>
      <c r="CV79" s="1666">
        <f>CF!CV59</f>
        <v>4.2352532031206369</v>
      </c>
      <c r="CW79" s="1663">
        <f>CF!CW59</f>
        <v>152.25815513136632</v>
      </c>
      <c r="CY79" s="1667">
        <f>CF!CY59</f>
        <v>159.49827467694359</v>
      </c>
      <c r="CZ79" s="1662">
        <f>CF!CZ59</f>
        <v>0.92001892645264327</v>
      </c>
      <c r="DA79" s="1662">
        <f>CF!DA59</f>
        <v>26.492481951619546</v>
      </c>
      <c r="DB79" s="1666">
        <f>CF!DB59</f>
        <v>7.1607735959605723</v>
      </c>
      <c r="DC79" s="1663">
        <f>CF!DC59</f>
        <v>194.07154915097647</v>
      </c>
      <c r="DE79" s="1667">
        <f>CF!DE59</f>
        <v>209.3229534336061</v>
      </c>
      <c r="DF79" s="1662">
        <f>CF!DF59</f>
        <v>-11.457046438341441</v>
      </c>
      <c r="DG79" s="1662">
        <f>CF!DG59</f>
        <v>32.799290727335681</v>
      </c>
      <c r="DH79" s="1666">
        <f>CF!DH59</f>
        <v>-13.810408985847323</v>
      </c>
      <c r="DI79" s="1663">
        <f>CF!DI59</f>
        <v>216.85478873675299</v>
      </c>
    </row>
    <row r="80" spans="1:113" ht="11.25" customHeight="1">
      <c r="A80" s="1661" t="s">
        <v>469</v>
      </c>
      <c r="B80" s="1668"/>
      <c r="C80" s="1669">
        <f>CF!C60</f>
        <v>-0.20707692307692305</v>
      </c>
      <c r="D80" s="1668"/>
      <c r="E80" s="1669">
        <f>CF!E60</f>
        <v>2.6417582417582398E-2</v>
      </c>
      <c r="F80" s="1668"/>
      <c r="G80" s="1669">
        <f>CF!G60</f>
        <v>-0.11584071150995552</v>
      </c>
      <c r="H80" s="1668"/>
      <c r="I80" s="1669">
        <f>CF!I60</f>
        <v>-0.52684040740874993</v>
      </c>
      <c r="J80" s="1668"/>
      <c r="K80" s="1669">
        <f>CF!K60</f>
        <v>-0.50969890169456522</v>
      </c>
      <c r="L80" s="1668"/>
      <c r="M80" s="1669">
        <f>CF!M60</f>
        <v>-0.14275344488188971</v>
      </c>
      <c r="N80" s="1668"/>
      <c r="O80" s="1669">
        <f>CF!O60</f>
        <v>-9.2129498841742472E-2</v>
      </c>
      <c r="P80" s="1668"/>
      <c r="Q80" s="1669">
        <f>CF!Q60</f>
        <v>0.44428952832987245</v>
      </c>
      <c r="R80" s="1668"/>
      <c r="S80" s="1670">
        <f>CF!S60</f>
        <v>2.9168309026409135E-2</v>
      </c>
      <c r="T80" s="1671">
        <f>CF!T60</f>
        <v>-9.6300150192894785E-3</v>
      </c>
      <c r="U80" s="1671">
        <f>CF!U60</f>
        <v>0.10534156410655864</v>
      </c>
      <c r="V80" s="1672">
        <f>CF!V60</f>
        <v>0.16708909741704553</v>
      </c>
      <c r="W80" s="1669">
        <f>CF!W60</f>
        <v>0.29319136903891335</v>
      </c>
      <c r="X80" s="1668"/>
      <c r="Y80" s="1670">
        <f>CF!Y60</f>
        <v>0.10598750199501551</v>
      </c>
      <c r="Z80" s="1671">
        <f>CF!Z60</f>
        <v>-8.3094503568755598E-2</v>
      </c>
      <c r="AA80" s="1671">
        <f>CF!AA60</f>
        <v>5.7196268511301621E-2</v>
      </c>
      <c r="AB80" s="1672">
        <f>CF!AB60</f>
        <v>0.41528233151183969</v>
      </c>
      <c r="AC80" s="1669">
        <f>CF!AC60</f>
        <v>0.49543517954960437</v>
      </c>
      <c r="AD80" s="1668"/>
      <c r="AE80" s="1670">
        <f>CF!AE60</f>
        <v>5.483672211953175E-2</v>
      </c>
      <c r="AF80" s="1671">
        <f>CF!AF60</f>
        <v>-0.10815709969788519</v>
      </c>
      <c r="AG80" s="1671">
        <f>CF!AG60</f>
        <v>-7.1729957805907157E-2</v>
      </c>
      <c r="AH80" s="1672">
        <f>CF!AH60</f>
        <v>0.48845686512758207</v>
      </c>
      <c r="AI80" s="1669">
        <f>CF!AI60</f>
        <v>0.3592995169082126</v>
      </c>
      <c r="AJ80" s="1668"/>
      <c r="AK80" s="1670">
        <f>CF!AK60</f>
        <v>5.5995130858186255E-2</v>
      </c>
      <c r="AL80" s="1671">
        <f>CF!AL60</f>
        <v>0.21250758955676985</v>
      </c>
      <c r="AM80" s="1671">
        <f>CF!AM60</f>
        <v>8.6060606060606018E-2</v>
      </c>
      <c r="AN80" s="1672">
        <f>CF!AN60</f>
        <v>0.45460048426150129</v>
      </c>
      <c r="AO80" s="1669">
        <f>CF!AO60</f>
        <v>0.80958156458459674</v>
      </c>
      <c r="AP80" s="1668"/>
      <c r="AQ80" s="1670">
        <f>CF!AQ60</f>
        <v>6.0386473429949335E-4</v>
      </c>
      <c r="AR80" s="1671">
        <f>CF!AR60</f>
        <v>0.25512665862484929</v>
      </c>
      <c r="AS80" s="1671">
        <f>CF!AS60</f>
        <v>-1.2070006035002547E-3</v>
      </c>
      <c r="AT80" s="1672">
        <f>CF!AT60</f>
        <v>0.49367850692354004</v>
      </c>
      <c r="AU80" s="1669">
        <f>CF!AU60</f>
        <v>0.74954737477368749</v>
      </c>
      <c r="AV80" s="1668"/>
      <c r="AW80" s="1670">
        <f>CF!AW60</f>
        <v>-0.23575284943011407</v>
      </c>
      <c r="AX80" s="1671">
        <f>CF!AX60</f>
        <v>-0.11595935445307833</v>
      </c>
      <c r="AY80" s="1671">
        <f>CF!AY60</f>
        <v>9.5266626722588468E-2</v>
      </c>
      <c r="AZ80" s="1672">
        <f>CF!AZ60</f>
        <v>0.4565086982603479</v>
      </c>
      <c r="BA80" s="1669">
        <f>CF!BA60</f>
        <v>0.19952067106051513</v>
      </c>
      <c r="BB80" s="1668"/>
      <c r="BC80" s="1670">
        <f>CF!BC60</f>
        <v>-3.5949670461354166E-2</v>
      </c>
      <c r="BD80" s="1671">
        <f>CF!BD60</f>
        <v>0.10472770795930587</v>
      </c>
      <c r="BE80" s="1671">
        <f>CF!BE60</f>
        <v>-0.11416616855947395</v>
      </c>
      <c r="BF80" s="1672">
        <f>CF!BF60</f>
        <v>0.40488968395945135</v>
      </c>
      <c r="BG80" s="1669">
        <f>CF!BG60</f>
        <v>0.36021505376344098</v>
      </c>
      <c r="BH80" s="1668"/>
      <c r="BI80" s="1670">
        <f>CF!BI60</f>
        <v>-0.19512195121951217</v>
      </c>
      <c r="BJ80" s="1671">
        <f>CF!BJ60</f>
        <v>-0.13776722090261276</v>
      </c>
      <c r="BK80" s="1671">
        <f>CF!BK60</f>
        <v>0.16775340841730882</v>
      </c>
      <c r="BL80" s="1672">
        <f>CF!BL60</f>
        <v>0.72426035502958586</v>
      </c>
      <c r="BM80" s="1669">
        <f>CF!BM60</f>
        <v>0.56201780415430269</v>
      </c>
      <c r="BN80" s="1668"/>
      <c r="BO80" s="1670">
        <f>CF!BO60</f>
        <v>5.48996458087367E-2</v>
      </c>
      <c r="BP80" s="1671">
        <f>CF!BP60</f>
        <v>3.1858407079646073E-2</v>
      </c>
      <c r="BQ80" s="1671">
        <f>CF!BQ60</f>
        <v>2.1226415094339632E-2</v>
      </c>
      <c r="BR80" s="1672">
        <f>CF!BR60</f>
        <v>0.36674528301886794</v>
      </c>
      <c r="BS80" s="1669">
        <f>CF!BS60</f>
        <v>0.47492625368731572</v>
      </c>
      <c r="BT80" s="1668"/>
      <c r="BU80" s="1670">
        <f>CF!BU60</f>
        <v>0.12551561579257514</v>
      </c>
      <c r="BV80" s="1671">
        <f>CF!BV60</f>
        <v>-5.4213317619328225E-2</v>
      </c>
      <c r="BW80" s="1671">
        <f>CF!BW60</f>
        <v>0.26911677534084172</v>
      </c>
      <c r="BX80" s="1672">
        <f>CF!BX60</f>
        <v>0.8150563129816244</v>
      </c>
      <c r="BY80" s="1669">
        <f>CF!BY60</f>
        <v>1.1531638083973981</v>
      </c>
      <c r="BZ80" s="1668"/>
      <c r="CA80" s="1670">
        <f>CF!CA60</f>
        <v>-0.13390139987827143</v>
      </c>
      <c r="CB80" s="1671">
        <f>CF!CB60</f>
        <v>5.4802955665024598E-2</v>
      </c>
      <c r="CC80" s="1671">
        <f>CF!CC60</f>
        <v>0.16780185758513927</v>
      </c>
      <c r="CD80" s="1672">
        <f>CF!CD60</f>
        <v>0.49595519601742394</v>
      </c>
      <c r="CE80" s="1669">
        <f>CF!CE60</f>
        <v>0.57768187422934658</v>
      </c>
      <c r="CF80" s="1668"/>
      <c r="CG80" s="1670">
        <f>CF!CG60</f>
        <v>0.13146417445482864</v>
      </c>
      <c r="CH80" s="1671">
        <f>CF!CH60</f>
        <v>-0.16708229426433918</v>
      </c>
      <c r="CI80" s="1671">
        <f>CF!CI60</f>
        <v>0.15816005040957781</v>
      </c>
      <c r="CJ80" s="1672">
        <f>CF!CJ60</f>
        <v>0.58638407193320485</v>
      </c>
      <c r="CK80" s="1669">
        <f>CF!CK60</f>
        <v>0.69578881206788168</v>
      </c>
      <c r="CL80" s="1668"/>
      <c r="CM80" s="1670">
        <f>CF!CM60</f>
        <v>0.177761962094308</v>
      </c>
      <c r="CN80" s="1671">
        <f>CF!CN60</f>
        <v>-0.16328413307212514</v>
      </c>
      <c r="CO80" s="1671">
        <f>CF!CO60</f>
        <v>0.34856063546618488</v>
      </c>
      <c r="CP80" s="1672">
        <f>CF!CP60</f>
        <v>0.4675792515014528</v>
      </c>
      <c r="CQ80" s="1669">
        <f>CF!CQ60</f>
        <v>0.82585093115713626</v>
      </c>
      <c r="CR80" s="1668"/>
      <c r="CS80" s="1670">
        <f>CF!CS60</f>
        <v>0.87652857638751636</v>
      </c>
      <c r="CT80" s="1671">
        <f>CF!CT60</f>
        <v>-0.10609673019434539</v>
      </c>
      <c r="CU80" s="1671">
        <f>CF!CU60</f>
        <v>0.1849463314379988</v>
      </c>
      <c r="CV80" s="1672">
        <f>CF!CV60</f>
        <v>2.7964990826537427E-2</v>
      </c>
      <c r="CW80" s="1669">
        <f>CF!CW60</f>
        <v>0.99283945375849658</v>
      </c>
      <c r="CY80" s="1670">
        <f>CF!CY60</f>
        <v>1.0473903481205049</v>
      </c>
      <c r="CZ80" s="1671">
        <f>CF!CZ60</f>
        <v>6.0895431666531455E-3</v>
      </c>
      <c r="DA80" s="1671">
        <f>CF!DA60</f>
        <v>0.17672461729675343</v>
      </c>
      <c r="DB80" s="1672">
        <f>CF!DB60</f>
        <v>4.8136243517666016E-2</v>
      </c>
      <c r="DC80" s="1669">
        <f>CF!DC60</f>
        <v>1.2894430413744529</v>
      </c>
      <c r="DE80" s="1670">
        <f>CF!DE60</f>
        <v>1.3998397354142036</v>
      </c>
      <c r="DF80" s="1671">
        <f>CF!DF60</f>
        <v>-7.7185855911266435E-2</v>
      </c>
      <c r="DG80" s="1671">
        <f>CF!DG60</f>
        <v>0.22257982157376482</v>
      </c>
      <c r="DH80" s="1672">
        <f>CF!DH60</f>
        <v>-9.4392442535980697E-2</v>
      </c>
      <c r="DI80" s="1669">
        <f>CF!DI60</f>
        <v>1.4661361838956521</v>
      </c>
    </row>
    <row r="81" spans="1:119" ht="11.25" customHeight="1">
      <c r="A81" s="130"/>
      <c r="B81" s="88"/>
      <c r="C81" s="68"/>
      <c r="D81" s="88"/>
      <c r="E81" s="68"/>
      <c r="F81" s="88"/>
      <c r="G81" s="68"/>
      <c r="H81" s="88"/>
      <c r="I81" s="68"/>
      <c r="J81" s="88"/>
      <c r="K81" s="68"/>
      <c r="L81" s="88"/>
      <c r="M81" s="68"/>
      <c r="N81" s="88"/>
      <c r="O81" s="68"/>
      <c r="P81" s="88"/>
      <c r="Q81" s="68"/>
      <c r="R81" s="88"/>
      <c r="S81" s="88"/>
      <c r="T81" s="88"/>
      <c r="U81" s="88"/>
      <c r="V81" s="88"/>
      <c r="W81" s="88"/>
      <c r="X81" s="88"/>
      <c r="Y81" s="88"/>
      <c r="Z81" s="88"/>
      <c r="AA81" s="88"/>
      <c r="AB81" s="88"/>
      <c r="AC81" s="88"/>
      <c r="AD81" s="88"/>
      <c r="AE81" s="88"/>
      <c r="AF81" s="88"/>
      <c r="AG81" s="88"/>
      <c r="AH81" s="88"/>
      <c r="AI81" s="88"/>
      <c r="AJ81" s="88"/>
      <c r="AK81" s="88"/>
      <c r="AL81" s="88"/>
      <c r="AM81" s="88"/>
      <c r="AN81" s="88"/>
      <c r="AO81" s="88"/>
      <c r="AP81" s="88"/>
      <c r="AQ81" s="88"/>
      <c r="AR81" s="88"/>
      <c r="AS81" s="88"/>
      <c r="AT81" s="88"/>
      <c r="AU81" s="88"/>
      <c r="AV81" s="88"/>
      <c r="AW81" s="88"/>
      <c r="AX81" s="88"/>
      <c r="AY81" s="88"/>
      <c r="AZ81" s="88"/>
      <c r="BA81" s="88"/>
      <c r="BB81" s="88"/>
      <c r="BC81" s="88"/>
      <c r="BD81" s="88"/>
      <c r="BE81" s="88"/>
      <c r="BF81" s="88"/>
      <c r="BG81" s="88"/>
      <c r="BH81" s="88"/>
      <c r="BI81" s="88"/>
      <c r="BJ81" s="88"/>
      <c r="BK81" s="88"/>
      <c r="BL81" s="89"/>
      <c r="BM81" s="88"/>
      <c r="BN81" s="88"/>
      <c r="BO81" s="88"/>
      <c r="BP81" s="88"/>
      <c r="BQ81" s="88"/>
      <c r="BR81" s="89"/>
      <c r="BS81" s="88"/>
      <c r="BT81" s="88"/>
      <c r="BU81" s="88"/>
      <c r="BV81" s="88"/>
      <c r="BW81" s="88"/>
      <c r="BX81" s="88"/>
      <c r="BY81" s="88"/>
      <c r="BZ81" s="88"/>
      <c r="CA81" s="88"/>
      <c r="CB81" s="88"/>
      <c r="CC81" s="88"/>
      <c r="CD81" s="88"/>
      <c r="CE81" s="88"/>
      <c r="CF81" s="88"/>
      <c r="CG81" s="88"/>
      <c r="CH81" s="88"/>
      <c r="CI81" s="88"/>
      <c r="CJ81" s="89"/>
      <c r="CK81" s="88"/>
      <c r="CL81" s="88"/>
      <c r="CM81" s="88"/>
      <c r="CN81" s="88"/>
      <c r="CO81" s="88"/>
      <c r="CP81" s="89"/>
      <c r="CQ81" s="88"/>
      <c r="CR81" s="88"/>
      <c r="CS81" s="88"/>
      <c r="CT81" s="88"/>
      <c r="CU81" s="88"/>
      <c r="CV81" s="89"/>
      <c r="CW81" s="88"/>
      <c r="CY81" s="88"/>
      <c r="CZ81" s="88"/>
      <c r="DA81" s="88"/>
      <c r="DB81" s="89"/>
      <c r="DC81" s="88"/>
      <c r="DE81" s="88"/>
      <c r="DF81" s="88"/>
      <c r="DG81" s="88"/>
      <c r="DH81" s="89"/>
      <c r="DI81" s="88"/>
    </row>
    <row r="82" spans="1:119" ht="11.25" customHeight="1">
      <c r="A82" s="73" t="s">
        <v>118</v>
      </c>
      <c r="B82" s="91"/>
      <c r="C82" s="92"/>
      <c r="D82" s="91"/>
      <c r="E82" s="92"/>
      <c r="F82" s="91"/>
      <c r="G82" s="92"/>
      <c r="H82" s="91"/>
      <c r="I82" s="92"/>
      <c r="J82" s="91"/>
      <c r="K82" s="92"/>
      <c r="L82" s="91"/>
      <c r="M82" s="92"/>
      <c r="N82" s="91"/>
      <c r="O82" s="92"/>
      <c r="P82" s="91"/>
      <c r="Q82" s="92"/>
      <c r="R82" s="91"/>
      <c r="S82" s="91"/>
      <c r="T82" s="91"/>
      <c r="U82" s="91"/>
      <c r="V82" s="91"/>
      <c r="W82" s="91"/>
      <c r="X82" s="91"/>
      <c r="Y82" s="91"/>
      <c r="Z82" s="91"/>
      <c r="AA82" s="91"/>
      <c r="AB82" s="91"/>
      <c r="AC82" s="91"/>
      <c r="AD82" s="91"/>
      <c r="AE82" s="91"/>
      <c r="AF82" s="91"/>
      <c r="AG82" s="91"/>
      <c r="AH82" s="91"/>
      <c r="AI82" s="91"/>
      <c r="AJ82" s="91"/>
      <c r="AK82" s="91"/>
      <c r="AL82" s="91"/>
      <c r="AM82" s="91"/>
      <c r="AN82" s="91"/>
      <c r="AO82" s="91"/>
      <c r="AP82" s="91"/>
      <c r="AQ82" s="91"/>
      <c r="AR82" s="91"/>
      <c r="AS82" s="91"/>
      <c r="AT82" s="91"/>
      <c r="AU82" s="91"/>
      <c r="AV82" s="91"/>
      <c r="AW82" s="91"/>
      <c r="AX82" s="91"/>
      <c r="AY82" s="91"/>
      <c r="AZ82" s="91"/>
      <c r="BA82" s="91"/>
      <c r="BB82" s="91"/>
      <c r="BC82" s="91"/>
      <c r="BD82" s="91"/>
      <c r="BE82" s="91"/>
      <c r="BF82" s="91"/>
      <c r="BG82" s="91"/>
      <c r="BH82" s="91"/>
      <c r="BI82" s="91"/>
      <c r="BJ82" s="91"/>
      <c r="BK82" s="91"/>
      <c r="BL82" s="1169"/>
      <c r="BM82" s="1169"/>
      <c r="BN82" s="1169"/>
      <c r="BO82" s="91"/>
      <c r="BP82" s="1169"/>
      <c r="BQ82" s="1169"/>
      <c r="BR82" s="1169"/>
      <c r="BS82" s="1169"/>
      <c r="BT82" s="1169"/>
      <c r="BU82" s="1169"/>
      <c r="BV82" s="1169"/>
      <c r="BW82" s="1169"/>
      <c r="BX82" s="1169"/>
      <c r="BY82" s="1170"/>
      <c r="BZ82" s="1169"/>
      <c r="CA82" s="1169"/>
      <c r="CB82" s="1169"/>
      <c r="CC82" s="1169"/>
      <c r="CD82" s="1169"/>
      <c r="CE82" s="1170"/>
      <c r="CF82" s="1169"/>
      <c r="CG82" s="1169"/>
      <c r="CH82" s="1169"/>
      <c r="CI82" s="1169"/>
      <c r="CJ82" s="1169"/>
      <c r="CK82" s="1170"/>
      <c r="CL82" s="1169"/>
      <c r="CM82" s="2008"/>
      <c r="CN82" s="1169"/>
      <c r="CO82" s="1169"/>
      <c r="CP82" s="1169"/>
      <c r="CQ82" s="1170"/>
      <c r="CR82" s="1169"/>
      <c r="CS82" s="2008"/>
      <c r="CT82" s="1169"/>
      <c r="CU82" s="1169"/>
      <c r="CV82" s="1169"/>
      <c r="CW82" s="1170"/>
      <c r="CY82" s="2008"/>
      <c r="CZ82" s="1169"/>
      <c r="DA82" s="1169"/>
      <c r="DB82" s="1169"/>
      <c r="DC82" s="1170"/>
      <c r="DE82" s="2008"/>
      <c r="DF82" s="1169"/>
      <c r="DG82" s="1169"/>
      <c r="DH82" s="1169"/>
      <c r="DI82" s="1170"/>
    </row>
    <row r="83" spans="1:119" ht="11.25" customHeight="1">
      <c r="A83" s="131" t="s">
        <v>119</v>
      </c>
      <c r="B83" s="132"/>
      <c r="C83" s="133">
        <f>C14/IS!C9</f>
        <v>3.3750918094155001E-2</v>
      </c>
      <c r="D83" s="132"/>
      <c r="E83" s="133">
        <f>E14/IS!E9</f>
        <v>2.2120884217035092E-2</v>
      </c>
      <c r="F83" s="132"/>
      <c r="G83" s="133">
        <f>G14/IS!G9</f>
        <v>5.7256990679094538E-2</v>
      </c>
      <c r="H83" s="132"/>
      <c r="I83" s="133">
        <f>I14/IS!I9</f>
        <v>5.4557616165539266E-2</v>
      </c>
      <c r="J83" s="132"/>
      <c r="K83" s="133">
        <f>K14/IS!K9</f>
        <v>3.2539042318882612E-2</v>
      </c>
      <c r="L83" s="132"/>
      <c r="M83" s="133">
        <f>M14/IS!M9</f>
        <v>5.2182952980485579E-2</v>
      </c>
      <c r="N83" s="132"/>
      <c r="O83" s="133">
        <f>O14/IS!O9</f>
        <v>9.8658303330333041E-2</v>
      </c>
      <c r="P83" s="96"/>
      <c r="Q83" s="133">
        <f>Q14/IS!Q9</f>
        <v>5.5419298165494985E-2</v>
      </c>
      <c r="R83" s="96"/>
      <c r="S83" s="346">
        <f>S14/(IS!S9*4)</f>
        <v>4.4786307666357425E-2</v>
      </c>
      <c r="T83" s="96">
        <f>T14/(IS!T9*4)</f>
        <v>3.6217569141048733E-2</v>
      </c>
      <c r="U83" s="96">
        <f>U14/(IS!U9*4)</f>
        <v>5.2569848383713168E-2</v>
      </c>
      <c r="V83" s="96">
        <f>V14/(IS!V9*4)</f>
        <v>5.2514285714285701E-2</v>
      </c>
      <c r="W83" s="133">
        <f>W14/IS!W9</f>
        <v>6.536663041433205E-2</v>
      </c>
      <c r="X83" s="96"/>
      <c r="Y83" s="346">
        <f>Y14/(IS!Y9*4)</f>
        <v>3.6929737491326803E-2</v>
      </c>
      <c r="Z83" s="96">
        <f>Z14/(IS!Z9*4)</f>
        <v>2.9013979911220015E-2</v>
      </c>
      <c r="AA83" s="96">
        <f>AA14/(IS!AA9*4)</f>
        <v>3.5622104566512248E-2</v>
      </c>
      <c r="AB83" s="96">
        <f>AB14/(IS!AB9*4)</f>
        <v>4.1695430470875552E-2</v>
      </c>
      <c r="AC83" s="133">
        <f>AC14/IS!AC9</f>
        <v>5.5695466873304914E-2</v>
      </c>
      <c r="AD83" s="96"/>
      <c r="AE83" s="346">
        <f>AE14/(IS!AE9*4)</f>
        <v>9.2845153168275282E-2</v>
      </c>
      <c r="AF83" s="96">
        <f>AF14/(IS!AF9*4)</f>
        <v>6.0752006420545748E-2</v>
      </c>
      <c r="AG83" s="96">
        <f>AG14/(IS!AG9*4)</f>
        <v>7.3805245766212307E-2</v>
      </c>
      <c r="AH83" s="96">
        <f>AH14/(IS!AH9*4)</f>
        <v>4.4416243654822343E-2</v>
      </c>
      <c r="AI83" s="133">
        <f>AI14/IS!AI9</f>
        <v>5.0582603197543131E-2</v>
      </c>
      <c r="AJ83" s="96"/>
      <c r="AK83" s="346">
        <f>AK14/(IS!AK9*4)</f>
        <v>6.6268980477223433E-2</v>
      </c>
      <c r="AL83" s="96">
        <f>AL14/(IS!AL9*4)</f>
        <v>6.4950495049504939E-2</v>
      </c>
      <c r="AM83" s="96">
        <f>AM14/(IS!AM9*4)</f>
        <v>6.8559034326669197E-2</v>
      </c>
      <c r="AN83" s="96">
        <f>AN14/(IS!AN9*4)</f>
        <v>3.9437772925764183E-2</v>
      </c>
      <c r="AO83" s="133">
        <f>AO14/IS!AO9</f>
        <v>5.1861821444593989E-2</v>
      </c>
      <c r="AP83" s="96"/>
      <c r="AQ83" s="346">
        <f>AQ14/(IS!AQ9*4)</f>
        <v>5.5455527547713365E-2</v>
      </c>
      <c r="AR83" s="96">
        <f>AR14/(IS!AR9*4)</f>
        <v>4.8604187437686942E-2</v>
      </c>
      <c r="AS83" s="96">
        <f>AS14/(IS!AS9*4)</f>
        <v>6.4716312056737585E-2</v>
      </c>
      <c r="AT83" s="96">
        <f>AT14/(IS!AT9*4)</f>
        <v>4.4400384522951204E-2</v>
      </c>
      <c r="AU83" s="133">
        <f>AU14/IS!AU9</f>
        <v>5.6632692160318791E-2</v>
      </c>
      <c r="AV83" s="96"/>
      <c r="AW83" s="346">
        <f>AW14/(IS!AW9*4)</f>
        <v>6.8207282913165274E-2</v>
      </c>
      <c r="AX83" s="96">
        <f>AX14/(IS!AX9*4)</f>
        <v>6.3310069790628101E-2</v>
      </c>
      <c r="AY83" s="96">
        <f>AY14/(IS!AY9*4)</f>
        <v>5.8436902485659657E-2</v>
      </c>
      <c r="AZ83" s="96">
        <f>AZ14/(IS!AZ9*4)</f>
        <v>4.572721532308989E-2</v>
      </c>
      <c r="BA83" s="133">
        <f>BA14/IS!BA9</f>
        <v>5.261245988981051E-2</v>
      </c>
      <c r="BB83" s="96"/>
      <c r="BC83" s="346">
        <f>BC14/(IS!BC9*4)</f>
        <v>6.3178007889546348E-2</v>
      </c>
      <c r="BD83" s="96">
        <f>BD14/(IS!BD9*4)</f>
        <v>6.1029236985975753E-2</v>
      </c>
      <c r="BE83" s="96">
        <f>BE14/(IS!BE9*4)</f>
        <v>5.8731576596694951E-2</v>
      </c>
      <c r="BF83" s="96">
        <f>BF14/(IS!BF9*4)</f>
        <v>4.7506282621302909E-2</v>
      </c>
      <c r="BG83" s="133">
        <v>0</v>
      </c>
      <c r="BH83" s="96"/>
      <c r="BI83" s="346">
        <f>BI14/(IS!BI9*4)</f>
        <v>7.1809862735129626E-2</v>
      </c>
      <c r="BJ83" s="96">
        <f>BJ14/(IS!BJ9*4)</f>
        <v>6.0782589580127493E-2</v>
      </c>
      <c r="BK83" s="96">
        <f>BK14/(IS!BK9*4)</f>
        <v>7.767653758542141E-2</v>
      </c>
      <c r="BL83" s="96">
        <f>BL14/(IS!BL9*4)</f>
        <v>4.3379822495924647E-2</v>
      </c>
      <c r="BM83" s="133">
        <f>BM14/IS!BM9</f>
        <v>5.2082200717625309E-2</v>
      </c>
      <c r="BN83" s="96"/>
      <c r="BO83" s="346">
        <f>BO14/(IS!BO9*4)</f>
        <v>6.3252301156478632E-2</v>
      </c>
      <c r="BP83" s="96">
        <f>BP14/(IS!BP9*4)</f>
        <v>6.3456493222562305E-2</v>
      </c>
      <c r="BQ83" s="96">
        <f>BQ14/(IS!BQ9*4)</f>
        <v>7.2474988089566456E-2</v>
      </c>
      <c r="BR83" s="96">
        <f>BR14/(IS!BR9*4)</f>
        <v>4.83267716535433E-2</v>
      </c>
      <c r="BS83" s="133">
        <f>BS14/IS!BS9</f>
        <v>5.4287135828403998E-2</v>
      </c>
      <c r="BT83" s="96"/>
      <c r="BU83" s="346">
        <f>BU14/(IS!BU9*4)</f>
        <v>7.8500707213578505E-2</v>
      </c>
      <c r="BV83" s="96">
        <f>BV14/(IS!BV9*4)</f>
        <v>8.4785353535353547E-2</v>
      </c>
      <c r="BW83" s="96">
        <f>BW14/(IS!BW9*4)</f>
        <v>8.4259025498611459E-2</v>
      </c>
      <c r="BX83" s="96">
        <f>BX14/(IS!BX9*4)</f>
        <v>5.5729820158929334E-2</v>
      </c>
      <c r="BY83" s="133">
        <f>BY14/IS!BY9</f>
        <v>6.5648478876708952E-2</v>
      </c>
      <c r="BZ83" s="96"/>
      <c r="CA83" s="346">
        <f>CA14/(IS!CA9*4)</f>
        <v>7.4187533297815661E-2</v>
      </c>
      <c r="CB83" s="96">
        <f>CB14/(IS!CB9*4)</f>
        <v>7.8759752488566037E-2</v>
      </c>
      <c r="CC83" s="96">
        <f>CC14/(IS!CC9*4)</f>
        <v>7.520944402132522E-2</v>
      </c>
      <c r="CD83" s="96">
        <f>CD14/(IS!CD9*4)</f>
        <v>4.8532851371465027E-2</v>
      </c>
      <c r="CE83" s="133">
        <f>CE14/IS!CE9</f>
        <v>5.6662322348414312E-2</v>
      </c>
      <c r="CF83" s="96"/>
      <c r="CG83" s="346">
        <f>CG14/(IS!CG9*4)</f>
        <v>6.3522992985190957E-2</v>
      </c>
      <c r="CH83" s="96">
        <f>CH14/(IS!CH9*4)</f>
        <v>6.8570739937334299E-2</v>
      </c>
      <c r="CI83" s="96">
        <f>CI14/(IS!CI9*4)</f>
        <v>7.0305325987144174E-2</v>
      </c>
      <c r="CJ83" s="96">
        <f>CJ14/(IS!CJ9*4)</f>
        <v>5.3770028275212038E-2</v>
      </c>
      <c r="CK83" s="100">
        <f>CK14/IS!CK9</f>
        <v>6.4612945240387326E-2</v>
      </c>
      <c r="CL83" s="96"/>
      <c r="CM83" s="2006">
        <f>CG83+0.006</f>
        <v>6.9522992985190962E-2</v>
      </c>
      <c r="CN83" s="1976">
        <f t="shared" ref="CN83:CP83" si="34">CH83+0.006</f>
        <v>7.4570739937334304E-2</v>
      </c>
      <c r="CO83" s="1976">
        <f t="shared" si="34"/>
        <v>7.6305325987144179E-2</v>
      </c>
      <c r="CP83" s="1976">
        <f t="shared" si="34"/>
        <v>5.9770028275212037E-2</v>
      </c>
      <c r="CQ83" s="100">
        <f>CQ14/IS!CQ9</f>
        <v>7.143753572060739E-2</v>
      </c>
      <c r="CR83" s="96"/>
      <c r="CS83" s="2006">
        <f>CM83+0.005</f>
        <v>7.4522992985190967E-2</v>
      </c>
      <c r="CT83" s="1976">
        <f t="shared" ref="CT83" si="35">CN83+0.005</f>
        <v>7.9570739937334309E-2</v>
      </c>
      <c r="CU83" s="1976">
        <f t="shared" ref="CU83" si="36">CO83+0.005</f>
        <v>8.1305325987144184E-2</v>
      </c>
      <c r="CV83" s="1976">
        <f t="shared" ref="CV83" si="37">CP83+0.005</f>
        <v>6.4770028275212041E-2</v>
      </c>
      <c r="CW83" s="100">
        <f>CW14/IS!CW9</f>
        <v>7.879511275900114E-2</v>
      </c>
      <c r="CY83" s="2006">
        <f>CS83+0.005</f>
        <v>7.9522992985190971E-2</v>
      </c>
      <c r="CZ83" s="1976">
        <f t="shared" ref="CZ83" si="38">CT83+0.005</f>
        <v>8.4570739937334313E-2</v>
      </c>
      <c r="DA83" s="1976">
        <f t="shared" ref="DA83" si="39">CU83+0.005</f>
        <v>8.6305325987144188E-2</v>
      </c>
      <c r="DB83" s="1976">
        <f t="shared" ref="DB83" si="40">CV83+0.005</f>
        <v>6.9770028275212045E-2</v>
      </c>
      <c r="DC83" s="100">
        <f>DC14/IS!DC9</f>
        <v>8.4597784688290212E-2</v>
      </c>
      <c r="DE83" s="2006">
        <f>CY83+0.005</f>
        <v>8.4522992985190976E-2</v>
      </c>
      <c r="DF83" s="1976">
        <f t="shared" ref="DF83" si="41">CZ83+0.005</f>
        <v>8.9570739937334318E-2</v>
      </c>
      <c r="DG83" s="1976">
        <f t="shared" ref="DG83" si="42">DA83+0.005</f>
        <v>9.1305325987144192E-2</v>
      </c>
      <c r="DH83" s="1976">
        <f t="shared" ref="DH83" si="43">DB83+0.005</f>
        <v>7.477002827521205E-2</v>
      </c>
      <c r="DI83" s="100">
        <f>DI14/IS!DI9</f>
        <v>9.1096542807493588E-2</v>
      </c>
    </row>
    <row r="84" spans="1:119" ht="11.25" customHeight="1">
      <c r="A84" s="131" t="s">
        <v>235</v>
      </c>
      <c r="B84" s="132"/>
      <c r="C84" s="133">
        <f>C25/IS!C9</f>
        <v>0.23390700594688088</v>
      </c>
      <c r="D84" s="132"/>
      <c r="E84" s="133">
        <f>E25/IS!E9</f>
        <v>0.12865976194156747</v>
      </c>
      <c r="F84" s="132"/>
      <c r="G84" s="133">
        <f>G25/IS!G9</f>
        <v>0.20581708049398187</v>
      </c>
      <c r="H84" s="132"/>
      <c r="I84" s="133">
        <f>I25/IS!I9</f>
        <v>0.16058732778802687</v>
      </c>
      <c r="J84" s="132"/>
      <c r="K84" s="133">
        <f>K25/IS!K9</f>
        <v>0.11699099964651181</v>
      </c>
      <c r="L84" s="132"/>
      <c r="M84" s="133">
        <f>M25/IS!M9</f>
        <v>8.8971493676130414E-2</v>
      </c>
      <c r="N84" s="132"/>
      <c r="O84" s="133">
        <f>O25/IS!O9</f>
        <v>7.3993727497749781E-2</v>
      </c>
      <c r="P84" s="96"/>
      <c r="Q84" s="133">
        <f>Q25/IS!Q9</f>
        <v>0.10255122188404123</v>
      </c>
      <c r="R84" s="96"/>
      <c r="S84" s="347">
        <f>S25/(IS!S9*4)</f>
        <v>6.9368305642236658E-2</v>
      </c>
      <c r="T84" s="96">
        <f>T25/(IS!T9*4)</f>
        <v>7.1559368251346012E-2</v>
      </c>
      <c r="U84" s="96">
        <f>U25/(IS!U9*4)</f>
        <v>0.10108467626585295</v>
      </c>
      <c r="V84" s="96">
        <f>V25/(IS!V9*4)</f>
        <v>9.1172350230414728E-2</v>
      </c>
      <c r="W84" s="133">
        <f>W25/IS!W9</f>
        <v>0.11348586847285892</v>
      </c>
      <c r="X84" s="96"/>
      <c r="Y84" s="347">
        <f>Y25/(IS!Y9*4)</f>
        <v>6.326372292036081E-2</v>
      </c>
      <c r="Z84" s="96">
        <f>Z25/(IS!Z9*4)</f>
        <v>4.6186782019115392E-2</v>
      </c>
      <c r="AA84" s="96">
        <f>AA25/(IS!AA9*4)</f>
        <v>4.585642786234282E-2</v>
      </c>
      <c r="AB84" s="96">
        <f>AB25/(IS!AB9*4)</f>
        <v>0.16931970460781637</v>
      </c>
      <c r="AC84" s="133">
        <f>AC25/IS!AC9</f>
        <v>0.22617202634637734</v>
      </c>
      <c r="AD84" s="96"/>
      <c r="AE84" s="347">
        <f>AE25/(IS!AE9*4)</f>
        <v>0.2887547209399916</v>
      </c>
      <c r="AF84" s="96">
        <f>AF25/(IS!AF9*4)</f>
        <v>0.17676886035313</v>
      </c>
      <c r="AG84" s="96">
        <f>AG25/(IS!AG9*4)</f>
        <v>0.2076456009913259</v>
      </c>
      <c r="AH84" s="96">
        <f>AH25/(IS!AH9*4)</f>
        <v>0.15831218274111677</v>
      </c>
      <c r="AI84" s="133">
        <f>AI25/IS!AI9</f>
        <v>0.18029084996838587</v>
      </c>
      <c r="AJ84" s="96"/>
      <c r="AK84" s="347">
        <f>AK25/(IS!AK9*4)</f>
        <v>0.21442516268980477</v>
      </c>
      <c r="AL84" s="96">
        <f>AL25/(IS!AL9*4)</f>
        <v>0.20009900990099008</v>
      </c>
      <c r="AM84" s="96">
        <f>AM25/(IS!AM9*4)</f>
        <v>0.18587325537533009</v>
      </c>
      <c r="AN84" s="96">
        <f>AN25/(IS!AN9*4)</f>
        <v>0.14956331877729256</v>
      </c>
      <c r="AO84" s="133">
        <f>AO25/IS!AO9</f>
        <v>0.19668012561686854</v>
      </c>
      <c r="AP84" s="96"/>
      <c r="AQ84" s="347">
        <f>AQ25/(IS!AQ9*4)</f>
        <v>0.19652502700756214</v>
      </c>
      <c r="AR84" s="96">
        <f>AR25/(IS!AR9*4)</f>
        <v>0.17613825191093388</v>
      </c>
      <c r="AS84" s="96">
        <f>AS25/(IS!AS9*4)</f>
        <v>0.17061573178594455</v>
      </c>
      <c r="AT84" s="96">
        <f>AT25/(IS!AT9*4)</f>
        <v>0.14551790434991588</v>
      </c>
      <c r="AU84" s="133">
        <f>AU25/IS!AU9</f>
        <v>0.1856080925741436</v>
      </c>
      <c r="AV84" s="96"/>
      <c r="AW84" s="347">
        <f>AW25/(IS!AW9*4)</f>
        <v>0.18487394957983194</v>
      </c>
      <c r="AX84" s="96">
        <f>AX25/(IS!AX9*4)</f>
        <v>0.16157776669990029</v>
      </c>
      <c r="AY84" s="96">
        <f>AY25/(IS!AY9*4)</f>
        <v>0.14973709369024857</v>
      </c>
      <c r="AZ84" s="96">
        <f>AZ25/(IS!AZ9*4)</f>
        <v>0.14133866554409602</v>
      </c>
      <c r="BA84" s="133">
        <f>BA25/IS!BA9</f>
        <v>0.16262033056850519</v>
      </c>
      <c r="BB84" s="96"/>
      <c r="BC84" s="347">
        <f>BC25/(IS!BC9*4)</f>
        <v>0.18503451676528598</v>
      </c>
      <c r="BD84" s="96">
        <f>BD25/(IS!BD9*4)</f>
        <v>0.17072735916329926</v>
      </c>
      <c r="BE84" s="96">
        <f>BE25/(IS!BE9*4)</f>
        <v>0.1481129968736043</v>
      </c>
      <c r="BF84" s="96">
        <f>BF25/(IS!BF9*4)</f>
        <v>0.12918035955924995</v>
      </c>
      <c r="BG84" s="133">
        <f>BG25/IS!BG9</f>
        <v>0.14921290610695545</v>
      </c>
      <c r="BH84" s="96"/>
      <c r="BI84" s="347">
        <f>BI25/(IS!BI9*4)</f>
        <v>0.16719623792577529</v>
      </c>
      <c r="BJ84" s="96">
        <f>BJ25/(IS!BJ9*4)</f>
        <v>0.13057814904374587</v>
      </c>
      <c r="BK84" s="96">
        <f>BK25/(IS!BK9*4)</f>
        <v>0.14151480637813213</v>
      </c>
      <c r="BL84" s="96">
        <f>BL25/(IS!BL9*4)</f>
        <v>0.11709835174787177</v>
      </c>
      <c r="BM84" s="133">
        <f>BM25/IS!BM9</f>
        <v>0.14058932260519735</v>
      </c>
      <c r="BN84" s="96"/>
      <c r="BO84" s="347">
        <f>BO25/(IS!BO9*4)</f>
        <v>0.14821807882936036</v>
      </c>
      <c r="BP84" s="96">
        <f>BP25/(IS!BP9*4)</f>
        <v>0.12215784871010057</v>
      </c>
      <c r="BQ84" s="96">
        <f>BQ25/(IS!BQ9*4)</f>
        <v>0.1250595521676989</v>
      </c>
      <c r="BR84" s="96">
        <f>BR25/(IS!BR9*4)</f>
        <v>9.3257874015748018E-2</v>
      </c>
      <c r="BS84" s="133">
        <f>BS25/IS!BS9</f>
        <v>0.10475979877273481</v>
      </c>
      <c r="BT84" s="96"/>
      <c r="BU84" s="347">
        <f>BU25/(IS!BU9*4)</f>
        <v>0.13125884016973124</v>
      </c>
      <c r="BV84" s="96">
        <f>BV25/(IS!BV9*4)</f>
        <v>0.1100378787878788</v>
      </c>
      <c r="BW84" s="96">
        <f>BW25/(IS!BW9*4)</f>
        <v>0.1075485988386771</v>
      </c>
      <c r="BX84" s="96">
        <f>BX25/(IS!BX9*4)</f>
        <v>9.321413634462572E-2</v>
      </c>
      <c r="BY84" s="133">
        <f>BY25/IS!BY9</f>
        <v>0.10980416307427024</v>
      </c>
      <c r="BZ84" s="96"/>
      <c r="CA84" s="347">
        <f>CA25/(IS!CA9*4)</f>
        <v>9.7496004262120406E-2</v>
      </c>
      <c r="CB84" s="96">
        <f>CB25/(IS!CB9*4)</f>
        <v>0.10351089588377724</v>
      </c>
      <c r="CC84" s="96">
        <f>CC25/(IS!CC9*4)</f>
        <v>9.405940594059406E-2</v>
      </c>
      <c r="CD84" s="96">
        <f>CD25/(IS!CD9*4)</f>
        <v>7.9204762917286842E-2</v>
      </c>
      <c r="CE84" s="133">
        <f>CE25/IS!CE9</f>
        <v>9.2471917085583055E-2</v>
      </c>
      <c r="CF84" s="96"/>
      <c r="CG84" s="347">
        <f>CG25/(IS!CG9*4)</f>
        <v>9.6713432060275412E-2</v>
      </c>
      <c r="CH84" s="96">
        <f>CH25/(IS!CH9*4)</f>
        <v>8.2188479151602808E-2</v>
      </c>
      <c r="CI84" s="96">
        <f>CI25/(IS!CI9*4)</f>
        <v>7.2428833792470157E-2</v>
      </c>
      <c r="CJ84" s="96">
        <f>CJ25/(IS!CJ9*4)</f>
        <v>5.2639019792648421E-2</v>
      </c>
      <c r="CK84" s="100">
        <f>CK25/IS!CK9</f>
        <v>6.3253864884761313E-2</v>
      </c>
      <c r="CL84" s="96"/>
      <c r="CM84" s="2006">
        <f>CG84-0.01</f>
        <v>8.6713432060275417E-2</v>
      </c>
      <c r="CN84" s="1976">
        <f>CH84-0.01</f>
        <v>7.2188479151602813E-2</v>
      </c>
      <c r="CO84" s="1976">
        <f t="shared" ref="CO84:CP84" si="44">CI84-0.01</f>
        <v>6.2428833792470155E-2</v>
      </c>
      <c r="CP84" s="1976">
        <f t="shared" si="44"/>
        <v>4.2639019792648419E-2</v>
      </c>
      <c r="CQ84" s="100">
        <f>CQ25/IS!CQ9</f>
        <v>5.0962440330520345E-2</v>
      </c>
      <c r="CR84" s="96"/>
      <c r="CS84" s="2006">
        <f>CM84-0.005</f>
        <v>8.1713432060275412E-2</v>
      </c>
      <c r="CT84" s="1976">
        <f t="shared" ref="CT84:CT85" si="45">CN84-0.005</f>
        <v>6.7188479151602809E-2</v>
      </c>
      <c r="CU84" s="1976">
        <f t="shared" ref="CU84:CU85" si="46">CO84-0.005</f>
        <v>5.7428833792470158E-2</v>
      </c>
      <c r="CV84" s="1976">
        <f t="shared" ref="CV84:CV85" si="47">CP84-0.005</f>
        <v>3.7639019792648422E-2</v>
      </c>
      <c r="CW84" s="100">
        <f>CW25/IS!CW9</f>
        <v>4.5789246780906998E-2</v>
      </c>
      <c r="CY84" s="2006">
        <f>CS84-0.005</f>
        <v>7.6713432060275408E-2</v>
      </c>
      <c r="CZ84" s="1976">
        <f t="shared" ref="CZ84:CZ85" si="48">CT84-0.005</f>
        <v>6.2188479151602812E-2</v>
      </c>
      <c r="DA84" s="1976">
        <f t="shared" ref="DA84:DA85" si="49">CU84-0.005</f>
        <v>5.242883379247016E-2</v>
      </c>
      <c r="DB84" s="1976">
        <f t="shared" ref="DB84:DB85" si="50">CV84-0.005</f>
        <v>3.2639019792648424E-2</v>
      </c>
      <c r="DC84" s="100">
        <f>DC25/IS!DC9</f>
        <v>3.9575571876847168E-2</v>
      </c>
      <c r="DE84" s="2006">
        <f>CY84-0.005</f>
        <v>7.1713432060275403E-2</v>
      </c>
      <c r="DF84" s="1976">
        <f t="shared" ref="DF84:DF85" si="51">CZ84-0.005</f>
        <v>5.7188479151602814E-2</v>
      </c>
      <c r="DG84" s="1976">
        <f t="shared" ref="DG84:DG85" si="52">DA84-0.005</f>
        <v>4.7428833792470163E-2</v>
      </c>
      <c r="DH84" s="1976">
        <f t="shared" ref="DH84:DH85" si="53">DB84-0.005</f>
        <v>2.7639019792648423E-2</v>
      </c>
      <c r="DI84" s="100">
        <f>DI25/IS!DI9</f>
        <v>3.3674176776162509E-2</v>
      </c>
    </row>
    <row r="85" spans="1:119" ht="11.25" customHeight="1">
      <c r="A85" s="134" t="s">
        <v>236</v>
      </c>
      <c r="B85" s="135"/>
      <c r="C85" s="136">
        <f>C26/IS!C9</f>
        <v>0.16420527400668139</v>
      </c>
      <c r="D85" s="135"/>
      <c r="E85" s="136">
        <f>E26/IS!E9</f>
        <v>0.18488174370072655</v>
      </c>
      <c r="F85" s="135"/>
      <c r="G85" s="136">
        <f>G26/IS!G9</f>
        <v>0.15440850108352261</v>
      </c>
      <c r="H85" s="135"/>
      <c r="I85" s="136">
        <f>I26/IS!I9</f>
        <v>0.11522154254458361</v>
      </c>
      <c r="J85" s="135"/>
      <c r="K85" s="136">
        <f>K26/IS!K9</f>
        <v>0.14507518422173682</v>
      </c>
      <c r="L85" s="135"/>
      <c r="M85" s="136">
        <f>M26/IS!M9</f>
        <v>0.1845948465353941</v>
      </c>
      <c r="N85" s="135"/>
      <c r="O85" s="136">
        <f>O26/IS!O9</f>
        <v>0.19428583483348333</v>
      </c>
      <c r="P85" s="137"/>
      <c r="Q85" s="136">
        <f>Q26/IS!Q9</f>
        <v>0.22272218088235687</v>
      </c>
      <c r="R85" s="137"/>
      <c r="S85" s="348">
        <f>S26/(IS!S9*4)</f>
        <v>0.16491840263135701</v>
      </c>
      <c r="T85" s="137">
        <f>T26/(IS!T9*4)</f>
        <v>0.16339828627728073</v>
      </c>
      <c r="U85" s="137">
        <f>U26/(IS!U9*4)</f>
        <v>0.20190235529703437</v>
      </c>
      <c r="V85" s="137">
        <f>V26/(IS!V9*4)</f>
        <v>0.18563686635944696</v>
      </c>
      <c r="W85" s="136">
        <f>W26/IS!W9</f>
        <v>0.23106962742695614</v>
      </c>
      <c r="X85" s="137"/>
      <c r="Y85" s="348">
        <f>Y26/(IS!Y9*4)</f>
        <v>0.13156994449155809</v>
      </c>
      <c r="Z85" s="137">
        <f>Z26/(IS!Z9*4)</f>
        <v>0.10775692072735817</v>
      </c>
      <c r="AA85" s="137">
        <f>AA26/(IS!AA9*4)</f>
        <v>0.11787309728656518</v>
      </c>
      <c r="AB85" s="137">
        <f>AB26/(IS!AB9*4)</f>
        <v>0.17381555971945861</v>
      </c>
      <c r="AC85" s="136">
        <f>AC26/IS!AC9</f>
        <v>0.2321774506005424</v>
      </c>
      <c r="AD85" s="137"/>
      <c r="AE85" s="348">
        <f>AE26/(IS!AE9*4)</f>
        <v>0.25604699958036087</v>
      </c>
      <c r="AF85" s="137">
        <f>AF26/(IS!AF9*4)</f>
        <v>0.18896869983948636</v>
      </c>
      <c r="AG85" s="137">
        <f>AG26/(IS!AG9*4)</f>
        <v>0.22456113176373399</v>
      </c>
      <c r="AH85" s="137">
        <f>AH26/(IS!AH9*4)</f>
        <v>0.18702411167512692</v>
      </c>
      <c r="AI85" s="136">
        <f>AI26/IS!AI9</f>
        <v>0.21298888989251197</v>
      </c>
      <c r="AJ85" s="137"/>
      <c r="AK85" s="348">
        <f>AK26/(IS!AK9*4)</f>
        <v>0.23405639913232104</v>
      </c>
      <c r="AL85" s="137">
        <f>AL26/(IS!AL9*4)</f>
        <v>0.23089108910891087</v>
      </c>
      <c r="AM85" s="137">
        <f>AM26/(IS!AM9*4)</f>
        <v>0.23340248962655605</v>
      </c>
      <c r="AN85" s="137">
        <f>AN26/(IS!AN9*4)</f>
        <v>0.17023744541484714</v>
      </c>
      <c r="AO85" s="136">
        <f>AO26/IS!AO9</f>
        <v>0.22386720502467475</v>
      </c>
      <c r="AP85" s="137"/>
      <c r="AQ85" s="348">
        <f>AQ26/(IS!AQ9*4)</f>
        <v>0.22362261433201297</v>
      </c>
      <c r="AR85" s="137">
        <f>AR26/(IS!AR9*4)</f>
        <v>0.20978730475240945</v>
      </c>
      <c r="AS85" s="137">
        <f>AS26/(IS!AS9*4)</f>
        <v>0.23589619600257897</v>
      </c>
      <c r="AT85" s="137">
        <f>AT26/(IS!AT9*4)</f>
        <v>0.18679403989425616</v>
      </c>
      <c r="AU85" s="136">
        <f>AU26/IS!AU9</f>
        <v>0.23825580504253197</v>
      </c>
      <c r="AV85" s="137"/>
      <c r="AW85" s="348">
        <f>AW26/(IS!AW9*4)</f>
        <v>0.21701680672268905</v>
      </c>
      <c r="AX85" s="137">
        <f>AX26/(IS!AX9*4)</f>
        <v>0.20737786640079758</v>
      </c>
      <c r="AY85" s="137">
        <f>AY26/(IS!AY9*4)</f>
        <v>0.19228011472275336</v>
      </c>
      <c r="AZ85" s="137">
        <f>AZ26/(IS!AZ9*4)</f>
        <v>0.1742790991370238</v>
      </c>
      <c r="BA85" s="136">
        <f>BA26/IS!BA9</f>
        <v>0.20052067566749412</v>
      </c>
      <c r="BB85" s="137"/>
      <c r="BC85" s="348">
        <f>BC26/(IS!BC9*4)</f>
        <v>0.1898422090729783</v>
      </c>
      <c r="BD85" s="137">
        <f>BD26/(IS!BD9*4)</f>
        <v>0.18397908248157832</v>
      </c>
      <c r="BE85" s="137">
        <f>BE26/(IS!BE9*4)</f>
        <v>0.16988610987047789</v>
      </c>
      <c r="BF85" s="137">
        <f>BF26/(IS!BF9*4)</f>
        <v>0.16605451382176686</v>
      </c>
      <c r="BG85" s="136">
        <f>BG26/IS!BG9</f>
        <v>0.19180529195042983</v>
      </c>
      <c r="BH85" s="137"/>
      <c r="BI85" s="348">
        <f>BI26/(IS!BI9*4)</f>
        <v>0.19267920691408233</v>
      </c>
      <c r="BJ85" s="137">
        <f>BJ26/(IS!BJ9*4)</f>
        <v>0.16190371510222026</v>
      </c>
      <c r="BK85" s="137">
        <f>BK26/(IS!BK9*4)</f>
        <v>0.17904328018223234</v>
      </c>
      <c r="BL85" s="137">
        <f>BL26/(IS!BL9*4)</f>
        <v>0.1424107951458069</v>
      </c>
      <c r="BM85" s="136">
        <f>BM26/IS!BM9</f>
        <v>0.17097966728280961</v>
      </c>
      <c r="BN85" s="137"/>
      <c r="BO85" s="348">
        <f>BO26/(IS!BO9*4)</f>
        <v>0.17866414916214302</v>
      </c>
      <c r="BP85" s="137">
        <f>BP26/(IS!BP9*4)</f>
        <v>0.16506340183646701</v>
      </c>
      <c r="BQ85" s="137">
        <f>BQ26/(IS!BQ9*4)</f>
        <v>0.17913292043830395</v>
      </c>
      <c r="BR85" s="137">
        <f>BR26/(IS!BR9*4)</f>
        <v>0.15570866141732281</v>
      </c>
      <c r="BS85" s="136">
        <f>BS26/IS!BS9</f>
        <v>0.17491293051025483</v>
      </c>
      <c r="BT85" s="137"/>
      <c r="BU85" s="348">
        <f>BU26/(IS!BU9*4)</f>
        <v>0.1888967468175389</v>
      </c>
      <c r="BV85" s="137">
        <f>BV26/(IS!BV9*4)</f>
        <v>0.17051767676767679</v>
      </c>
      <c r="BW85" s="137">
        <f>BW26/(IS!BW9*4)</f>
        <v>0.18177227972734156</v>
      </c>
      <c r="BX85" s="137">
        <f>BX26/(IS!BX9*4)</f>
        <v>0.15866792137181102</v>
      </c>
      <c r="BY85" s="136">
        <f>BY26/IS!BY9</f>
        <v>0.18690725458800345</v>
      </c>
      <c r="BZ85" s="137"/>
      <c r="CA85" s="348">
        <f>CA26/(IS!CA9*4)</f>
        <v>0.18633457645178475</v>
      </c>
      <c r="CB85" s="137">
        <f>CB26/(IS!CB9*4)</f>
        <v>0.18354856066720471</v>
      </c>
      <c r="CC85" s="137">
        <f>CC26/(IS!CC9*4)</f>
        <v>0.18462807819243462</v>
      </c>
      <c r="CD85" s="137">
        <f>CD26/(IS!CD9*4)</f>
        <v>0.14325962151817989</v>
      </c>
      <c r="CE85" s="136">
        <f>CE26/IS!CE9</f>
        <v>0.16725625271519889</v>
      </c>
      <c r="CF85" s="137"/>
      <c r="CG85" s="348">
        <f>CG26/(IS!CG9*4)</f>
        <v>0.17614964925954793</v>
      </c>
      <c r="CH85" s="137">
        <f>CH26/(IS!CH9*4)</f>
        <v>0.15991805254278138</v>
      </c>
      <c r="CI85" s="137">
        <f>CI26/(IS!CI9*4)</f>
        <v>0.16787190082644629</v>
      </c>
      <c r="CJ85" s="137">
        <f>CJ26/(IS!CJ9*4)</f>
        <v>0.15174363807728553</v>
      </c>
      <c r="CK85" s="1317">
        <f>CK26/IS!CK9</f>
        <v>0.18234328104649186</v>
      </c>
      <c r="CL85" s="137"/>
      <c r="CM85" s="2007">
        <f>CG85-0.006</f>
        <v>0.17014964925954792</v>
      </c>
      <c r="CN85" s="1977">
        <f t="shared" ref="CN85:CP85" si="54">CH85-0.006</f>
        <v>0.15391805254278138</v>
      </c>
      <c r="CO85" s="1977">
        <f t="shared" si="54"/>
        <v>0.16187190082644629</v>
      </c>
      <c r="CP85" s="1977">
        <f t="shared" si="54"/>
        <v>0.14574363807728552</v>
      </c>
      <c r="CQ85" s="1317">
        <f>CQ26/IS!CQ9</f>
        <v>0.174193766535581</v>
      </c>
      <c r="CR85" s="137"/>
      <c r="CS85" s="2007">
        <f>CM85-0.005</f>
        <v>0.16514964925954792</v>
      </c>
      <c r="CT85" s="1977">
        <f t="shared" si="45"/>
        <v>0.14891805254278137</v>
      </c>
      <c r="CU85" s="1977">
        <f t="shared" si="46"/>
        <v>0.15687190082644628</v>
      </c>
      <c r="CV85" s="1977">
        <f t="shared" si="47"/>
        <v>0.14074363807728552</v>
      </c>
      <c r="CW85" s="1317">
        <f>CW26/IS!CW9</f>
        <v>0.17121979297723955</v>
      </c>
      <c r="CY85" s="2007">
        <f>CS85-0.005</f>
        <v>0.16014964925954792</v>
      </c>
      <c r="CZ85" s="1977">
        <f t="shared" si="48"/>
        <v>0.14391805254278137</v>
      </c>
      <c r="DA85" s="1977">
        <f t="shared" si="49"/>
        <v>0.15187190082644628</v>
      </c>
      <c r="DB85" s="1977">
        <f t="shared" si="50"/>
        <v>0.13574363807728551</v>
      </c>
      <c r="DC85" s="1317">
        <f>DC26/IS!DC9</f>
        <v>0.16459232353424885</v>
      </c>
      <c r="DE85" s="2007">
        <f>CY85-0.005</f>
        <v>0.15514964925954791</v>
      </c>
      <c r="DF85" s="1977">
        <f t="shared" si="51"/>
        <v>0.13891805254278136</v>
      </c>
      <c r="DG85" s="1977">
        <f t="shared" si="52"/>
        <v>0.14687190082644627</v>
      </c>
      <c r="DH85" s="1977">
        <f t="shared" si="53"/>
        <v>0.13074363807728551</v>
      </c>
      <c r="DI85" s="1317">
        <f>DI26/IS!DI9</f>
        <v>0.15929234878814963</v>
      </c>
    </row>
    <row r="86" spans="1:119" ht="11.25" customHeight="1">
      <c r="A86" s="113"/>
      <c r="B86" s="88"/>
      <c r="C86" s="68"/>
      <c r="D86" s="88"/>
      <c r="E86" s="68"/>
      <c r="F86" s="88"/>
      <c r="G86" s="68"/>
      <c r="H86" s="88"/>
      <c r="I86" s="68"/>
      <c r="J86" s="88"/>
      <c r="K86" s="68"/>
      <c r="L86" s="88"/>
      <c r="M86" s="68"/>
      <c r="N86" s="88"/>
      <c r="O86" s="68"/>
      <c r="P86" s="88"/>
      <c r="Q86" s="68"/>
      <c r="R86" s="88"/>
      <c r="S86" s="88"/>
      <c r="T86" s="88"/>
      <c r="U86" s="88"/>
      <c r="V86" s="88"/>
      <c r="W86" s="88"/>
      <c r="X86" s="88"/>
      <c r="Y86" s="88"/>
      <c r="Z86" s="88"/>
      <c r="AA86" s="88"/>
      <c r="AB86" s="88"/>
      <c r="AC86" s="88"/>
      <c r="AD86" s="88"/>
      <c r="AE86" s="88"/>
      <c r="AF86" s="88"/>
      <c r="AG86" s="88"/>
      <c r="AH86" s="88"/>
      <c r="AI86" s="88"/>
      <c r="AJ86" s="88"/>
      <c r="AK86" s="88"/>
      <c r="AL86" s="88"/>
      <c r="AM86" s="88"/>
      <c r="AN86" s="88"/>
      <c r="AO86" s="88"/>
      <c r="AP86" s="88"/>
      <c r="AQ86" s="88"/>
      <c r="AR86" s="88"/>
      <c r="AS86" s="88"/>
      <c r="AT86" s="88"/>
      <c r="AU86" s="88"/>
      <c r="AV86" s="88"/>
      <c r="AW86" s="88"/>
      <c r="AX86" s="88"/>
      <c r="AY86" s="88"/>
      <c r="AZ86" s="88"/>
      <c r="BA86" s="88"/>
      <c r="BB86" s="88"/>
      <c r="BC86" s="88"/>
      <c r="BD86" s="88"/>
      <c r="BE86" s="88"/>
      <c r="BF86" s="88"/>
      <c r="BG86" s="88"/>
      <c r="BH86" s="88"/>
      <c r="BI86" s="88"/>
      <c r="BJ86" s="88"/>
      <c r="BK86" s="88"/>
      <c r="BL86" s="88"/>
      <c r="BM86" s="88"/>
      <c r="BN86" s="88"/>
      <c r="BO86" s="88"/>
      <c r="BP86" s="88"/>
      <c r="BQ86" s="88"/>
      <c r="BR86" s="88"/>
      <c r="BS86" s="88"/>
      <c r="BT86" s="88"/>
      <c r="BU86" s="88"/>
      <c r="BV86" s="88"/>
      <c r="BW86" s="88"/>
      <c r="BX86" s="88"/>
      <c r="BY86" s="88"/>
      <c r="BZ86" s="88"/>
      <c r="CA86" s="88"/>
      <c r="CB86" s="88"/>
      <c r="CC86" s="88"/>
      <c r="CD86" s="89"/>
      <c r="CE86" s="90"/>
      <c r="CF86" s="88"/>
      <c r="CG86" s="88"/>
      <c r="CH86" s="88"/>
      <c r="CI86" s="88"/>
      <c r="CJ86" s="89"/>
      <c r="CK86" s="90"/>
      <c r="CL86" s="88"/>
      <c r="CM86" s="88"/>
      <c r="CN86" s="88"/>
      <c r="CO86" s="88"/>
      <c r="CP86" s="89"/>
      <c r="CQ86" s="90"/>
      <c r="CR86" s="88"/>
      <c r="CS86" s="88"/>
      <c r="CT86" s="88"/>
      <c r="CU86" s="88"/>
      <c r="CV86" s="89"/>
      <c r="CW86" s="90"/>
      <c r="CY86" s="88"/>
      <c r="CZ86" s="88"/>
      <c r="DA86" s="88"/>
      <c r="DB86" s="89"/>
      <c r="DC86" s="90"/>
      <c r="DE86" s="88"/>
      <c r="DF86" s="88"/>
      <c r="DG86" s="88"/>
      <c r="DH86" s="89"/>
      <c r="DI86" s="90"/>
    </row>
    <row r="87" spans="1:119" ht="11.25" customHeight="1">
      <c r="A87" s="73" t="s">
        <v>120</v>
      </c>
      <c r="B87" s="91"/>
      <c r="C87" s="92"/>
      <c r="D87" s="91"/>
      <c r="E87" s="92"/>
      <c r="F87" s="91"/>
      <c r="G87" s="92"/>
      <c r="H87" s="91"/>
      <c r="I87" s="92"/>
      <c r="J87" s="91"/>
      <c r="K87" s="92"/>
      <c r="L87" s="91"/>
      <c r="M87" s="92"/>
      <c r="N87" s="91"/>
      <c r="O87" s="92"/>
      <c r="P87" s="91"/>
      <c r="Q87" s="92"/>
      <c r="R87" s="91"/>
      <c r="S87" s="91"/>
      <c r="T87" s="91"/>
      <c r="U87" s="91"/>
      <c r="V87" s="91"/>
      <c r="W87" s="91"/>
      <c r="X87" s="91"/>
      <c r="Y87" s="91"/>
      <c r="Z87" s="91"/>
      <c r="AA87" s="91"/>
      <c r="AB87" s="91"/>
      <c r="AC87" s="91"/>
      <c r="AD87" s="91"/>
      <c r="AE87" s="91"/>
      <c r="AF87" s="91"/>
      <c r="AG87" s="91"/>
      <c r="AH87" s="91"/>
      <c r="AI87" s="91"/>
      <c r="AJ87" s="91"/>
      <c r="AK87" s="91"/>
      <c r="AL87" s="91"/>
      <c r="AM87" s="91"/>
      <c r="AN87" s="91"/>
      <c r="AO87" s="91"/>
      <c r="AP87" s="91"/>
      <c r="AQ87" s="91"/>
      <c r="AR87" s="91"/>
      <c r="AS87" s="91"/>
      <c r="AT87" s="91"/>
      <c r="AU87" s="91"/>
      <c r="AV87" s="91"/>
      <c r="AW87" s="91"/>
      <c r="AX87" s="91"/>
      <c r="AY87" s="91"/>
      <c r="AZ87" s="91"/>
      <c r="BA87" s="91"/>
      <c r="BB87" s="91"/>
      <c r="BC87" s="91"/>
      <c r="BD87" s="91"/>
      <c r="BE87" s="91"/>
      <c r="BF87" s="91"/>
      <c r="BG87" s="91"/>
      <c r="BH87" s="91"/>
      <c r="BI87" s="91"/>
      <c r="BJ87" s="91"/>
      <c r="BK87" s="91"/>
      <c r="BL87" s="91"/>
      <c r="BM87" s="91"/>
      <c r="BN87" s="91"/>
      <c r="BO87" s="91"/>
      <c r="BP87" s="91"/>
      <c r="BQ87" s="91"/>
      <c r="BR87" s="91"/>
      <c r="BS87" s="91"/>
      <c r="BT87" s="91"/>
      <c r="BU87" s="91"/>
      <c r="BV87" s="91"/>
      <c r="BW87" s="91"/>
      <c r="BX87" s="91"/>
      <c r="BY87" s="91"/>
      <c r="BZ87" s="91"/>
      <c r="CA87" s="91"/>
      <c r="CB87" s="91"/>
      <c r="CC87" s="91"/>
      <c r="CD87" s="91"/>
      <c r="CE87" s="138"/>
      <c r="CF87" s="91"/>
      <c r="CG87" s="91"/>
      <c r="CH87" s="91"/>
      <c r="CI87" s="91"/>
      <c r="CJ87" s="91"/>
      <c r="CK87" s="138"/>
      <c r="CL87" s="91"/>
      <c r="CM87" s="91"/>
      <c r="CN87" s="91"/>
      <c r="CO87" s="91"/>
      <c r="CP87" s="91"/>
      <c r="CQ87" s="138"/>
      <c r="CR87" s="91"/>
      <c r="CS87" s="91"/>
      <c r="CT87" s="91"/>
      <c r="CU87" s="91"/>
      <c r="CV87" s="91"/>
      <c r="CW87" s="138"/>
      <c r="CY87" s="91"/>
      <c r="CZ87" s="91"/>
      <c r="DA87" s="91"/>
      <c r="DB87" s="91"/>
      <c r="DC87" s="138"/>
      <c r="DE87" s="91"/>
      <c r="DF87" s="91"/>
      <c r="DG87" s="91"/>
      <c r="DH87" s="91"/>
      <c r="DI87" s="138"/>
    </row>
    <row r="88" spans="1:119" ht="11.25" customHeight="1">
      <c r="A88" s="104" t="s">
        <v>121</v>
      </c>
      <c r="B88" s="105"/>
      <c r="C88" s="106"/>
      <c r="D88" s="105"/>
      <c r="E88" s="350">
        <f>C94</f>
        <v>10.340131000000001</v>
      </c>
      <c r="F88" s="105"/>
      <c r="G88" s="350">
        <f>E94</f>
        <v>10.058000000000002</v>
      </c>
      <c r="H88" s="156"/>
      <c r="I88" s="350">
        <f>G94</f>
        <v>124.17200000000001</v>
      </c>
      <c r="J88" s="156"/>
      <c r="K88" s="350">
        <f>I94</f>
        <v>127.54700000000001</v>
      </c>
      <c r="L88" s="156"/>
      <c r="M88" s="350">
        <f>K94</f>
        <v>185.398</v>
      </c>
      <c r="N88" s="156"/>
      <c r="O88" s="350">
        <f>M94</f>
        <v>202.42599999999996</v>
      </c>
      <c r="P88" s="156"/>
      <c r="Q88" s="350">
        <f>O94</f>
        <v>217.27499999999998</v>
      </c>
      <c r="R88" s="156"/>
      <c r="S88" s="351">
        <f>Q94</f>
        <v>229.40699999999995</v>
      </c>
      <c r="T88" s="156">
        <f>S94</f>
        <v>212.37399999999997</v>
      </c>
      <c r="U88" s="156">
        <f>T94</f>
        <v>218.07399999999996</v>
      </c>
      <c r="V88" s="156">
        <f>U94</f>
        <v>176.47099999999995</v>
      </c>
      <c r="W88" s="350">
        <f>Q94</f>
        <v>229.40699999999995</v>
      </c>
      <c r="X88" s="156"/>
      <c r="Y88" s="351">
        <f>W94</f>
        <v>191.46599999999995</v>
      </c>
      <c r="Z88" s="156">
        <f>Y94</f>
        <v>214.57799999999995</v>
      </c>
      <c r="AA88" s="156">
        <f>Z94</f>
        <v>221.64999999999992</v>
      </c>
      <c r="AB88" s="156">
        <f>AA94</f>
        <v>238.51599999999993</v>
      </c>
      <c r="AC88" s="350">
        <f>W94</f>
        <v>191.46599999999995</v>
      </c>
      <c r="AD88" s="156"/>
      <c r="AE88" s="351">
        <f>AC94</f>
        <v>635</v>
      </c>
      <c r="AF88" s="156">
        <f>AE94</f>
        <v>289.71299999999997</v>
      </c>
      <c r="AG88" s="156">
        <f>AF94</f>
        <v>308.82899999999995</v>
      </c>
      <c r="AH88" s="156">
        <f>AG94</f>
        <v>294.36999999999995</v>
      </c>
      <c r="AI88" s="350">
        <f>AC94</f>
        <v>635</v>
      </c>
      <c r="AJ88" s="156"/>
      <c r="AK88" s="351">
        <f>AI94</f>
        <v>311.90000000000003</v>
      </c>
      <c r="AL88" s="156">
        <f>AK94</f>
        <v>297</v>
      </c>
      <c r="AM88" s="156">
        <f>AL94</f>
        <v>335.29999999999995</v>
      </c>
      <c r="AN88" s="156">
        <f>AM94</f>
        <v>372.7</v>
      </c>
      <c r="AO88" s="350">
        <f>AI94</f>
        <v>311.90000000000003</v>
      </c>
      <c r="AP88" s="156"/>
      <c r="AQ88" s="351">
        <f>AO94</f>
        <v>417.2</v>
      </c>
      <c r="AR88" s="156">
        <f>AQ94</f>
        <v>416.29999999999995</v>
      </c>
      <c r="AS88" s="156">
        <f>AR94</f>
        <v>410.9</v>
      </c>
      <c r="AT88" s="156">
        <f>AS94</f>
        <v>491.79999999999995</v>
      </c>
      <c r="AU88" s="350">
        <f>AO94</f>
        <v>417.2</v>
      </c>
      <c r="AV88" s="156"/>
      <c r="AW88" s="351">
        <f>AU94</f>
        <v>524.69999999999993</v>
      </c>
      <c r="AX88" s="156">
        <f>AW94</f>
        <v>568.29999999999984</v>
      </c>
      <c r="AY88" s="156">
        <f>AX94</f>
        <v>627.39999999999986</v>
      </c>
      <c r="AZ88" s="156">
        <f>AY94</f>
        <v>599.49999999999977</v>
      </c>
      <c r="BA88" s="350">
        <f>AU94</f>
        <v>524.69999999999993</v>
      </c>
      <c r="BB88" s="156"/>
      <c r="BC88" s="351">
        <f>BA94</f>
        <v>621.5</v>
      </c>
      <c r="BD88" s="156">
        <f>BC94</f>
        <v>658.6</v>
      </c>
      <c r="BE88" s="156">
        <f>BD94</f>
        <v>638.69999999999993</v>
      </c>
      <c r="BF88" s="156">
        <f>BE94</f>
        <v>692.7</v>
      </c>
      <c r="BG88" s="350">
        <f>BA94</f>
        <v>621.5</v>
      </c>
      <c r="BH88" s="105"/>
      <c r="BI88" s="351">
        <f>BG94</f>
        <v>706.59999999999991</v>
      </c>
      <c r="BJ88" s="156">
        <f>BI94</f>
        <v>689.19999999999993</v>
      </c>
      <c r="BK88" s="156">
        <f>BJ94</f>
        <v>718.89999999999986</v>
      </c>
      <c r="BL88" s="156">
        <f>BK94</f>
        <v>777.09999999999991</v>
      </c>
      <c r="BM88" s="350">
        <f>BG94</f>
        <v>706.59999999999991</v>
      </c>
      <c r="BN88" s="105"/>
      <c r="BO88" s="351">
        <f>BM94</f>
        <v>846.10000000000014</v>
      </c>
      <c r="BP88" s="156">
        <f>BO94</f>
        <v>862.59999999999991</v>
      </c>
      <c r="BQ88" s="156">
        <f>BP94</f>
        <v>880.3</v>
      </c>
      <c r="BR88" s="156">
        <f>BQ94</f>
        <v>807.5</v>
      </c>
      <c r="BS88" s="350">
        <f>BM94</f>
        <v>846.10000000000014</v>
      </c>
      <c r="BT88" s="105"/>
      <c r="BU88" s="351">
        <f>BS94</f>
        <v>765.9000000000002</v>
      </c>
      <c r="BV88" s="156">
        <f>BU94</f>
        <v>715.79999999999984</v>
      </c>
      <c r="BW88" s="156">
        <f>BV94</f>
        <v>760.89999999999986</v>
      </c>
      <c r="BX88" s="156">
        <f>BW94</f>
        <v>760.29999999999984</v>
      </c>
      <c r="BY88" s="350">
        <f>BS94</f>
        <v>765.9000000000002</v>
      </c>
      <c r="BZ88" s="105"/>
      <c r="CA88" s="351">
        <f>BY94</f>
        <v>726.1</v>
      </c>
      <c r="CB88" s="156">
        <f>CA94</f>
        <v>702.09999999999991</v>
      </c>
      <c r="CC88" s="156">
        <f>CB94</f>
        <v>663.3</v>
      </c>
      <c r="CD88" s="156">
        <f>CC94</f>
        <v>693.89999999999986</v>
      </c>
      <c r="CE88" s="350">
        <f>BY94</f>
        <v>726.1</v>
      </c>
      <c r="CF88" s="105"/>
      <c r="CG88" s="351">
        <f>CE94</f>
        <v>686.4</v>
      </c>
      <c r="CH88" s="156">
        <f>CG94</f>
        <v>724.69999999999982</v>
      </c>
      <c r="CI88" s="156">
        <f>CH94</f>
        <v>755.69999999999982</v>
      </c>
      <c r="CJ88" s="156">
        <f>CI94</f>
        <v>731.8</v>
      </c>
      <c r="CK88" s="350">
        <f>CE94</f>
        <v>686.4</v>
      </c>
      <c r="CL88" s="105"/>
      <c r="CM88" s="351">
        <f>CK94</f>
        <v>725.39999999999986</v>
      </c>
      <c r="CN88" s="156">
        <f>CM94</f>
        <v>719.8317054366463</v>
      </c>
      <c r="CO88" s="156">
        <f>CN94</f>
        <v>715.68401742380797</v>
      </c>
      <c r="CP88" s="156">
        <f>CO94</f>
        <v>727.63697313780381</v>
      </c>
      <c r="CQ88" s="350">
        <f>CK94</f>
        <v>725.39999999999986</v>
      </c>
      <c r="CR88" s="105"/>
      <c r="CS88" s="351">
        <f>CQ94</f>
        <v>771.19380962084983</v>
      </c>
      <c r="CT88" s="156">
        <f>CS94</f>
        <v>771.10988952767605</v>
      </c>
      <c r="CU88" s="156">
        <f>CT94</f>
        <v>773.75270101162198</v>
      </c>
      <c r="CV88" s="156">
        <f>CU94</f>
        <v>777.44576666146827</v>
      </c>
      <c r="CW88" s="350">
        <f>CQ94</f>
        <v>771.19380962084983</v>
      </c>
      <c r="CY88" s="351">
        <f>CW94</f>
        <v>798.92422433425713</v>
      </c>
      <c r="CZ88" s="156">
        <f>CY94</f>
        <v>803.91706117322235</v>
      </c>
      <c r="DA88" s="156">
        <f>CZ94</f>
        <v>818.81481141652478</v>
      </c>
      <c r="DB88" s="156">
        <f>DA94</f>
        <v>835.39701194857957</v>
      </c>
      <c r="DC88" s="350">
        <f>CW94</f>
        <v>798.92422433425713</v>
      </c>
      <c r="DE88" s="351">
        <f>DC94</f>
        <v>869.57514138810029</v>
      </c>
      <c r="DF88" s="156">
        <f>DE94</f>
        <v>884.94908193333515</v>
      </c>
      <c r="DG88" s="156">
        <f>DF94</f>
        <v>898.35336855108983</v>
      </c>
      <c r="DH88" s="156">
        <f>DG94</f>
        <v>913.5010026071219</v>
      </c>
      <c r="DI88" s="350">
        <f>DC94</f>
        <v>869.57514138810029</v>
      </c>
    </row>
    <row r="89" spans="1:119" ht="11.25" customHeight="1">
      <c r="A89" s="139" t="s">
        <v>122</v>
      </c>
      <c r="B89" s="105"/>
      <c r="C89" s="107" t="s">
        <v>26</v>
      </c>
      <c r="D89" s="105"/>
      <c r="E89" s="107">
        <f>E35+E36+E37-C35-C36-C37</f>
        <v>0</v>
      </c>
      <c r="F89" s="105"/>
      <c r="G89" s="107">
        <f>G35+G36+G37-E35-E36-E37</f>
        <v>112.062</v>
      </c>
      <c r="H89" s="105"/>
      <c r="I89" s="107">
        <f>I35+I36+I37-G35-G36-G37</f>
        <v>1.6550000000000153</v>
      </c>
      <c r="J89" s="105"/>
      <c r="K89" s="107">
        <f>K35+K36+K37-I35-I36-I37</f>
        <v>58.048999999999978</v>
      </c>
      <c r="L89" s="105"/>
      <c r="M89" s="107">
        <f>M35+M36+M37-K35-K36-K37</f>
        <v>22.047999999999973</v>
      </c>
      <c r="N89" s="105"/>
      <c r="O89" s="107">
        <f>O35+O36+O37-M35-M36-M37</f>
        <v>14.453000000000003</v>
      </c>
      <c r="P89" s="105"/>
      <c r="Q89" s="107">
        <f>Q35+Q36+Q37-O35-O36-O37</f>
        <v>3.9599999999999795</v>
      </c>
      <c r="R89" s="105"/>
      <c r="S89" s="284">
        <f>S35+S36+S37-Q35-Q36-Q37</f>
        <v>-21.054999999999978</v>
      </c>
      <c r="T89" s="105">
        <f>T35+T36+T37-S35-S36-S37</f>
        <v>1.4939999999999998</v>
      </c>
      <c r="U89" s="105">
        <f>U35+U36+U37-T35-T36-T37</f>
        <v>-45.31</v>
      </c>
      <c r="V89" s="105">
        <f>V35+V36+V37-U35-U36-U37</f>
        <v>-3.3760000000000048</v>
      </c>
      <c r="W89" s="107">
        <f>SUM(S89:V89)</f>
        <v>-68.246999999999986</v>
      </c>
      <c r="X89" s="105"/>
      <c r="Y89" s="284">
        <f>Y35+Y36+Y37-W35-W36-W37</f>
        <v>6.1289999999999907</v>
      </c>
      <c r="Z89" s="105">
        <f>Z35+Z36+Z37-Y35-Y36-Y37</f>
        <v>-11.780000000000001</v>
      </c>
      <c r="AA89" s="105">
        <f>AA35+AA36+AA37-Z35-Z36-Z37</f>
        <v>-25.719999999999942</v>
      </c>
      <c r="AB89" s="105">
        <f>AB35+AB36+AB37-AA35-AA36-AA37</f>
        <v>84.790999999999968</v>
      </c>
      <c r="AC89" s="107">
        <f>SUM(Y89:AB89)</f>
        <v>53.420000000000016</v>
      </c>
      <c r="AD89" s="105"/>
      <c r="AE89" s="284">
        <f>AE35+AE36+AE37-AC35-AC36-AC37</f>
        <v>-372.68700000000001</v>
      </c>
      <c r="AF89" s="105">
        <f>AF35+AF36+AF37-AE35-AE36-AE37</f>
        <v>5.2160000000000366</v>
      </c>
      <c r="AG89" s="105">
        <f>AG35+AG36+AG37-AF35-AF36-AF37</f>
        <v>-21.759000000000015</v>
      </c>
      <c r="AH89" s="105">
        <f>AH35+AH36+AH37-AG35-AG36-AG37</f>
        <v>186.83</v>
      </c>
      <c r="AI89" s="107">
        <f>SUM(AE89:AH89)</f>
        <v>-202.4</v>
      </c>
      <c r="AJ89" s="105"/>
      <c r="AK89" s="284">
        <f>AK35+AK36+AK37-AI35-AI36-AI37</f>
        <v>-14.799999999999983</v>
      </c>
      <c r="AL89" s="105">
        <f>AL35+AL36+AL37-AK35-AK36-AK37</f>
        <v>21.500000000000028</v>
      </c>
      <c r="AM89" s="105">
        <f>AM35+AM36+AM37-AL35-AL36-AL37</f>
        <v>19.200000000000017</v>
      </c>
      <c r="AN89" s="105">
        <f>AN35+AN36+AN37-AM35-AM36-AM37</f>
        <v>-17.500000000000064</v>
      </c>
      <c r="AO89" s="107">
        <f>SUM(AK89:AN89)</f>
        <v>8.3999999999999986</v>
      </c>
      <c r="AP89" s="105"/>
      <c r="AQ89" s="284">
        <f>AQ35+AQ36+AQ37-AO35-AO36-AO37</f>
        <v>-17.200000000000045</v>
      </c>
      <c r="AR89" s="105">
        <f>AR35+AR36+AR37-AQ35-AQ36-AQ37</f>
        <v>-12.599999999999941</v>
      </c>
      <c r="AS89" s="105">
        <f>AS35+AS36+AS37-AR35-AR36-AR37</f>
        <v>47.300000000000011</v>
      </c>
      <c r="AT89" s="105">
        <f>AT35+AT36+AT37-AS35-AS36-AS37</f>
        <v>-4.3000000000000327</v>
      </c>
      <c r="AU89" s="107">
        <f>SUM(AQ89:AT89)</f>
        <v>13.199999999999992</v>
      </c>
      <c r="AV89" s="105"/>
      <c r="AW89" s="284">
        <f>AW35+AW36+AW37-AU35-AU36-AU37</f>
        <v>25.799999999999972</v>
      </c>
      <c r="AX89" s="105">
        <f>AX35+AX36+AX37-AW35-AW36-AW37</f>
        <v>31.999999999999901</v>
      </c>
      <c r="AY89" s="105">
        <f>AY35+AY36+AY37-AX35-AX36-AX37</f>
        <v>-35.199999999999989</v>
      </c>
      <c r="AZ89" s="105">
        <f>AZ35+AZ36+AZ37-AY35-AY36-AY37</f>
        <v>-8.1999999999998678</v>
      </c>
      <c r="BA89" s="107">
        <f>SUM(AW89:AZ89)</f>
        <v>14.400000000000013</v>
      </c>
      <c r="BB89" s="105"/>
      <c r="BC89" s="284">
        <f>BC35+BC36+BC37-BA35-BA36-BA37</f>
        <v>25.600000000000051</v>
      </c>
      <c r="BD89" s="105">
        <f>BD35+BD36+BD37-BC35-BC36-BC37</f>
        <v>-18.70000000000006</v>
      </c>
      <c r="BE89" s="105">
        <f>BE35+BE36+BE37-BD35-BD36-BD37</f>
        <v>13.200000000000003</v>
      </c>
      <c r="BF89" s="105">
        <f>BF35+BF36+BF37-BE35-BE36-BE37</f>
        <v>-7.8000000000001535</v>
      </c>
      <c r="BG89" s="107">
        <f>SUM(BC89:BF89)</f>
        <v>12.299999999999841</v>
      </c>
      <c r="BH89" s="105"/>
      <c r="BI89" s="284">
        <f>BI35+BI36+BI37-BG35-BG36-BG37</f>
        <v>5.7999999999999545</v>
      </c>
      <c r="BJ89" s="105">
        <f>BJ35+BJ36+BJ37-BI35-BI36-BI37</f>
        <v>1.7999999999999972</v>
      </c>
      <c r="BK89" s="105">
        <f>BK35+BK36+BK37-BJ35-BJ36-BJ37</f>
        <v>5.0000000000001563</v>
      </c>
      <c r="BL89" s="105">
        <f>BL35+BL36+BL37-BK35-BK36-BK37</f>
        <v>2.2000000000000384</v>
      </c>
      <c r="BM89" s="107">
        <f>SUM(BI89:BL89)</f>
        <v>14.800000000000146</v>
      </c>
      <c r="BN89" s="105"/>
      <c r="BO89" s="284">
        <f>BO35+BO36+BO37-BM35-BM36-BM37</f>
        <v>4.9999999999997584</v>
      </c>
      <c r="BP89" s="105">
        <f>BP35+BP36+BP37-BO35-BO36-BO37</f>
        <v>4.800000000000054</v>
      </c>
      <c r="BQ89" s="105">
        <f>BQ35+BQ36+BQ37-BP35-BP36-BP37</f>
        <v>4.6999999999999886</v>
      </c>
      <c r="BR89" s="105">
        <f>BR35+BR36+BR37-BQ35-BQ36-BQ37</f>
        <v>2.8000000000001535</v>
      </c>
      <c r="BS89" s="107">
        <f>SUM(BO89:BR89)</f>
        <v>17.299999999999955</v>
      </c>
      <c r="BT89" s="105"/>
      <c r="BU89" s="284">
        <f>BU35+BU36+BU37-BS35-BS36-BS37</f>
        <v>7.5999999999997101</v>
      </c>
      <c r="BV89" s="105">
        <f>BV35+BV36+BV37-BU35-BU36-BU37</f>
        <v>-12.999999999999957</v>
      </c>
      <c r="BW89" s="105">
        <f>BW35+BW36+BW37-BV35-BV36-BV37</f>
        <v>-4.4999999999999432</v>
      </c>
      <c r="BX89" s="105">
        <f>BX35+BX36+BX37-BW35-BW36-BW37</f>
        <v>-59.099999999999824</v>
      </c>
      <c r="BY89" s="107">
        <f>SUM(BU89:BX89)</f>
        <v>-69.000000000000014</v>
      </c>
      <c r="BZ89" s="105"/>
      <c r="CA89" s="284">
        <f>CA35+CA36+CA37-BY35-BY36-BY37</f>
        <v>-73.500000000000156</v>
      </c>
      <c r="CB89" s="105">
        <f>CB35+CB36+CB37-CA35-CA36-CA37</f>
        <v>-29.900000000000077</v>
      </c>
      <c r="CC89" s="105">
        <f>CC35+CC36+CC37-CB35-CB36-CB37</f>
        <v>-22.800000000000054</v>
      </c>
      <c r="CD89" s="105">
        <f>CD35+CD36+CD37-CC35-CC36-CC37</f>
        <v>-9.5999999999997669</v>
      </c>
      <c r="CE89" s="107">
        <f>SUM(CA89:CD89)</f>
        <v>-135.80000000000007</v>
      </c>
      <c r="CF89" s="105"/>
      <c r="CG89" s="284">
        <f>CG35+CG36+CG37-CE35-CE36-CE37</f>
        <v>7.3999999999997925</v>
      </c>
      <c r="CH89" s="105">
        <f>CH35+CH36+CH37-CG35-CG36-CG37</f>
        <v>-33.200000000000045</v>
      </c>
      <c r="CI89" s="105">
        <f>CI35+CI36+CI37-CH35-CH36-CH37</f>
        <v>-78.099999999999966</v>
      </c>
      <c r="CJ89" s="105">
        <f>CJ35+CJ36+CJ37-CI35-CI36-CI37</f>
        <v>-16.799999999999756</v>
      </c>
      <c r="CK89" s="107">
        <f>SUM(CG89:CJ89)</f>
        <v>-120.69999999999997</v>
      </c>
      <c r="CL89" s="105"/>
      <c r="CM89" s="284">
        <f>CM35+CM36+CM37-CK35-CK36-CK37</f>
        <v>-32.489329935822326</v>
      </c>
      <c r="CN89" s="105">
        <f>CN35+CN36+CN37-CM35-CM36-CM37</f>
        <v>-32.472086431738973</v>
      </c>
      <c r="CO89" s="105">
        <f>CO35+CO36+CO37-CN35-CN36-CN37</f>
        <v>-32.432842612684595</v>
      </c>
      <c r="CP89" s="105">
        <f>CP35+CP36+CP37-CO35-CO36-CO37</f>
        <v>-32.074763837206035</v>
      </c>
      <c r="CQ89" s="107">
        <f>SUM(CM89:CP89)</f>
        <v>-129.46902281745193</v>
      </c>
      <c r="CR89" s="105"/>
      <c r="CS89" s="284">
        <f>CS35+CS36+CS37-CQ35-CQ36-CQ37</f>
        <v>-42.54191778880363</v>
      </c>
      <c r="CT89" s="105">
        <f>CT35+CT36+CT37-CS35-CS36-CS37</f>
        <v>-42.495687094761166</v>
      </c>
      <c r="CU89" s="105">
        <f>CU35+CU36+CU37-CT35-CT36-CT37</f>
        <v>-42.484352886056087</v>
      </c>
      <c r="CV89" s="105">
        <f>CV35+CV36+CV37-CU35-CU36-CU37</f>
        <v>-42.052959443729748</v>
      </c>
      <c r="CW89" s="107">
        <f>SUM(CS89:CV89)</f>
        <v>-169.57491721335063</v>
      </c>
      <c r="CY89" s="284">
        <f>CY35+CY36+CY37-CW35-CW36-CW37</f>
        <v>-42.573353823412106</v>
      </c>
      <c r="CZ89" s="105">
        <f>CZ35+CZ36+CZ37-CY35-CY36-CY37</f>
        <v>-42.550883824545053</v>
      </c>
      <c r="DA89" s="105">
        <f>DA35+DA36+DA37-CZ35-CZ36-CZ37</f>
        <v>-42.497836697446701</v>
      </c>
      <c r="DB89" s="105">
        <f>DB35+DB36+DB37-DA35-DA36-DA37</f>
        <v>-42.081795979823283</v>
      </c>
      <c r="DC89" s="107">
        <f>SUM(CY89:DB89)</f>
        <v>-169.70387032522714</v>
      </c>
      <c r="DE89" s="284">
        <f>DE35+DE36+DE37-DC35-DC36-DC37</f>
        <v>-42.614818089136008</v>
      </c>
      <c r="DF89" s="105">
        <f>DF35+DF36+DF37-DE35-DE36-DE37</f>
        <v>-42.564725864984752</v>
      </c>
      <c r="DG89" s="105">
        <f>DG35+DG36+DG37-DF35-DF36-DF37</f>
        <v>-42.537020716222059</v>
      </c>
      <c r="DH89" s="105">
        <f>DH35+DH36+DH37-DG35-DG36-DG37</f>
        <v>-42.08541357192766</v>
      </c>
      <c r="DI89" s="107">
        <f>SUM(DE89:DH89)</f>
        <v>-169.80197824227048</v>
      </c>
    </row>
    <row r="90" spans="1:119" ht="11.25" customHeight="1">
      <c r="A90" s="139" t="s">
        <v>52</v>
      </c>
      <c r="B90" s="105"/>
      <c r="C90" s="107"/>
      <c r="D90" s="105"/>
      <c r="E90" s="1171">
        <f>IS!E34</f>
        <v>1.2490000000000041</v>
      </c>
      <c r="F90" s="1172"/>
      <c r="G90" s="1171">
        <f>IS!G34</f>
        <v>2.2499999999999996</v>
      </c>
      <c r="H90" s="1172"/>
      <c r="I90" s="1171">
        <f>IS!I34</f>
        <v>3.637000000000008</v>
      </c>
      <c r="J90" s="1172"/>
      <c r="K90" s="1171">
        <f>IS!K34</f>
        <v>-6.8020000000000156</v>
      </c>
      <c r="L90" s="1172"/>
      <c r="M90" s="1171">
        <f>IS!M34</f>
        <v>-17.553999999999974</v>
      </c>
      <c r="N90" s="1172"/>
      <c r="O90" s="1171">
        <f>IS!O34</f>
        <v>-7.8309999999999951</v>
      </c>
      <c r="P90" s="1172"/>
      <c r="Q90" s="1171">
        <f>IS!Q34</f>
        <v>9.7469999999999963</v>
      </c>
      <c r="R90" s="1172"/>
      <c r="S90" s="1173">
        <f>IS!S34</f>
        <v>3.2589999999999959</v>
      </c>
      <c r="T90" s="1172">
        <f>IS!T34</f>
        <v>2.5379999999999887</v>
      </c>
      <c r="U90" s="1172">
        <f>IS!U34</f>
        <v>2.9760000000000075</v>
      </c>
      <c r="V90" s="1172">
        <f>IS!V34</f>
        <v>9.7080000000000233</v>
      </c>
      <c r="W90" s="107">
        <f>SUM(S90:V90)</f>
        <v>18.481000000000016</v>
      </c>
      <c r="X90" s="105"/>
      <c r="Y90" s="1173">
        <f>IS!Y34</f>
        <v>14.350000000000007</v>
      </c>
      <c r="Z90" s="1172">
        <f>IS!Z34</f>
        <v>17.656999999999986</v>
      </c>
      <c r="AA90" s="1172">
        <f>IS!AA34</f>
        <v>26.670999999999964</v>
      </c>
      <c r="AB90" s="1172">
        <f>IS!AB34</f>
        <v>40.222000000000065</v>
      </c>
      <c r="AC90" s="107">
        <f>SUM(Y90:AB90)</f>
        <v>98.90000000000002</v>
      </c>
      <c r="AD90" s="105"/>
      <c r="AE90" s="1173">
        <f>IS!AE34</f>
        <v>-0.80000000000000249</v>
      </c>
      <c r="AF90" s="1172">
        <f>IS!AF34</f>
        <v>21.7</v>
      </c>
      <c r="AG90" s="1172">
        <f>IS!AG34</f>
        <v>17.8</v>
      </c>
      <c r="AH90" s="1172">
        <f>IS!AH34</f>
        <v>26.199999999999907</v>
      </c>
      <c r="AI90" s="107">
        <f>SUM(AE90:AH90)</f>
        <v>64.899999999999906</v>
      </c>
      <c r="AJ90" s="105"/>
      <c r="AK90" s="1173">
        <f>IS!AK34</f>
        <v>8.3999999999999808</v>
      </c>
      <c r="AL90" s="1172">
        <f>IS!AL34</f>
        <v>12.899999999999986</v>
      </c>
      <c r="AM90" s="1172">
        <f>IS!AM34</f>
        <v>16.399999999999952</v>
      </c>
      <c r="AN90" s="1172">
        <f>IS!AN34</f>
        <v>43.499999999999972</v>
      </c>
      <c r="AO90" s="107">
        <f>SUM(AK90:AN90)</f>
        <v>81.199999999999889</v>
      </c>
      <c r="AP90" s="105"/>
      <c r="AQ90" s="1173">
        <f>IS!AQ34</f>
        <v>16.100000000000019</v>
      </c>
      <c r="AR90" s="1172">
        <f>IS!AR34</f>
        <v>22.599999999999966</v>
      </c>
      <c r="AS90" s="1172">
        <f>IS!AS34</f>
        <v>27.400000000000002</v>
      </c>
      <c r="AT90" s="1172">
        <f>IS!AT34</f>
        <v>29.29999999999994</v>
      </c>
      <c r="AU90" s="107">
        <f>SUM(AQ90:AT90)</f>
        <v>95.399999999999935</v>
      </c>
      <c r="AV90" s="105"/>
      <c r="AW90" s="1173">
        <f>IS!AW34</f>
        <v>11.299999999999997</v>
      </c>
      <c r="AX90" s="1172">
        <f>IS!AX34</f>
        <v>22.100000000000108</v>
      </c>
      <c r="AY90" s="1172">
        <f>IS!AY34</f>
        <v>19.79999999999999</v>
      </c>
      <c r="AZ90" s="1172">
        <f>IS!AZ34</f>
        <v>39.099999999999817</v>
      </c>
      <c r="BA90" s="107">
        <f>SUM(AW90:AZ90)</f>
        <v>92.299999999999912</v>
      </c>
      <c r="BB90" s="105"/>
      <c r="BC90" s="1173">
        <f>IS!BC34</f>
        <v>15.099999999999966</v>
      </c>
      <c r="BD90" s="1172">
        <f>IS!BD34</f>
        <v>9.900000000000027</v>
      </c>
      <c r="BE90" s="1172">
        <f>IS!BE34</f>
        <v>39.700000000000017</v>
      </c>
      <c r="BF90" s="1172">
        <f>IS!BF34</f>
        <v>12.800000000000111</v>
      </c>
      <c r="BG90" s="107">
        <f>SUM(BC90:BF90)</f>
        <v>77.500000000000128</v>
      </c>
      <c r="BH90" s="105"/>
      <c r="BI90" s="1173">
        <f>IS!BI34</f>
        <v>5.4000000000000501</v>
      </c>
      <c r="BJ90" s="1172">
        <f>IS!BJ34</f>
        <v>22.899999999999977</v>
      </c>
      <c r="BK90" s="1172">
        <f>IS!BK34</f>
        <v>16.599999999999952</v>
      </c>
      <c r="BL90" s="1172">
        <f>IS!BL34</f>
        <v>35.200000000000088</v>
      </c>
      <c r="BM90" s="107">
        <f>SUM(BI90:BL90)</f>
        <v>80.100000000000065</v>
      </c>
      <c r="BN90" s="105"/>
      <c r="BO90" s="1173">
        <f>IS!BO34</f>
        <v>8.700000000000049</v>
      </c>
      <c r="BP90" s="1172">
        <f>IS!BP34</f>
        <v>16.399999999999956</v>
      </c>
      <c r="BQ90" s="1172">
        <f>IS!BQ34</f>
        <v>5.4999999999999751</v>
      </c>
      <c r="BR90" s="1172">
        <f>IS!BR34</f>
        <v>26.100000000000101</v>
      </c>
      <c r="BS90" s="107">
        <f>SUM(BO90:BR90)</f>
        <v>56.700000000000081</v>
      </c>
      <c r="BT90" s="105"/>
      <c r="BU90" s="1173">
        <f>IS!BU34</f>
        <v>6.5000000000000107</v>
      </c>
      <c r="BV90" s="1172">
        <f>IS!BV34</f>
        <v>21.899999999999981</v>
      </c>
      <c r="BW90" s="1172">
        <f>IS!BW34</f>
        <v>11.800000000000008</v>
      </c>
      <c r="BX90" s="1172">
        <f>IS!BX34</f>
        <v>61.39999999999992</v>
      </c>
      <c r="BY90" s="107">
        <f>SUM(BU90:BX90)</f>
        <v>101.59999999999992</v>
      </c>
      <c r="BZ90" s="105"/>
      <c r="CA90" s="1173">
        <f>IS!CA34</f>
        <v>23.600000000000041</v>
      </c>
      <c r="CB90" s="1172">
        <f>IS!CB34</f>
        <v>14.500000000000057</v>
      </c>
      <c r="CC90" s="1172">
        <f>IS!CC34</f>
        <v>46.499999999999964</v>
      </c>
      <c r="CD90" s="1172">
        <f>IS!CD34</f>
        <v>68.999999999999943</v>
      </c>
      <c r="CE90" s="107">
        <f>SUM(CA90:CD90)</f>
        <v>153.6</v>
      </c>
      <c r="CF90" s="105"/>
      <c r="CG90" s="1173">
        <f>IS!CG34</f>
        <v>21.599999999999987</v>
      </c>
      <c r="CH90" s="1172">
        <f>IS!CH34</f>
        <v>23.399999999999988</v>
      </c>
      <c r="CI90" s="1172">
        <f>IS!CI34</f>
        <v>36.99999999999995</v>
      </c>
      <c r="CJ90" s="1172">
        <f>IS!CJ34</f>
        <v>-3.3999999999997783</v>
      </c>
      <c r="CK90" s="107">
        <f>SUM(CG90:CJ90)</f>
        <v>78.600000000000136</v>
      </c>
      <c r="CL90" s="105"/>
      <c r="CM90" s="1173">
        <f>IS!CM34</f>
        <v>26.921035372468715</v>
      </c>
      <c r="CN90" s="1172">
        <f>IS!CN34</f>
        <v>28.324398418900657</v>
      </c>
      <c r="CO90" s="1172">
        <f>IS!CO34</f>
        <v>44.38579832668038</v>
      </c>
      <c r="CP90" s="1172">
        <f>IS!CP34</f>
        <v>75.631600320252147</v>
      </c>
      <c r="CQ90" s="107">
        <f>SUM(CM90:CP90)</f>
        <v>175.2628324383019</v>
      </c>
      <c r="CR90" s="105"/>
      <c r="CS90" s="1173">
        <f>IS!CS34</f>
        <v>42.457997695629821</v>
      </c>
      <c r="CT90" s="1172">
        <f>IS!CT34</f>
        <v>45.138498578707043</v>
      </c>
      <c r="CU90" s="1172">
        <f>IS!CU34</f>
        <v>46.177418535902319</v>
      </c>
      <c r="CV90" s="1172">
        <f>IS!CV34</f>
        <v>63.53141711651871</v>
      </c>
      <c r="CW90" s="107">
        <f>SUM(CS90:CV90)</f>
        <v>197.3053319267579</v>
      </c>
      <c r="CY90" s="1173">
        <f>IS!CY34</f>
        <v>47.566190662377402</v>
      </c>
      <c r="CZ90" s="1172">
        <f>IS!CZ34</f>
        <v>57.448634067847493</v>
      </c>
      <c r="DA90" s="1172">
        <f>IS!DA34</f>
        <v>59.080037229501542</v>
      </c>
      <c r="DB90" s="1172">
        <f>IS!DB34</f>
        <v>76.259925419343929</v>
      </c>
      <c r="DC90" s="107">
        <f>SUM(CY90:DB90)</f>
        <v>240.35478737907033</v>
      </c>
      <c r="DE90" s="1173">
        <f>IS!DE34</f>
        <v>57.988758634370782</v>
      </c>
      <c r="DF90" s="1172">
        <f>IS!DF34</f>
        <v>55.969012482739458</v>
      </c>
      <c r="DG90" s="1172">
        <f>IS!DG34</f>
        <v>57.684654772254106</v>
      </c>
      <c r="DH90" s="1172">
        <f>IS!DH34</f>
        <v>78.00939284800188</v>
      </c>
      <c r="DI90" s="107">
        <f>SUM(DE90:DH90)</f>
        <v>249.65181873736623</v>
      </c>
    </row>
    <row r="91" spans="1:119" ht="11.25" customHeight="1">
      <c r="A91" s="139" t="s">
        <v>123</v>
      </c>
      <c r="B91" s="105"/>
      <c r="C91" s="107"/>
      <c r="D91" s="105"/>
      <c r="E91" s="1189">
        <v>0</v>
      </c>
      <c r="F91" s="105"/>
      <c r="G91" s="1189">
        <v>0</v>
      </c>
      <c r="H91" s="105"/>
      <c r="I91" s="1189">
        <v>0</v>
      </c>
      <c r="J91" s="105"/>
      <c r="K91" s="1189">
        <v>0</v>
      </c>
      <c r="L91" s="105"/>
      <c r="M91" s="1189">
        <v>0</v>
      </c>
      <c r="N91" s="105"/>
      <c r="O91" s="1189">
        <v>0</v>
      </c>
      <c r="P91" s="140"/>
      <c r="Q91" s="1189">
        <v>0</v>
      </c>
      <c r="R91" s="140"/>
      <c r="S91" s="1190">
        <v>0</v>
      </c>
      <c r="T91" s="1191">
        <v>0</v>
      </c>
      <c r="U91" s="1191">
        <v>0</v>
      </c>
      <c r="V91" s="1191">
        <v>0</v>
      </c>
      <c r="W91" s="107">
        <f>SUM(S91:V91)</f>
        <v>0</v>
      </c>
      <c r="X91" s="140"/>
      <c r="Y91" s="1190">
        <v>0</v>
      </c>
      <c r="Z91" s="1191">
        <v>0</v>
      </c>
      <c r="AA91" s="1191">
        <v>0</v>
      </c>
      <c r="AB91" s="1191">
        <v>0</v>
      </c>
      <c r="AC91" s="107">
        <f>SUM(Y91:AB91)</f>
        <v>0</v>
      </c>
      <c r="AD91" s="140"/>
      <c r="AE91" s="1190">
        <v>0</v>
      </c>
      <c r="AF91" s="1191">
        <v>0</v>
      </c>
      <c r="AG91" s="1191">
        <v>0</v>
      </c>
      <c r="AH91" s="1191">
        <v>0</v>
      </c>
      <c r="AI91" s="107">
        <f>SUM(AE91:AH91)</f>
        <v>0</v>
      </c>
      <c r="AJ91" s="140"/>
      <c r="AK91" s="1190">
        <v>0</v>
      </c>
      <c r="AL91" s="1191">
        <v>0</v>
      </c>
      <c r="AM91" s="1191">
        <v>0</v>
      </c>
      <c r="AN91" s="1191">
        <v>0</v>
      </c>
      <c r="AO91" s="107">
        <f>SUM(AK91:AN91)</f>
        <v>0</v>
      </c>
      <c r="AP91" s="140"/>
      <c r="AQ91" s="1190">
        <v>0</v>
      </c>
      <c r="AR91" s="1191">
        <v>0</v>
      </c>
      <c r="AS91" s="1191">
        <v>0</v>
      </c>
      <c r="AT91" s="1191">
        <v>0</v>
      </c>
      <c r="AU91" s="107">
        <f>SUM(AQ91:AT91)</f>
        <v>0</v>
      </c>
      <c r="AV91" s="140"/>
      <c r="AW91" s="1190">
        <v>0</v>
      </c>
      <c r="AX91" s="1191">
        <v>0</v>
      </c>
      <c r="AY91" s="1191">
        <v>0</v>
      </c>
      <c r="AZ91" s="1191">
        <v>0</v>
      </c>
      <c r="BA91" s="107">
        <f>SUM(AW91:AZ91)</f>
        <v>0</v>
      </c>
      <c r="BB91" s="140"/>
      <c r="BC91" s="1190">
        <v>0</v>
      </c>
      <c r="BD91" s="1191">
        <v>0</v>
      </c>
      <c r="BE91" s="1191">
        <v>0</v>
      </c>
      <c r="BF91" s="1191">
        <v>0</v>
      </c>
      <c r="BG91" s="107">
        <f>SUM(BC91:BF91)</f>
        <v>0</v>
      </c>
      <c r="BH91" s="310"/>
      <c r="BI91" s="1190">
        <v>0</v>
      </c>
      <c r="BJ91" s="1191">
        <v>0</v>
      </c>
      <c r="BK91" s="1191">
        <v>0</v>
      </c>
      <c r="BL91" s="1191">
        <v>0</v>
      </c>
      <c r="BM91" s="107">
        <f>SUM(BI91:BL91)</f>
        <v>0</v>
      </c>
      <c r="BN91" s="310"/>
      <c r="BO91" s="1190">
        <v>0</v>
      </c>
      <c r="BP91" s="1191">
        <v>0</v>
      </c>
      <c r="BQ91" s="1191">
        <v>0</v>
      </c>
      <c r="BR91" s="1191">
        <v>0</v>
      </c>
      <c r="BS91" s="107">
        <f>SUM(BO91:BR91)</f>
        <v>0</v>
      </c>
      <c r="BT91" s="310"/>
      <c r="BU91" s="1190">
        <v>0</v>
      </c>
      <c r="BV91" s="1191">
        <v>0</v>
      </c>
      <c r="BW91" s="1191">
        <v>0</v>
      </c>
      <c r="BX91" s="1191">
        <v>0</v>
      </c>
      <c r="BY91" s="107">
        <f>SUM(BU91:BX91)</f>
        <v>0</v>
      </c>
      <c r="BZ91" s="310"/>
      <c r="CA91" s="1190">
        <v>0</v>
      </c>
      <c r="CB91" s="1191">
        <v>0</v>
      </c>
      <c r="CC91" s="1191">
        <v>0</v>
      </c>
      <c r="CD91" s="1191">
        <v>0</v>
      </c>
      <c r="CE91" s="107">
        <f>SUM(CA91:CD91)</f>
        <v>0</v>
      </c>
      <c r="CF91" s="310"/>
      <c r="CG91" s="1190">
        <v>0</v>
      </c>
      <c r="CH91" s="1191">
        <v>0</v>
      </c>
      <c r="CI91" s="1191">
        <v>0</v>
      </c>
      <c r="CJ91" s="1191">
        <v>0</v>
      </c>
      <c r="CK91" s="107">
        <f>SUM(CG91:CJ91)</f>
        <v>0</v>
      </c>
      <c r="CL91" s="310"/>
      <c r="CM91" s="1190">
        <v>0</v>
      </c>
      <c r="CN91" s="1191">
        <v>0</v>
      </c>
      <c r="CO91" s="1191">
        <v>0</v>
      </c>
      <c r="CP91" s="1191">
        <v>0</v>
      </c>
      <c r="CQ91" s="107">
        <f>SUM(CM91:CP91)</f>
        <v>0</v>
      </c>
      <c r="CR91" s="310"/>
      <c r="CS91" s="1190">
        <v>0</v>
      </c>
      <c r="CT91" s="1191">
        <v>0</v>
      </c>
      <c r="CU91" s="1191">
        <v>0</v>
      </c>
      <c r="CV91" s="1191">
        <v>0</v>
      </c>
      <c r="CW91" s="107">
        <f>SUM(CS91:CV91)</f>
        <v>0</v>
      </c>
      <c r="CY91" s="1190">
        <v>0</v>
      </c>
      <c r="CZ91" s="1191">
        <v>0</v>
      </c>
      <c r="DA91" s="1191">
        <v>0</v>
      </c>
      <c r="DB91" s="1191">
        <v>0</v>
      </c>
      <c r="DC91" s="107">
        <f>SUM(CY91:DB91)</f>
        <v>0</v>
      </c>
      <c r="DE91" s="1190">
        <v>0</v>
      </c>
      <c r="DF91" s="1191">
        <v>0</v>
      </c>
      <c r="DG91" s="1191">
        <v>0</v>
      </c>
      <c r="DH91" s="1191">
        <v>0</v>
      </c>
      <c r="DI91" s="107">
        <f>SUM(DE91:DH91)</f>
        <v>0</v>
      </c>
    </row>
    <row r="92" spans="1:119" ht="11.25" customHeight="1">
      <c r="A92" s="139" t="s">
        <v>124</v>
      </c>
      <c r="B92" s="105"/>
      <c r="C92" s="107"/>
      <c r="D92" s="105"/>
      <c r="E92" s="107">
        <f>E39-C39</f>
        <v>-1.5311720000000002</v>
      </c>
      <c r="F92" s="105"/>
      <c r="G92" s="107">
        <f>G39-E39</f>
        <v>-0.19799999999999995</v>
      </c>
      <c r="H92" s="105"/>
      <c r="I92" s="107">
        <f>I39-G39</f>
        <v>-1.9170000000000003</v>
      </c>
      <c r="J92" s="105"/>
      <c r="K92" s="107">
        <f>K39-I39</f>
        <v>7.6910000000000007</v>
      </c>
      <c r="L92" s="105"/>
      <c r="M92" s="107">
        <f>M39-K39</f>
        <v>13.749000000000001</v>
      </c>
      <c r="N92" s="105"/>
      <c r="O92" s="107">
        <f>O39-M39</f>
        <v>8.2270000000000003</v>
      </c>
      <c r="P92" s="105"/>
      <c r="Q92" s="107">
        <f>Q39-O39</f>
        <v>-13.004</v>
      </c>
      <c r="R92" s="105"/>
      <c r="S92" s="284">
        <f>S39-Q39</f>
        <v>0.7629999999999999</v>
      </c>
      <c r="T92" s="105">
        <f>T39-S39</f>
        <v>1.6679999999999993</v>
      </c>
      <c r="U92" s="105">
        <f>U39-T39</f>
        <v>0.73099999999999987</v>
      </c>
      <c r="V92" s="105">
        <f>V39-U39</f>
        <v>8.6629999999999985</v>
      </c>
      <c r="W92" s="107">
        <f>SUM(S92:V92)</f>
        <v>11.824999999999998</v>
      </c>
      <c r="X92" s="105"/>
      <c r="Y92" s="284">
        <f>Y39-W39</f>
        <v>2.6329999999999991</v>
      </c>
      <c r="Z92" s="105">
        <f>Z39-Y39</f>
        <v>1.1950000000000003</v>
      </c>
      <c r="AA92" s="105">
        <f>AA39-Z39</f>
        <v>15.915000000000003</v>
      </c>
      <c r="AB92" s="105">
        <f>AB39-AA39</f>
        <v>105.238</v>
      </c>
      <c r="AC92" s="107">
        <f>SUM(Y92:AB92)</f>
        <v>124.98099999999999</v>
      </c>
      <c r="AD92" s="105"/>
      <c r="AE92" s="284">
        <f>AE39-AC39</f>
        <v>28.199999999999989</v>
      </c>
      <c r="AF92" s="105">
        <f>AF39-AE39</f>
        <v>-7.8000000000000114</v>
      </c>
      <c r="AG92" s="105">
        <f>AG39-AF39</f>
        <v>-10.5</v>
      </c>
      <c r="AH92" s="105">
        <f>AH39-AG39</f>
        <v>-20.599999999999966</v>
      </c>
      <c r="AI92" s="107">
        <f>SUM(AE92:AH92)</f>
        <v>-10.699999999999989</v>
      </c>
      <c r="AJ92" s="105"/>
      <c r="AK92" s="284">
        <f>AK39-AI39</f>
        <v>-8.5</v>
      </c>
      <c r="AL92" s="105">
        <f>AL39-AK39</f>
        <v>3.9000000000000057</v>
      </c>
      <c r="AM92" s="105">
        <f>AM39-AL39</f>
        <v>1.8000000000000114</v>
      </c>
      <c r="AN92" s="105">
        <f>AN39-AM39</f>
        <v>18.499999999999972</v>
      </c>
      <c r="AO92" s="107">
        <f>SUM(AK92:AN92)</f>
        <v>15.699999999999989</v>
      </c>
      <c r="AP92" s="105"/>
      <c r="AQ92" s="284">
        <f>AQ39-AO39</f>
        <v>0.19999999999998863</v>
      </c>
      <c r="AR92" s="105">
        <f>AR39-AQ39</f>
        <v>-15.400000000000006</v>
      </c>
      <c r="AS92" s="105">
        <f>AS39-AR39</f>
        <v>6.1999999999999886</v>
      </c>
      <c r="AT92" s="105">
        <f>AT39-AS39</f>
        <v>7.9000000000000341</v>
      </c>
      <c r="AU92" s="107">
        <f>SUM(AQ92:AT92)</f>
        <v>-1.0999999999999943</v>
      </c>
      <c r="AV92" s="105"/>
      <c r="AW92" s="284">
        <f>AW39-AU39</f>
        <v>6.5</v>
      </c>
      <c r="AX92" s="105">
        <f>AX39-AW39</f>
        <v>5</v>
      </c>
      <c r="AY92" s="105">
        <f>AY39-AX39</f>
        <v>-12.5</v>
      </c>
      <c r="AZ92" s="105">
        <f>AZ39-AY39</f>
        <v>-8.9000000000000057</v>
      </c>
      <c r="BA92" s="107">
        <f>SUM(AW92:AZ92)</f>
        <v>-9.9000000000000057</v>
      </c>
      <c r="BB92" s="105"/>
      <c r="BC92" s="284">
        <f>BC39-BA39</f>
        <v>-3.5999999999999943</v>
      </c>
      <c r="BD92" s="105">
        <f>BD39-BC39</f>
        <v>-11.100000000000009</v>
      </c>
      <c r="BE92" s="105">
        <f>BE39-BD39</f>
        <v>1.1000000000000085</v>
      </c>
      <c r="BF92" s="105">
        <f>BF39-BE39</f>
        <v>8.9000000000000057</v>
      </c>
      <c r="BG92" s="107">
        <f>SUM(BC92:BF92)</f>
        <v>-4.6999999999999886</v>
      </c>
      <c r="BH92" s="105"/>
      <c r="BI92" s="284">
        <f>BI39-BG39</f>
        <v>-28.600000000000009</v>
      </c>
      <c r="BJ92" s="105">
        <f>BJ39-BI39</f>
        <v>5</v>
      </c>
      <c r="BK92" s="105">
        <f>BK39-BJ39</f>
        <v>36.600000000000009</v>
      </c>
      <c r="BL92" s="105">
        <f>BL39-BK39</f>
        <v>31.599999999999994</v>
      </c>
      <c r="BM92" s="107">
        <f>SUM(BI92:BL92)</f>
        <v>44.599999999999994</v>
      </c>
      <c r="BN92" s="105"/>
      <c r="BO92" s="284">
        <f>BO39-BM39</f>
        <v>2.7999999999999829</v>
      </c>
      <c r="BP92" s="105">
        <f>BP39-BO39</f>
        <v>-3.5</v>
      </c>
      <c r="BQ92" s="105">
        <f>BQ39-BP39</f>
        <v>-82.999999999999986</v>
      </c>
      <c r="BR92" s="105">
        <f>BR39-BQ39</f>
        <v>-70.5</v>
      </c>
      <c r="BS92" s="107">
        <f>SUM(BO92:BR92)</f>
        <v>-154.19999999999999</v>
      </c>
      <c r="BT92" s="105"/>
      <c r="BU92" s="284">
        <f>BU39-BS39</f>
        <v>-64.2</v>
      </c>
      <c r="BV92" s="105">
        <f>BV39-BU39</f>
        <v>36.200000000000003</v>
      </c>
      <c r="BW92" s="105">
        <f>BW39-BV39</f>
        <v>-7.9</v>
      </c>
      <c r="BX92" s="105">
        <f>BX39-BW39</f>
        <v>-36.5</v>
      </c>
      <c r="BY92" s="107">
        <f>SUM(BU92:BX92)</f>
        <v>-72.400000000000006</v>
      </c>
      <c r="BZ92" s="105"/>
      <c r="CA92" s="284">
        <f>CA39-BY39</f>
        <v>32.400000000000006</v>
      </c>
      <c r="CB92" s="105">
        <f>CB39-CA39</f>
        <v>-16.899999999999999</v>
      </c>
      <c r="CC92" s="105">
        <f>CC39-CB39</f>
        <v>13.299999999999999</v>
      </c>
      <c r="CD92" s="105">
        <f>CD39-CC39</f>
        <v>-60.500000000000007</v>
      </c>
      <c r="CE92" s="107">
        <f>SUM(CA92:CD92)</f>
        <v>-31.700000000000003</v>
      </c>
      <c r="CF92" s="105"/>
      <c r="CG92" s="284">
        <f>CG39-CE39</f>
        <v>15.700000000000003</v>
      </c>
      <c r="CH92" s="105">
        <f>CH39-CG39</f>
        <v>47.2</v>
      </c>
      <c r="CI92" s="105">
        <f>CI39-CH39</f>
        <v>23.5</v>
      </c>
      <c r="CJ92" s="105">
        <f>CJ39-CI39</f>
        <v>16.5</v>
      </c>
      <c r="CK92" s="107">
        <f>SUM(CG92:CJ92)</f>
        <v>102.9</v>
      </c>
      <c r="CL92" s="105"/>
      <c r="CM92" s="284">
        <f>CM39-CK39</f>
        <v>0</v>
      </c>
      <c r="CN92" s="105">
        <f>CN39-CM39</f>
        <v>0</v>
      </c>
      <c r="CO92" s="105">
        <f>CO39-CN39</f>
        <v>0</v>
      </c>
      <c r="CP92" s="105">
        <f>CP39-CO39</f>
        <v>0</v>
      </c>
      <c r="CQ92" s="107">
        <f>SUM(CM92:CP92)</f>
        <v>0</v>
      </c>
      <c r="CR92" s="105"/>
      <c r="CS92" s="284">
        <f>CS39-CQ39</f>
        <v>0</v>
      </c>
      <c r="CT92" s="105">
        <f>CT39-CS39</f>
        <v>0</v>
      </c>
      <c r="CU92" s="105">
        <f>CU39-CT39</f>
        <v>0</v>
      </c>
      <c r="CV92" s="105">
        <f>CV39-CU39</f>
        <v>0</v>
      </c>
      <c r="CW92" s="107">
        <f>SUM(CS92:CV92)</f>
        <v>0</v>
      </c>
      <c r="CY92" s="284">
        <f>CY39-CW39</f>
        <v>0</v>
      </c>
      <c r="CZ92" s="105">
        <f>CZ39-CY39</f>
        <v>0</v>
      </c>
      <c r="DA92" s="105">
        <f>DA39-CZ39</f>
        <v>0</v>
      </c>
      <c r="DB92" s="105">
        <f>DB39-DA39</f>
        <v>0</v>
      </c>
      <c r="DC92" s="107">
        <f>SUM(CY92:DB92)</f>
        <v>0</v>
      </c>
      <c r="DE92" s="284">
        <f>DE39-DC39</f>
        <v>0</v>
      </c>
      <c r="DF92" s="105">
        <f>DF39-DE39</f>
        <v>0</v>
      </c>
      <c r="DG92" s="105">
        <f>DG39-DF39</f>
        <v>0</v>
      </c>
      <c r="DH92" s="105">
        <f>DH39-DG39</f>
        <v>0</v>
      </c>
      <c r="DI92" s="107">
        <f>SUM(DE92:DH92)</f>
        <v>0</v>
      </c>
    </row>
    <row r="93" spans="1:119" ht="11.25" customHeight="1">
      <c r="A93" s="139" t="s">
        <v>125</v>
      </c>
      <c r="B93" s="105"/>
      <c r="C93" s="107"/>
      <c r="D93" s="105"/>
      <c r="E93" s="107">
        <f>E38-C38-E90-E91</f>
        <v>4.0999999995960934E-5</v>
      </c>
      <c r="F93" s="105"/>
      <c r="G93" s="107">
        <f>G38-E38-G90-G91</f>
        <v>1.3322676295501878E-15</v>
      </c>
      <c r="H93" s="105"/>
      <c r="I93" s="107">
        <f>I38-G38-I90-I91</f>
        <v>-9.3258734068513149E-15</v>
      </c>
      <c r="J93" s="105"/>
      <c r="K93" s="107">
        <f>K38-I38-K90-K91</f>
        <v>-1.0869999999999838</v>
      </c>
      <c r="L93" s="105"/>
      <c r="M93" s="107">
        <f>M38-K38-M90-M91</f>
        <v>-1.2150000000000247</v>
      </c>
      <c r="N93" s="105"/>
      <c r="O93" s="107">
        <f>O38-M38-O90-O91</f>
        <v>-6.2172489379008766E-15</v>
      </c>
      <c r="P93" s="105"/>
      <c r="Q93" s="107">
        <f>Q38-O38-Q90-Q91</f>
        <v>11.429000000000006</v>
      </c>
      <c r="R93" s="105"/>
      <c r="S93" s="284">
        <f>S38-Q38-S90-S91</f>
        <v>0</v>
      </c>
      <c r="T93" s="105">
        <f>T38-S38-T90-T91</f>
        <v>0</v>
      </c>
      <c r="U93" s="105">
        <f>U38-T38-U90-U91</f>
        <v>-4.4408920985006262E-16</v>
      </c>
      <c r="V93" s="105">
        <f>V38-U38-V90-V91</f>
        <v>-1.5987211554602254E-14</v>
      </c>
      <c r="W93" s="107">
        <f>SUM(S93:V93)</f>
        <v>-1.6431300764452317E-14</v>
      </c>
      <c r="X93" s="105"/>
      <c r="Y93" s="284">
        <f>Y38-W38-Y90-Y91</f>
        <v>1.7763568394002505E-15</v>
      </c>
      <c r="Z93" s="105">
        <f>Z38-Y38-Z90-Z91</f>
        <v>-3.5527136788005009E-15</v>
      </c>
      <c r="AA93" s="105">
        <f>AA38-Z38-AA90-AA91</f>
        <v>0</v>
      </c>
      <c r="AB93" s="105">
        <f>AB38-AA38-AB90-AB91</f>
        <v>166.233</v>
      </c>
      <c r="AC93" s="107">
        <f>SUM(Y93:AB93)</f>
        <v>166.233</v>
      </c>
      <c r="AD93" s="105"/>
      <c r="AE93" s="284">
        <f>AE38-AC38-AE90-AE91</f>
        <v>-8.8817841970012523E-15</v>
      </c>
      <c r="AF93" s="105">
        <f>AF38-AE38-AF90-AF91</f>
        <v>-1.0658141036401503E-14</v>
      </c>
      <c r="AG93" s="105">
        <f>AG38-AF38-AG90-AG91</f>
        <v>1.0658141036401503E-14</v>
      </c>
      <c r="AH93" s="105">
        <f>AH38-AG38-AH90-AH91</f>
        <v>-174.89999999999992</v>
      </c>
      <c r="AI93" s="107">
        <f>SUM(AE93:AH93)</f>
        <v>-174.89999999999992</v>
      </c>
      <c r="AJ93" s="105"/>
      <c r="AK93" s="284">
        <f>AK38-AI38-AK90-AK91</f>
        <v>-3.5527136788005009E-15</v>
      </c>
      <c r="AL93" s="105">
        <f>AL38-AK38-AL90-AL91</f>
        <v>-8.8817841970012523E-15</v>
      </c>
      <c r="AM93" s="105">
        <f>AM38-AL38-AM90-AM91</f>
        <v>-3.5527136788005009E-15</v>
      </c>
      <c r="AN93" s="105">
        <f>AN38-AM38-AN90-AN91</f>
        <v>1.4210854715202004E-13</v>
      </c>
      <c r="AO93" s="107">
        <f>SUM(AK93:AN93)</f>
        <v>1.2612133559741778E-13</v>
      </c>
      <c r="AP93" s="105"/>
      <c r="AQ93" s="284">
        <f>AQ38-AO38-AQ90-AQ91</f>
        <v>3.5527136788005009E-15</v>
      </c>
      <c r="AR93" s="105">
        <f>AR38-AQ38-AR90-AR91</f>
        <v>0</v>
      </c>
      <c r="AS93" s="105">
        <f>AS38-AR38-AS90-AS91</f>
        <v>-2.4868995751603507E-14</v>
      </c>
      <c r="AT93" s="105">
        <f>AT38-AS38-AT90-AT91</f>
        <v>7.1054273576010019E-14</v>
      </c>
      <c r="AU93" s="107">
        <f>SUM(AQ93:AT93)</f>
        <v>4.9737991503207013E-14</v>
      </c>
      <c r="AV93" s="105"/>
      <c r="AW93" s="284">
        <f>AW38-AU38-AW90-AW91</f>
        <v>1.4210854715202004E-14</v>
      </c>
      <c r="AX93" s="105">
        <f>AX38-AW38-AX90-AX91</f>
        <v>2.8421709430404007E-14</v>
      </c>
      <c r="AY93" s="105">
        <f>AY38-AX38-AY90-AY91</f>
        <v>2.1316282072803006E-14</v>
      </c>
      <c r="AZ93" s="105">
        <f>AZ38-AY38-AZ90-AZ91</f>
        <v>3.5527136788005009E-14</v>
      </c>
      <c r="BA93" s="107">
        <f>SUM(AW93:AZ93)</f>
        <v>9.9475983006414026E-14</v>
      </c>
      <c r="BB93" s="105"/>
      <c r="BC93" s="284">
        <f>BC38-BA38-BC90-BC91</f>
        <v>0</v>
      </c>
      <c r="BD93" s="105">
        <f>BD38-BC38-BD90-BD91</f>
        <v>7.1054273576010019E-15</v>
      </c>
      <c r="BE93" s="105">
        <f>BE38-BD38-BE90-BE91</f>
        <v>-2.8421709430404007E-14</v>
      </c>
      <c r="BF93" s="105">
        <f>BF38-BE38-BF90-BF91</f>
        <v>1.4210854715202004E-14</v>
      </c>
      <c r="BG93" s="107">
        <f>SUM(BC93:BF93)</f>
        <v>-7.1054273576010019E-15</v>
      </c>
      <c r="BH93" s="105"/>
      <c r="BI93" s="284">
        <f>BI38-BG38-BI90-BI91</f>
        <v>4.0856207306205761E-14</v>
      </c>
      <c r="BJ93" s="105">
        <f>BJ38-BI38-BJ90-BJ91</f>
        <v>0</v>
      </c>
      <c r="BK93" s="105">
        <f>BK38-BJ38-BK90-BK91</f>
        <v>-4.2632564145606011E-14</v>
      </c>
      <c r="BL93" s="105">
        <f>BL38-BK38-BL90-BL91</f>
        <v>-4.2632564145606011E-14</v>
      </c>
      <c r="BM93" s="107">
        <f>SUM(BI93:BL93)</f>
        <v>-4.4408920985006262E-14</v>
      </c>
      <c r="BN93" s="105"/>
      <c r="BO93" s="284">
        <f>BO38-BM38-BO90-BO91</f>
        <v>-3.5527136788005009E-15</v>
      </c>
      <c r="BP93" s="105">
        <f>BP38-BO38-BP90-BP91</f>
        <v>2.1316282072803006E-14</v>
      </c>
      <c r="BQ93" s="105">
        <f>BQ38-BP38-BQ90-BQ91</f>
        <v>2.4868995751603507E-14</v>
      </c>
      <c r="BR93" s="105">
        <f>BR38-BQ38-BR90-BR91</f>
        <v>3.5527136788005009E-14</v>
      </c>
      <c r="BS93" s="107">
        <f>SUM(BO93:BR93)</f>
        <v>7.815970093361102E-14</v>
      </c>
      <c r="BT93" s="105"/>
      <c r="BU93" s="284">
        <f>BU38-BS38-BU90-BU91</f>
        <v>-1.0658141036401503E-14</v>
      </c>
      <c r="BV93" s="105">
        <f>BV38-BU38-BV90-BV91</f>
        <v>-3.5527136788005009E-15</v>
      </c>
      <c r="BW93" s="105">
        <f>BW38-BV38-BW90-BW91</f>
        <v>-5.3290705182007514E-14</v>
      </c>
      <c r="BX93" s="105">
        <f>BX38-BW38-BX90-BX91</f>
        <v>-5.6843418860808015E-14</v>
      </c>
      <c r="BY93" s="107">
        <f>SUM(BU93:BX93)</f>
        <v>-1.2434497875801753E-13</v>
      </c>
      <c r="BZ93" s="105"/>
      <c r="CA93" s="284">
        <f>CA38-BY38-CA90-CA91</f>
        <v>-6.5000000000000178</v>
      </c>
      <c r="CB93" s="105">
        <f>CB38-CA38-CB90-CB91</f>
        <v>-6.4999999999999432</v>
      </c>
      <c r="CC93" s="105">
        <f>CC38-CB38-CC90-CC91</f>
        <v>-6.3999999999999417</v>
      </c>
      <c r="CD93" s="105">
        <f>CD38-CC38-CD90-CD91</f>
        <v>-6.4000000000000341</v>
      </c>
      <c r="CE93" s="107">
        <f>SUM(CA93:CD93)</f>
        <v>-25.799999999999937</v>
      </c>
      <c r="CF93" s="105"/>
      <c r="CG93" s="284">
        <f>CG38-CE38-CG90-CG91</f>
        <v>-6.3999999999999417</v>
      </c>
      <c r="CH93" s="105">
        <f>CH38-CG38-CH90-CH91</f>
        <v>-6.3999999999999879</v>
      </c>
      <c r="CI93" s="105">
        <f>CI38-CH38-CI90-CI91</f>
        <v>-6.2999999999999048</v>
      </c>
      <c r="CJ93" s="105">
        <f>CJ38-CI38-CJ90-CJ91</f>
        <v>-2.7000000000004718</v>
      </c>
      <c r="CK93" s="107">
        <f>SUM(CG93:CJ93)</f>
        <v>-21.800000000000306</v>
      </c>
      <c r="CL93" s="105"/>
      <c r="CM93" s="1190">
        <v>0</v>
      </c>
      <c r="CN93" s="1191">
        <v>0</v>
      </c>
      <c r="CO93" s="1191">
        <v>0</v>
      </c>
      <c r="CP93" s="1191">
        <v>0</v>
      </c>
      <c r="CQ93" s="107">
        <f>SUM(CM93:CP93)</f>
        <v>0</v>
      </c>
      <c r="CR93" s="105"/>
      <c r="CS93" s="1190">
        <v>0</v>
      </c>
      <c r="CT93" s="1191">
        <v>0</v>
      </c>
      <c r="CU93" s="1191">
        <v>0</v>
      </c>
      <c r="CV93" s="1191">
        <v>0</v>
      </c>
      <c r="CW93" s="107">
        <f>SUM(CS93:CV93)</f>
        <v>0</v>
      </c>
      <c r="CY93" s="1190">
        <v>0</v>
      </c>
      <c r="CZ93" s="1191">
        <v>0</v>
      </c>
      <c r="DA93" s="1191">
        <v>0</v>
      </c>
      <c r="DB93" s="1191">
        <v>0</v>
      </c>
      <c r="DC93" s="107">
        <f>SUM(CY93:DB93)</f>
        <v>0</v>
      </c>
      <c r="DE93" s="1190">
        <v>0</v>
      </c>
      <c r="DF93" s="1191">
        <v>0</v>
      </c>
      <c r="DG93" s="1191">
        <v>0</v>
      </c>
      <c r="DH93" s="1191">
        <v>0</v>
      </c>
      <c r="DI93" s="107">
        <f>SUM(DE93:DH93)</f>
        <v>0</v>
      </c>
    </row>
    <row r="94" spans="1:119" ht="11.25" customHeight="1">
      <c r="A94" s="142" t="s">
        <v>126</v>
      </c>
      <c r="B94" s="143"/>
      <c r="C94" s="144">
        <f>C40</f>
        <v>10.340131000000001</v>
      </c>
      <c r="D94" s="143"/>
      <c r="E94" s="144">
        <f>SUM(E88:E93)</f>
        <v>10.058000000000002</v>
      </c>
      <c r="F94" s="143"/>
      <c r="G94" s="144">
        <f>SUM(G88:G93)</f>
        <v>124.17200000000001</v>
      </c>
      <c r="H94" s="143"/>
      <c r="I94" s="144">
        <f>SUM(I88:I93)</f>
        <v>127.54700000000001</v>
      </c>
      <c r="J94" s="143"/>
      <c r="K94" s="144">
        <f>SUM(K88:K93)</f>
        <v>185.398</v>
      </c>
      <c r="L94" s="143"/>
      <c r="M94" s="144">
        <f>SUM(M88:M93)</f>
        <v>202.42599999999996</v>
      </c>
      <c r="N94" s="143"/>
      <c r="O94" s="144">
        <f>SUM(O88:O93)</f>
        <v>217.27499999999998</v>
      </c>
      <c r="P94" s="143"/>
      <c r="Q94" s="144">
        <f>SUM(Q88:Q93)</f>
        <v>229.40699999999995</v>
      </c>
      <c r="R94" s="143"/>
      <c r="S94" s="325">
        <f>SUM(S88:S93)</f>
        <v>212.37399999999997</v>
      </c>
      <c r="T94" s="143">
        <f>SUM(T88:T93)</f>
        <v>218.07399999999996</v>
      </c>
      <c r="U94" s="143">
        <f>SUM(U88:U93)</f>
        <v>176.47099999999995</v>
      </c>
      <c r="V94" s="143">
        <f>SUM(V88:V93)</f>
        <v>191.46599999999995</v>
      </c>
      <c r="W94" s="144">
        <f>SUM(W88:W93)</f>
        <v>191.46599999999995</v>
      </c>
      <c r="X94" s="143"/>
      <c r="Y94" s="325">
        <f>SUM(Y88:Y93)</f>
        <v>214.57799999999995</v>
      </c>
      <c r="Z94" s="143">
        <f>SUM(Z88:Z93)</f>
        <v>221.64999999999992</v>
      </c>
      <c r="AA94" s="143">
        <f>SUM(AA88:AA93)</f>
        <v>238.51599999999993</v>
      </c>
      <c r="AB94" s="143">
        <f>SUM(AB88:AB93)</f>
        <v>635</v>
      </c>
      <c r="AC94" s="144">
        <f>SUM(AC88:AC93)</f>
        <v>635</v>
      </c>
      <c r="AD94" s="143"/>
      <c r="AE94" s="325">
        <f>SUM(AE88:AE93)</f>
        <v>289.71299999999997</v>
      </c>
      <c r="AF94" s="143">
        <f>SUM(AF88:AF93)</f>
        <v>308.82899999999995</v>
      </c>
      <c r="AG94" s="143">
        <f>SUM(AG88:AG93)</f>
        <v>294.36999999999995</v>
      </c>
      <c r="AH94" s="143">
        <f>SUM(AH88:AH93)</f>
        <v>311.89999999999998</v>
      </c>
      <c r="AI94" s="144">
        <f>SUM(AI88:AI93)</f>
        <v>311.90000000000003</v>
      </c>
      <c r="AJ94" s="143"/>
      <c r="AK94" s="325">
        <f>SUM(AK88:AK93)</f>
        <v>297</v>
      </c>
      <c r="AL94" s="143">
        <f>SUM(AL88:AL93)</f>
        <v>335.29999999999995</v>
      </c>
      <c r="AM94" s="143">
        <f>SUM(AM88:AM93)</f>
        <v>372.7</v>
      </c>
      <c r="AN94" s="143">
        <f>SUM(AN88:AN93)</f>
        <v>417.20000000000005</v>
      </c>
      <c r="AO94" s="144">
        <f>SUM(AO88:AO93)</f>
        <v>417.2</v>
      </c>
      <c r="AP94" s="143"/>
      <c r="AQ94" s="325">
        <f>SUM(AQ88:AQ93)</f>
        <v>416.29999999999995</v>
      </c>
      <c r="AR94" s="143">
        <f>SUM(AR88:AR93)</f>
        <v>410.9</v>
      </c>
      <c r="AS94" s="143">
        <f>SUM(AS88:AS93)</f>
        <v>491.79999999999995</v>
      </c>
      <c r="AT94" s="143">
        <f>SUM(AT88:AT93)</f>
        <v>524.69999999999993</v>
      </c>
      <c r="AU94" s="144">
        <f>SUM(AU88:AU93)</f>
        <v>524.69999999999993</v>
      </c>
      <c r="AV94" s="143"/>
      <c r="AW94" s="325">
        <f>SUM(AW88:AW93)</f>
        <v>568.29999999999984</v>
      </c>
      <c r="AX94" s="143">
        <f>SUM(AX88:AX93)</f>
        <v>627.39999999999986</v>
      </c>
      <c r="AY94" s="143">
        <f>SUM(AY88:AY93)</f>
        <v>599.49999999999977</v>
      </c>
      <c r="AZ94" s="143">
        <f>SUM(AZ88:AZ93)</f>
        <v>621.49999999999977</v>
      </c>
      <c r="BA94" s="144">
        <f>SUM(BA88:BA93)</f>
        <v>621.5</v>
      </c>
      <c r="BB94" s="143"/>
      <c r="BC94" s="325">
        <f>SUM(BC88:BC93)</f>
        <v>658.6</v>
      </c>
      <c r="BD94" s="143">
        <f>SUM(BD88:BD93)</f>
        <v>638.69999999999993</v>
      </c>
      <c r="BE94" s="143">
        <f>SUM(BE88:BE93)</f>
        <v>692.7</v>
      </c>
      <c r="BF94" s="143">
        <f>SUM(BF88:BF93)</f>
        <v>706.59999999999991</v>
      </c>
      <c r="BG94" s="144">
        <f>SUM(BG88:BG93)</f>
        <v>706.59999999999991</v>
      </c>
      <c r="BH94" s="143"/>
      <c r="BI94" s="325">
        <f>SUM(BI88:BI93)</f>
        <v>689.19999999999993</v>
      </c>
      <c r="BJ94" s="143">
        <f>SUM(BJ88:BJ93)</f>
        <v>718.89999999999986</v>
      </c>
      <c r="BK94" s="143">
        <f>SUM(BK88:BK93)</f>
        <v>777.09999999999991</v>
      </c>
      <c r="BL94" s="143">
        <f>SUM(BL88:BL93)</f>
        <v>846.1</v>
      </c>
      <c r="BM94" s="144">
        <f>SUM(BM88:BM93)</f>
        <v>846.10000000000014</v>
      </c>
      <c r="BN94" s="143"/>
      <c r="BO94" s="325">
        <f>SUM(BO88:BO93)</f>
        <v>862.59999999999991</v>
      </c>
      <c r="BP94" s="143">
        <f>SUM(BP88:BP93)</f>
        <v>880.3</v>
      </c>
      <c r="BQ94" s="143">
        <f>SUM(BQ88:BQ93)</f>
        <v>807.5</v>
      </c>
      <c r="BR94" s="143">
        <f>SUM(BR88:BR93)</f>
        <v>765.90000000000032</v>
      </c>
      <c r="BS94" s="144">
        <f>SUM(BS88:BS93)</f>
        <v>765.9000000000002</v>
      </c>
      <c r="BT94" s="143"/>
      <c r="BU94" s="325">
        <f>SUM(BU88:BU93)</f>
        <v>715.79999999999984</v>
      </c>
      <c r="BV94" s="143">
        <f>SUM(BV88:BV93)</f>
        <v>760.89999999999986</v>
      </c>
      <c r="BW94" s="143">
        <f>SUM(BW88:BW93)</f>
        <v>760.29999999999984</v>
      </c>
      <c r="BX94" s="143">
        <f>SUM(BX88:BX93)</f>
        <v>726.09999999999991</v>
      </c>
      <c r="BY94" s="144">
        <f>SUM(BY88:BY93)</f>
        <v>726.1</v>
      </c>
      <c r="BZ94" s="143"/>
      <c r="CA94" s="325">
        <f>SUM(CA88:CA93)</f>
        <v>702.09999999999991</v>
      </c>
      <c r="CB94" s="143">
        <f>SUM(CB88:CB93)</f>
        <v>663.3</v>
      </c>
      <c r="CC94" s="143">
        <f>SUM(CC88:CC93)</f>
        <v>693.89999999999986</v>
      </c>
      <c r="CD94" s="143">
        <f>SUM(CD88:CD93)</f>
        <v>686.39999999999986</v>
      </c>
      <c r="CE94" s="144">
        <f>SUM(CE88:CE93)</f>
        <v>686.4</v>
      </c>
      <c r="CF94" s="143"/>
      <c r="CG94" s="325">
        <f>SUM(CG88:CG93)</f>
        <v>724.69999999999982</v>
      </c>
      <c r="CH94" s="143">
        <f>SUM(CH88:CH93)</f>
        <v>755.69999999999982</v>
      </c>
      <c r="CI94" s="143">
        <f>SUM(CI88:CI93)</f>
        <v>731.8</v>
      </c>
      <c r="CJ94" s="143">
        <f>SUM(CJ88:CJ93)</f>
        <v>725.4</v>
      </c>
      <c r="CK94" s="144">
        <f>SUM(CK88:CK93)</f>
        <v>725.39999999999986</v>
      </c>
      <c r="CL94" s="143"/>
      <c r="CM94" s="325">
        <f>SUM(CM88:CM93)</f>
        <v>719.8317054366463</v>
      </c>
      <c r="CN94" s="143">
        <f>SUM(CN88:CN93)</f>
        <v>715.68401742380797</v>
      </c>
      <c r="CO94" s="143">
        <f>SUM(CO88:CO93)</f>
        <v>727.63697313780381</v>
      </c>
      <c r="CP94" s="143">
        <f>SUM(CP88:CP93)</f>
        <v>771.19380962084983</v>
      </c>
      <c r="CQ94" s="144">
        <f>SUM(CQ88:CQ93)</f>
        <v>771.19380962084983</v>
      </c>
      <c r="CR94" s="143"/>
      <c r="CS94" s="325">
        <f>SUM(CS88:CS93)</f>
        <v>771.10988952767605</v>
      </c>
      <c r="CT94" s="143">
        <f>SUM(CT88:CT93)</f>
        <v>773.75270101162198</v>
      </c>
      <c r="CU94" s="143">
        <f>SUM(CU88:CU93)</f>
        <v>777.44576666146827</v>
      </c>
      <c r="CV94" s="143">
        <f>SUM(CV88:CV93)</f>
        <v>798.92422433425725</v>
      </c>
      <c r="CW94" s="144">
        <f>SUM(CW88:CW93)</f>
        <v>798.92422433425713</v>
      </c>
      <c r="CY94" s="325">
        <f>SUM(CY88:CY93)</f>
        <v>803.91706117322235</v>
      </c>
      <c r="CZ94" s="143">
        <f>SUM(CZ88:CZ93)</f>
        <v>818.81481141652478</v>
      </c>
      <c r="DA94" s="143">
        <f>SUM(DA88:DA93)</f>
        <v>835.39701194857957</v>
      </c>
      <c r="DB94" s="143">
        <f>SUM(DB88:DB93)</f>
        <v>869.57514138810029</v>
      </c>
      <c r="DC94" s="144">
        <f>SUM(DC88:DC93)</f>
        <v>869.57514138810029</v>
      </c>
      <c r="DE94" s="325">
        <f>SUM(DE88:DE93)</f>
        <v>884.94908193333515</v>
      </c>
      <c r="DF94" s="143">
        <f>SUM(DF88:DF93)</f>
        <v>898.35336855108983</v>
      </c>
      <c r="DG94" s="143">
        <f>SUM(DG88:DG93)</f>
        <v>913.5010026071219</v>
      </c>
      <c r="DH94" s="143">
        <f>SUM(DH88:DH93)</f>
        <v>949.4249818831961</v>
      </c>
      <c r="DI94" s="144">
        <f>SUM(DI88:DI93)</f>
        <v>949.4249818831961</v>
      </c>
    </row>
    <row r="95" spans="1:119" s="278" customFormat="1" ht="11.25" hidden="1" customHeight="1">
      <c r="A95" s="628" t="s">
        <v>93</v>
      </c>
      <c r="B95" s="146"/>
      <c r="C95" s="630">
        <f>ROUND(C94-C40,3)</f>
        <v>0</v>
      </c>
      <c r="D95" s="146"/>
      <c r="E95" s="630">
        <f>ROUND(E94-E40,3)</f>
        <v>0</v>
      </c>
      <c r="F95" s="146"/>
      <c r="G95" s="630">
        <f>ROUND(G94-G40,3)</f>
        <v>0</v>
      </c>
      <c r="H95" s="146"/>
      <c r="I95" s="630">
        <f>ROUND(I94-I40,3)</f>
        <v>0</v>
      </c>
      <c r="J95" s="146"/>
      <c r="K95" s="630">
        <f>ROUND(K94-K40,3)</f>
        <v>0</v>
      </c>
      <c r="L95" s="146"/>
      <c r="M95" s="630">
        <f>ROUND(M94-M40,3)</f>
        <v>0</v>
      </c>
      <c r="N95" s="146"/>
      <c r="O95" s="630">
        <f>ROUND(O94-O40,3)</f>
        <v>0</v>
      </c>
      <c r="P95" s="146"/>
      <c r="Q95" s="630">
        <f>ROUND(Q94-Q40,3)</f>
        <v>0</v>
      </c>
      <c r="R95" s="146"/>
      <c r="S95" s="630">
        <f>ROUND(S94-S40,3)</f>
        <v>0</v>
      </c>
      <c r="T95" s="630">
        <f>ROUND(T94-T40,3)</f>
        <v>0</v>
      </c>
      <c r="U95" s="630">
        <f>ROUND(U94-U40,3)</f>
        <v>0</v>
      </c>
      <c r="V95" s="630">
        <f>ROUND(V94-V40,3)</f>
        <v>0</v>
      </c>
      <c r="W95" s="630">
        <f>ROUND(W94-W40,3)</f>
        <v>0</v>
      </c>
      <c r="X95" s="146"/>
      <c r="Y95" s="630">
        <f>ROUND(Y94-Y40,3)</f>
        <v>0</v>
      </c>
      <c r="Z95" s="630">
        <f>ROUND(Z94-Z40,3)</f>
        <v>0</v>
      </c>
      <c r="AA95" s="630">
        <f>ROUND(AA94-AA40,3)</f>
        <v>0</v>
      </c>
      <c r="AB95" s="630">
        <f>ROUND(AB94-AB40,3)</f>
        <v>0</v>
      </c>
      <c r="AC95" s="630">
        <f>ROUND(AC94-AC40,3)</f>
        <v>0</v>
      </c>
      <c r="AD95" s="146"/>
      <c r="AE95" s="630">
        <f>ROUND(AE94-AE40,3)</f>
        <v>0</v>
      </c>
      <c r="AF95" s="630">
        <f>ROUND(AF94-AF40,3)</f>
        <v>0</v>
      </c>
      <c r="AG95" s="630">
        <f>ROUND(AG94-AG40,3)</f>
        <v>0</v>
      </c>
      <c r="AH95" s="630">
        <f>ROUND(AH94-AH40,3)</f>
        <v>0</v>
      </c>
      <c r="AI95" s="630">
        <f>ROUND(AI94-AI40,3)</f>
        <v>0</v>
      </c>
      <c r="AJ95" s="146"/>
      <c r="AK95" s="630">
        <f>ROUND(AK94-AK40,3)</f>
        <v>0</v>
      </c>
      <c r="AL95" s="630">
        <f>ROUND(AL94-AL40,3)</f>
        <v>0</v>
      </c>
      <c r="AM95" s="630">
        <f>ROUND(AM94-AM40,3)</f>
        <v>0</v>
      </c>
      <c r="AN95" s="630">
        <f>ROUND(AN94-AN40,3)</f>
        <v>0</v>
      </c>
      <c r="AO95" s="630">
        <f>ROUND(AO94-AO40,3)</f>
        <v>0</v>
      </c>
      <c r="AP95" s="146"/>
      <c r="AQ95" s="630">
        <f>ROUND(AQ94-AQ40,3)</f>
        <v>0</v>
      </c>
      <c r="AR95" s="630">
        <f>ROUND(AR94-AR40,3)</f>
        <v>0</v>
      </c>
      <c r="AS95" s="630">
        <f>ROUND(AS94-AS40,3)</f>
        <v>0</v>
      </c>
      <c r="AT95" s="630">
        <f>ROUND(AT94-AT40,3)</f>
        <v>0</v>
      </c>
      <c r="AU95" s="630">
        <f>ROUND(AU94-AU40,3)</f>
        <v>0</v>
      </c>
      <c r="AV95" s="146"/>
      <c r="AW95" s="630">
        <f>ROUND(AW94-AW40,3)</f>
        <v>0</v>
      </c>
      <c r="AX95" s="630">
        <f>ROUND(AX94-AX40,3)</f>
        <v>0</v>
      </c>
      <c r="AY95" s="630">
        <f>ROUND(AY94-AY40,3)</f>
        <v>0</v>
      </c>
      <c r="AZ95" s="630">
        <f>ROUND(AZ94-AZ40,3)</f>
        <v>0</v>
      </c>
      <c r="BA95" s="630">
        <f>ROUND(BA94-BA40,3)</f>
        <v>0</v>
      </c>
      <c r="BB95" s="146"/>
      <c r="BC95" s="630">
        <f>ROUND(BC94-BC40,3)</f>
        <v>0</v>
      </c>
      <c r="BD95" s="630">
        <f>ROUND(BD94-BD40,3)</f>
        <v>0</v>
      </c>
      <c r="BE95" s="630">
        <f>ROUND(BE94-BE40,3)</f>
        <v>0</v>
      </c>
      <c r="BF95" s="630">
        <f>ROUND(BF94-BF40,3)</f>
        <v>0</v>
      </c>
      <c r="BG95" s="630">
        <f>ROUND(BG94-BG40,3)</f>
        <v>0</v>
      </c>
      <c r="BH95" s="146"/>
      <c r="BI95" s="630">
        <f>ROUND(BI94-BI40,3)</f>
        <v>0</v>
      </c>
      <c r="BJ95" s="630">
        <f>ROUND(BJ94-BJ40,3)</f>
        <v>0</v>
      </c>
      <c r="BK95" s="630">
        <f>ROUND(BK94-BK40,3)</f>
        <v>0</v>
      </c>
      <c r="BL95" s="630">
        <f>ROUND(BL94-BL40,3)</f>
        <v>0</v>
      </c>
      <c r="BM95" s="630">
        <f>ROUND(BM94-BM40,3)</f>
        <v>0</v>
      </c>
      <c r="BN95" s="146"/>
      <c r="BO95" s="630">
        <f>ROUND(BO94-BO40,3)</f>
        <v>0</v>
      </c>
      <c r="BP95" s="630">
        <f>ROUND(BP94-BP40,3)</f>
        <v>0</v>
      </c>
      <c r="BQ95" s="630">
        <f>ROUND(BQ94-BQ40,3)</f>
        <v>0</v>
      </c>
      <c r="BR95" s="630">
        <f>ROUND(BR94-BR40,3)</f>
        <v>0</v>
      </c>
      <c r="BS95" s="630">
        <f>ROUND(BS94-BS40,3)</f>
        <v>0</v>
      </c>
      <c r="BT95" s="146"/>
      <c r="BU95" s="630">
        <f>ROUND(BU94-BU40,3)</f>
        <v>0</v>
      </c>
      <c r="BV95" s="630">
        <f>ROUND(BV94-BV40,3)</f>
        <v>0</v>
      </c>
      <c r="BW95" s="630">
        <f>ROUND(BW94-BW40,3)</f>
        <v>0</v>
      </c>
      <c r="BX95" s="630">
        <f>ROUND(BX94-BX40,3)</f>
        <v>0</v>
      </c>
      <c r="BY95" s="630">
        <f>ROUND(BY94-BY40,3)</f>
        <v>0</v>
      </c>
      <c r="BZ95" s="146"/>
      <c r="CA95" s="630">
        <f>ROUND(CA94-CA40,3)</f>
        <v>0</v>
      </c>
      <c r="CB95" s="630">
        <f>ROUND(CB94-CB40,3)</f>
        <v>0</v>
      </c>
      <c r="CC95" s="630">
        <f>ROUND(CC94-CC40,3)</f>
        <v>0</v>
      </c>
      <c r="CD95" s="630">
        <f>ROUND(CD94-CD40,3)</f>
        <v>0</v>
      </c>
      <c r="CE95" s="630">
        <f>ROUND(CE94-CE40,3)</f>
        <v>0</v>
      </c>
      <c r="CF95" s="146"/>
      <c r="CG95" s="630">
        <f>ROUND(CG94-CG40,3)</f>
        <v>0</v>
      </c>
      <c r="CH95" s="630">
        <f>ROUND(CH94-CH40,3)</f>
        <v>0</v>
      </c>
      <c r="CI95" s="630">
        <f>ROUND(CI94-CI40,3)</f>
        <v>0</v>
      </c>
      <c r="CJ95" s="630">
        <f>ROUND(CJ94-CJ40,3)</f>
        <v>0</v>
      </c>
      <c r="CK95" s="630">
        <f>ROUND(CK94-CK40,3)</f>
        <v>0</v>
      </c>
      <c r="CL95" s="146"/>
      <c r="CM95" s="630">
        <f>ROUND(CM94-CM40,3)</f>
        <v>6.2789999999999999</v>
      </c>
      <c r="CN95" s="630">
        <f>ROUND(CN94-CN40,3)</f>
        <v>12.513999999999999</v>
      </c>
      <c r="CO95" s="630">
        <f>ROUND(CO94-CO40,3)</f>
        <v>18.704999999999998</v>
      </c>
      <c r="CP95" s="630">
        <f>ROUND(CP94-CP40,3)</f>
        <v>24.853999999999999</v>
      </c>
      <c r="CQ95" s="630">
        <f>ROUND(CQ94-CQ40,3)</f>
        <v>24.853999999999999</v>
      </c>
      <c r="CR95" s="146"/>
      <c r="CS95" s="630">
        <f>ROUND(CS94-CS40,3)</f>
        <v>31.015000000000001</v>
      </c>
      <c r="CT95" s="630">
        <f>ROUND(CT94-CT40,3)</f>
        <v>37.122999999999998</v>
      </c>
      <c r="CU95" s="630">
        <f>ROUND(CU94-CU40,3)</f>
        <v>43.180999999999997</v>
      </c>
      <c r="CV95" s="630">
        <f>ROUND(CV94-CV40,3)</f>
        <v>49.189</v>
      </c>
      <c r="CW95" s="630">
        <f>ROUND(CW94-CW40,3)</f>
        <v>49.189</v>
      </c>
      <c r="CY95" s="630">
        <f>ROUND(CY94-CY40,3)</f>
        <v>55.223999999999997</v>
      </c>
      <c r="CZ95" s="630">
        <f>ROUND(CZ94-CZ40,3)</f>
        <v>61.210999999999999</v>
      </c>
      <c r="DA95" s="630">
        <f>ROUND(DA94-DA40,3)</f>
        <v>67.152000000000001</v>
      </c>
      <c r="DB95" s="630">
        <f>ROUND(DB94-DB40,3)</f>
        <v>73.046999999999997</v>
      </c>
      <c r="DC95" s="630">
        <f>ROUND(DC94-DC40,3)</f>
        <v>73.046999999999997</v>
      </c>
      <c r="DE95" s="630">
        <f>ROUND(DE94-DE40,3)</f>
        <v>78.968000000000004</v>
      </c>
      <c r="DF95" s="630">
        <f>ROUND(DF94-DF40,3)</f>
        <v>84.843999999999994</v>
      </c>
      <c r="DG95" s="630">
        <f>ROUND(DG94-DG40,3)</f>
        <v>90.677999999999997</v>
      </c>
      <c r="DH95" s="630">
        <f>ROUND(DH94-DH40,3)</f>
        <v>96.471000000000004</v>
      </c>
      <c r="DI95" s="630">
        <f>ROUND(DI94-DI40,3)</f>
        <v>96.471000000000004</v>
      </c>
      <c r="DJ95"/>
      <c r="DK95"/>
      <c r="DL95"/>
      <c r="DM95"/>
      <c r="DN95"/>
      <c r="DO95"/>
    </row>
    <row r="96" spans="1:119" ht="11.25" customHeight="1">
      <c r="A96" s="145"/>
      <c r="B96" s="146"/>
      <c r="C96" s="147"/>
      <c r="D96" s="146"/>
      <c r="E96" s="147"/>
      <c r="F96" s="146"/>
      <c r="G96" s="349"/>
      <c r="H96" s="146"/>
      <c r="I96" s="349"/>
      <c r="J96" s="146"/>
      <c r="K96" s="349"/>
      <c r="L96" s="146"/>
      <c r="M96" s="349"/>
      <c r="N96" s="146"/>
      <c r="O96" s="349"/>
      <c r="P96" s="146"/>
      <c r="Q96" s="349"/>
      <c r="R96" s="146"/>
      <c r="S96" s="349"/>
      <c r="T96" s="349"/>
      <c r="U96" s="349"/>
      <c r="V96" s="349"/>
      <c r="W96" s="349"/>
      <c r="X96" s="146"/>
      <c r="Y96" s="349"/>
      <c r="Z96" s="349"/>
      <c r="AA96" s="349"/>
      <c r="AB96" s="349"/>
      <c r="AC96" s="349"/>
      <c r="AD96" s="146"/>
      <c r="AE96" s="349"/>
      <c r="AF96" s="349"/>
      <c r="AG96" s="349"/>
      <c r="AH96" s="349"/>
      <c r="AI96" s="349"/>
      <c r="AJ96" s="146"/>
      <c r="AK96" s="349"/>
      <c r="AL96" s="349"/>
      <c r="AM96" s="349"/>
      <c r="AN96" s="349"/>
      <c r="AO96" s="349"/>
      <c r="AP96" s="146"/>
      <c r="AQ96" s="349"/>
      <c r="AR96" s="349"/>
      <c r="AS96" s="349"/>
      <c r="AT96" s="349"/>
      <c r="AU96" s="349"/>
      <c r="AV96" s="146"/>
      <c r="AW96" s="349"/>
      <c r="AX96" s="349"/>
      <c r="AY96" s="349"/>
      <c r="AZ96" s="349"/>
      <c r="BA96" s="349"/>
      <c r="BB96" s="146"/>
      <c r="BC96" s="349"/>
      <c r="BD96" s="349"/>
      <c r="BE96" s="349"/>
      <c r="BF96" s="146"/>
      <c r="BG96" s="146"/>
      <c r="BH96" s="146"/>
      <c r="BI96" s="146"/>
      <c r="BJ96" s="349"/>
      <c r="BK96" s="349"/>
      <c r="BL96" s="146"/>
      <c r="BM96" s="146"/>
      <c r="BN96" s="146"/>
      <c r="BO96" s="146"/>
      <c r="BP96" s="146"/>
      <c r="BQ96" s="146"/>
      <c r="BR96" s="146"/>
      <c r="BS96" s="146"/>
      <c r="BT96" s="146"/>
      <c r="BU96" s="146"/>
      <c r="BV96" s="146"/>
      <c r="BW96" s="146"/>
      <c r="BX96" s="146"/>
      <c r="BY96" s="146"/>
      <c r="BZ96" s="146"/>
      <c r="CA96" s="146"/>
      <c r="CB96" s="146"/>
      <c r="CC96" s="146"/>
      <c r="CD96" s="146"/>
      <c r="CE96" s="146"/>
      <c r="CF96" s="146"/>
      <c r="CG96" s="146"/>
      <c r="CH96" s="146"/>
      <c r="CI96" s="146"/>
      <c r="CJ96" s="146"/>
      <c r="CK96" s="146"/>
      <c r="CL96" s="146"/>
      <c r="CM96" s="146"/>
      <c r="CN96" s="146"/>
      <c r="CO96" s="146"/>
      <c r="CP96" s="146"/>
      <c r="CQ96" s="146"/>
      <c r="CR96" s="146"/>
      <c r="CS96" s="146"/>
      <c r="CT96" s="146"/>
      <c r="CU96" s="146"/>
      <c r="CV96" s="146"/>
      <c r="CW96" s="146"/>
      <c r="CY96" s="146"/>
      <c r="CZ96" s="146"/>
      <c r="DA96" s="146"/>
      <c r="DB96" s="146"/>
      <c r="DC96" s="146"/>
      <c r="DE96" s="146"/>
      <c r="DF96" s="146"/>
      <c r="DG96" s="146"/>
      <c r="DH96" s="146"/>
      <c r="DI96" s="146"/>
    </row>
    <row r="97" spans="1:113" ht="11.25" customHeight="1">
      <c r="A97" s="73" t="s">
        <v>264</v>
      </c>
      <c r="B97" s="91"/>
      <c r="C97" s="92"/>
      <c r="D97" s="91"/>
      <c r="E97" s="92"/>
      <c r="F97" s="91"/>
      <c r="G97" s="92"/>
      <c r="H97" s="91"/>
      <c r="I97" s="92"/>
      <c r="J97" s="91"/>
      <c r="K97" s="92"/>
      <c r="L97" s="91"/>
      <c r="M97" s="92"/>
      <c r="N97" s="91"/>
      <c r="O97" s="92"/>
      <c r="P97" s="91"/>
      <c r="Q97" s="92"/>
      <c r="R97" s="91"/>
      <c r="S97" s="91"/>
      <c r="T97" s="91"/>
      <c r="U97" s="91"/>
      <c r="V97" s="91"/>
      <c r="W97" s="91"/>
      <c r="X97" s="91"/>
      <c r="Y97" s="91"/>
      <c r="Z97" s="91"/>
      <c r="AA97" s="91"/>
      <c r="AB97" s="91"/>
      <c r="AC97" s="91"/>
      <c r="AD97" s="91"/>
      <c r="AE97" s="91"/>
      <c r="AF97" s="91"/>
      <c r="AG97" s="91"/>
      <c r="AH97" s="91"/>
      <c r="AI97" s="91"/>
      <c r="AJ97" s="91"/>
      <c r="AK97" s="91"/>
      <c r="AL97" s="91"/>
      <c r="AM97" s="91"/>
      <c r="AN97" s="91"/>
      <c r="AO97" s="91"/>
      <c r="AP97" s="91"/>
      <c r="AQ97" s="91"/>
      <c r="AR97" s="91"/>
      <c r="AS97" s="91"/>
      <c r="AT97" s="91"/>
      <c r="AU97" s="91"/>
      <c r="AV97" s="91"/>
      <c r="AW97" s="91"/>
      <c r="AX97" s="91"/>
      <c r="AY97" s="91"/>
      <c r="AZ97" s="91"/>
      <c r="BA97" s="91"/>
      <c r="BB97" s="91"/>
      <c r="BC97" s="91"/>
      <c r="BD97" s="91"/>
      <c r="BE97" s="91"/>
      <c r="BF97" s="91"/>
      <c r="BG97" s="91"/>
      <c r="BH97" s="91"/>
      <c r="BI97" s="91"/>
      <c r="BJ97" s="91"/>
      <c r="BK97" s="91"/>
      <c r="BL97" s="91"/>
      <c r="BM97" s="91"/>
      <c r="BN97" s="91"/>
      <c r="BO97" s="91"/>
      <c r="BP97" s="91"/>
      <c r="BQ97" s="91"/>
      <c r="BR97" s="91"/>
      <c r="BS97" s="138"/>
      <c r="BT97" s="91"/>
      <c r="BU97" s="91"/>
      <c r="BV97" s="91"/>
      <c r="BW97" s="91"/>
      <c r="BX97" s="91"/>
      <c r="BY97" s="138"/>
      <c r="BZ97" s="91"/>
      <c r="CA97" s="91"/>
      <c r="CB97" s="91"/>
      <c r="CC97" s="91"/>
      <c r="CD97" s="91"/>
      <c r="CE97" s="138"/>
      <c r="CF97" s="91"/>
      <c r="CG97" s="91"/>
      <c r="CH97" s="91"/>
      <c r="CI97" s="91"/>
      <c r="CJ97" s="91"/>
      <c r="CK97" s="138"/>
      <c r="CL97" s="91"/>
      <c r="CM97" s="91"/>
      <c r="CN97" s="91"/>
      <c r="CO97" s="91"/>
      <c r="CP97" s="91"/>
      <c r="CQ97" s="138"/>
      <c r="CR97" s="91"/>
      <c r="CS97" s="91"/>
      <c r="CT97" s="91"/>
      <c r="CU97" s="91"/>
      <c r="CV97" s="91"/>
      <c r="CW97" s="138"/>
      <c r="CY97" s="91"/>
      <c r="CZ97" s="91"/>
      <c r="DA97" s="91"/>
      <c r="DB97" s="91"/>
      <c r="DC97" s="138"/>
      <c r="DE97" s="91"/>
      <c r="DF97" s="91"/>
      <c r="DG97" s="91"/>
      <c r="DH97" s="91"/>
      <c r="DI97" s="138"/>
    </row>
    <row r="98" spans="1:113" ht="11.25" hidden="1" customHeight="1" outlineLevel="1">
      <c r="A98" s="150" t="s">
        <v>127</v>
      </c>
      <c r="B98" s="149"/>
      <c r="C98" s="151"/>
      <c r="D98" s="149"/>
      <c r="E98" s="151"/>
      <c r="F98" s="149"/>
      <c r="G98" s="151"/>
      <c r="H98" s="149"/>
      <c r="I98" s="151"/>
      <c r="J98" s="149"/>
      <c r="K98" s="151"/>
      <c r="L98" s="149"/>
      <c r="M98" s="151"/>
      <c r="N98" s="149"/>
      <c r="O98" s="151"/>
      <c r="P98" s="149"/>
      <c r="Q98" s="151"/>
      <c r="R98" s="149"/>
      <c r="S98" s="326"/>
      <c r="T98" s="149"/>
      <c r="U98" s="149"/>
      <c r="V98" s="149"/>
      <c r="W98" s="152"/>
      <c r="X98" s="149"/>
      <c r="Y98" s="326"/>
      <c r="Z98" s="149"/>
      <c r="AA98" s="149"/>
      <c r="AB98" s="149"/>
      <c r="AC98" s="152"/>
      <c r="AD98" s="149"/>
      <c r="AE98" s="326"/>
      <c r="AF98" s="149"/>
      <c r="AG98" s="149"/>
      <c r="AH98" s="149"/>
      <c r="AI98" s="152"/>
      <c r="AJ98" s="149"/>
      <c r="AK98" s="326"/>
      <c r="AL98" s="149"/>
      <c r="AM98" s="149"/>
      <c r="AN98" s="149"/>
      <c r="AO98" s="152"/>
      <c r="AP98" s="149"/>
      <c r="AQ98" s="326"/>
      <c r="AR98" s="149"/>
      <c r="AS98" s="149"/>
      <c r="AT98" s="149"/>
      <c r="AU98" s="152"/>
      <c r="AV98" s="149"/>
      <c r="AW98" s="326"/>
      <c r="AX98" s="149"/>
      <c r="AY98" s="149"/>
      <c r="AZ98" s="149"/>
      <c r="BA98" s="152"/>
      <c r="BB98" s="149"/>
      <c r="BC98" s="326"/>
      <c r="BD98" s="149"/>
      <c r="BE98" s="149"/>
      <c r="BF98" s="149"/>
      <c r="BG98" s="152"/>
      <c r="BH98" s="149"/>
      <c r="BI98" s="326"/>
      <c r="BJ98" s="149"/>
      <c r="BK98" s="149"/>
      <c r="BL98" s="149"/>
      <c r="BM98" s="152"/>
      <c r="BN98" s="149"/>
      <c r="BO98" s="326"/>
      <c r="BP98" s="149"/>
      <c r="BQ98" s="149"/>
      <c r="BR98" s="149"/>
      <c r="BS98" s="152"/>
      <c r="BT98" s="149"/>
      <c r="BU98" s="326"/>
      <c r="BV98" s="149"/>
      <c r="BW98" s="149"/>
      <c r="BX98" s="149"/>
      <c r="BY98" s="152"/>
      <c r="BZ98" s="149"/>
      <c r="CA98" s="326"/>
      <c r="CB98" s="149"/>
      <c r="CC98" s="149"/>
      <c r="CD98" s="149"/>
      <c r="CE98" s="152"/>
      <c r="CF98" s="149"/>
      <c r="CG98" s="326"/>
      <c r="CH98" s="149"/>
      <c r="CI98" s="149"/>
      <c r="CJ98" s="149"/>
      <c r="CK98" s="152"/>
      <c r="CL98" s="149"/>
      <c r="CM98" s="326"/>
      <c r="CN98" s="149"/>
      <c r="CO98" s="149"/>
      <c r="CP98" s="149"/>
      <c r="CQ98" s="152"/>
      <c r="CR98" s="149"/>
      <c r="CS98" s="326"/>
      <c r="CT98" s="149"/>
      <c r="CU98" s="149"/>
      <c r="CV98" s="149"/>
      <c r="CW98" s="152"/>
      <c r="CY98" s="326"/>
      <c r="CZ98" s="149"/>
      <c r="DA98" s="149"/>
      <c r="DB98" s="149"/>
      <c r="DC98" s="152"/>
      <c r="DE98" s="326"/>
      <c r="DF98" s="149"/>
      <c r="DG98" s="149"/>
      <c r="DH98" s="149"/>
      <c r="DI98" s="152"/>
    </row>
    <row r="99" spans="1:113" ht="11.25" hidden="1" customHeight="1" outlineLevel="1">
      <c r="A99" s="104" t="s">
        <v>128</v>
      </c>
      <c r="B99" s="105"/>
      <c r="C99" s="158"/>
      <c r="D99" s="156"/>
      <c r="E99" s="158">
        <f>C104</f>
        <v>47.156973000000001</v>
      </c>
      <c r="F99" s="156"/>
      <c r="G99" s="158">
        <f>E104</f>
        <v>43.984000000000002</v>
      </c>
      <c r="H99" s="156"/>
      <c r="I99" s="158">
        <f>G104</f>
        <v>45.256999999999998</v>
      </c>
      <c r="J99" s="156"/>
      <c r="K99" s="158">
        <f>I104</f>
        <v>59.707000000000001</v>
      </c>
      <c r="L99" s="156"/>
      <c r="M99" s="158">
        <f>K104</f>
        <v>110.679</v>
      </c>
      <c r="N99" s="156"/>
      <c r="O99" s="158">
        <f>M104</f>
        <v>134.25</v>
      </c>
      <c r="P99" s="156"/>
      <c r="Q99" s="158">
        <f>O104</f>
        <v>146.50700000000001</v>
      </c>
      <c r="R99" s="156"/>
      <c r="S99" s="298">
        <f>Q104</f>
        <v>150.69999999999999</v>
      </c>
      <c r="T99" s="156">
        <f>S104</f>
        <v>152.06199999999998</v>
      </c>
      <c r="U99" s="156">
        <f>T104</f>
        <v>153.16</v>
      </c>
      <c r="V99" s="156">
        <f>U104</f>
        <v>155.73699999999999</v>
      </c>
      <c r="W99" s="158">
        <f>Q104</f>
        <v>150.69999999999999</v>
      </c>
      <c r="X99" s="156"/>
      <c r="Y99" s="298">
        <f>W104</f>
        <v>171.93399999999997</v>
      </c>
      <c r="Z99" s="156">
        <f>Y104</f>
        <v>176.19099999999997</v>
      </c>
      <c r="AA99" s="156">
        <f>Z104</f>
        <v>184.95699999999997</v>
      </c>
      <c r="AB99" s="156">
        <f>AA104</f>
        <v>191.81199999999995</v>
      </c>
      <c r="AC99" s="158">
        <f>W104</f>
        <v>171.93399999999997</v>
      </c>
      <c r="AD99" s="156"/>
      <c r="AE99" s="298">
        <f>AC104</f>
        <v>459.1</v>
      </c>
      <c r="AF99" s="156">
        <f>AE104</f>
        <v>472.5</v>
      </c>
      <c r="AG99" s="156">
        <f>AF104</f>
        <v>486.2</v>
      </c>
      <c r="AH99" s="156">
        <f>AG104</f>
        <v>498.9</v>
      </c>
      <c r="AI99" s="158">
        <f>AC104</f>
        <v>459.1</v>
      </c>
      <c r="AJ99" s="156"/>
      <c r="AK99" s="298">
        <f>AI104</f>
        <v>486.1</v>
      </c>
      <c r="AL99" s="156">
        <f>AK104</f>
        <v>490</v>
      </c>
      <c r="AM99" s="156">
        <f>AL104</f>
        <v>498.09999999999997</v>
      </c>
      <c r="AN99" s="156">
        <f>AM104</f>
        <v>499.9</v>
      </c>
      <c r="AO99" s="158">
        <f>AI104</f>
        <v>486.1</v>
      </c>
      <c r="AP99" s="156"/>
      <c r="AQ99" s="298">
        <f>AO104</f>
        <v>517.4</v>
      </c>
      <c r="AR99" s="156">
        <f>AQ104</f>
        <v>522.79999999999995</v>
      </c>
      <c r="AS99" s="156">
        <f>AR104</f>
        <v>530.49999999999989</v>
      </c>
      <c r="AT99" s="156">
        <f>AS104</f>
        <v>540.29999999999984</v>
      </c>
      <c r="AU99" s="158">
        <f>AO104</f>
        <v>517.4</v>
      </c>
      <c r="AV99" s="156"/>
      <c r="AW99" s="298">
        <f>AU104</f>
        <v>540.80000000000007</v>
      </c>
      <c r="AX99" s="156">
        <f>AW104</f>
        <v>550.70000000000005</v>
      </c>
      <c r="AY99" s="156">
        <f>AX104</f>
        <v>574.10000000000014</v>
      </c>
      <c r="AZ99" s="156">
        <f>AY104</f>
        <v>579.40000000000009</v>
      </c>
      <c r="BA99" s="158">
        <f>AU104</f>
        <v>540.80000000000007</v>
      </c>
      <c r="BB99" s="156"/>
      <c r="BC99" s="298">
        <f>BA104</f>
        <v>572.5</v>
      </c>
      <c r="BD99" s="156">
        <f>BC104</f>
        <v>585.69999999999993</v>
      </c>
      <c r="BE99" s="156">
        <f>BD104</f>
        <v>605.29999999999995</v>
      </c>
      <c r="BF99" s="156">
        <f>BE104</f>
        <v>624.69999999999993</v>
      </c>
      <c r="BG99" s="158">
        <f>BA104</f>
        <v>572.5</v>
      </c>
      <c r="BH99" s="156"/>
      <c r="BI99" s="298">
        <f>BG104</f>
        <v>664.9</v>
      </c>
      <c r="BJ99" s="156">
        <f>BI104</f>
        <v>681.8</v>
      </c>
      <c r="BK99" s="156">
        <f>BJ104</f>
        <v>698.3</v>
      </c>
      <c r="BL99" s="156">
        <f>BK104</f>
        <v>708.5</v>
      </c>
      <c r="BM99" s="158">
        <f>BG104</f>
        <v>664.9</v>
      </c>
      <c r="BN99" s="156"/>
      <c r="BO99" s="298">
        <f>BM104</f>
        <v>717.49999999999989</v>
      </c>
      <c r="BP99" s="156">
        <f>BO104</f>
        <v>726.69999999999993</v>
      </c>
      <c r="BQ99" s="156">
        <f>BP104</f>
        <v>734.3</v>
      </c>
      <c r="BR99" s="156">
        <f>BQ104</f>
        <v>744.19999999999993</v>
      </c>
      <c r="BS99" s="158">
        <f>BM104</f>
        <v>717.49999999999989</v>
      </c>
      <c r="BT99" s="156"/>
      <c r="BU99" s="298">
        <f>BS104</f>
        <v>751.29999999999984</v>
      </c>
      <c r="BV99" s="156">
        <f>BU104</f>
        <v>756.99999999999989</v>
      </c>
      <c r="BW99" s="156">
        <f>BV104</f>
        <v>764.69999999999993</v>
      </c>
      <c r="BX99" s="156">
        <f>BW104</f>
        <v>773.4</v>
      </c>
      <c r="BY99" s="158">
        <f>BS104</f>
        <v>751.29999999999984</v>
      </c>
      <c r="BZ99" s="156"/>
      <c r="CA99" s="298">
        <f>BY104</f>
        <v>785.49999999999989</v>
      </c>
      <c r="CB99" s="156">
        <f>CA104</f>
        <v>793.49999999999989</v>
      </c>
      <c r="CC99" s="156">
        <f>CB104</f>
        <v>802.69999999999993</v>
      </c>
      <c r="CD99" s="156">
        <f>CC104</f>
        <v>811.49999999999989</v>
      </c>
      <c r="CE99" s="158">
        <f>BY104</f>
        <v>785.49999999999989</v>
      </c>
      <c r="CF99" s="156"/>
      <c r="CG99" s="298">
        <f>CE104</f>
        <v>822.59999999999991</v>
      </c>
      <c r="CH99" s="156">
        <f>CG104</f>
        <v>834.09999999999991</v>
      </c>
      <c r="CI99" s="156">
        <f>CH104</f>
        <v>843.69999999999993</v>
      </c>
      <c r="CJ99" s="156">
        <f>CI104</f>
        <v>853.9</v>
      </c>
      <c r="CK99" s="158">
        <f>CE104</f>
        <v>822.59999999999991</v>
      </c>
      <c r="CL99" s="156"/>
      <c r="CM99" s="298">
        <f>CK104</f>
        <v>866.3</v>
      </c>
      <c r="CN99" s="156">
        <f>CM104</f>
        <v>877.5274455912745</v>
      </c>
      <c r="CO99" s="156">
        <f>CN104</f>
        <v>889.03597995995233</v>
      </c>
      <c r="CP99" s="156">
        <f>CO104</f>
        <v>900.98747445330162</v>
      </c>
      <c r="CQ99" s="158">
        <f>CK104</f>
        <v>866.3</v>
      </c>
      <c r="CR99" s="156"/>
      <c r="CS99" s="298">
        <f>CQ104</f>
        <v>915.76884881558499</v>
      </c>
      <c r="CT99" s="156">
        <f>CS104</f>
        <v>926.11387132092239</v>
      </c>
      <c r="CU99" s="156">
        <f>CT104</f>
        <v>936.89957107821283</v>
      </c>
      <c r="CV99" s="156">
        <f>CU104</f>
        <v>947.88651406647284</v>
      </c>
      <c r="CW99" s="158">
        <f>CQ104</f>
        <v>915.76884881558499</v>
      </c>
      <c r="CY99" s="298">
        <f>CW104</f>
        <v>961.92381639445875</v>
      </c>
      <c r="CZ99" s="156">
        <f>CY104</f>
        <v>972.54776216476739</v>
      </c>
      <c r="DA99" s="156">
        <f>CZ104</f>
        <v>983.4412374300116</v>
      </c>
      <c r="DB99" s="156">
        <f>DA104</f>
        <v>994.80947740321756</v>
      </c>
      <c r="DC99" s="158">
        <f>CW104</f>
        <v>961.92381639445875</v>
      </c>
      <c r="DE99" s="298">
        <f>DC104</f>
        <v>1009.114396991847</v>
      </c>
      <c r="DF99" s="156">
        <f>DE104</f>
        <v>1019.9109682553083</v>
      </c>
      <c r="DG99" s="156">
        <f>DF104</f>
        <v>1031.155502290608</v>
      </c>
      <c r="DH99" s="156">
        <f>DG104</f>
        <v>1042.6938646747903</v>
      </c>
      <c r="DI99" s="158">
        <f>DC104</f>
        <v>1009.114396991847</v>
      </c>
    </row>
    <row r="100" spans="1:113" ht="11.25" hidden="1" customHeight="1" outlineLevel="1">
      <c r="A100" s="139" t="s">
        <v>129</v>
      </c>
      <c r="B100" s="105"/>
      <c r="C100" s="1171">
        <f>-CF!C30</f>
        <v>2.9780000000000002</v>
      </c>
      <c r="D100" s="1172"/>
      <c r="E100" s="1171">
        <f>-CF!E30</f>
        <v>4.5629999999999997</v>
      </c>
      <c r="F100" s="1172"/>
      <c r="G100" s="1171">
        <f>-CF!G30</f>
        <v>5.5810000000000004</v>
      </c>
      <c r="H100" s="1172"/>
      <c r="I100" s="1171">
        <f>-CF!I30</f>
        <v>17.594999999999999</v>
      </c>
      <c r="J100" s="1172"/>
      <c r="K100" s="1171">
        <f>-CF!K30</f>
        <v>28.765000000000001</v>
      </c>
      <c r="L100" s="105"/>
      <c r="M100" s="1171">
        <f>-CF!M30</f>
        <v>5.4909999999999997</v>
      </c>
      <c r="N100" s="1172"/>
      <c r="O100" s="1171">
        <f>-CF!O30</f>
        <v>7.2640000000000002</v>
      </c>
      <c r="P100" s="1172"/>
      <c r="Q100" s="1171">
        <f>-CF!Q30</f>
        <v>4.7910000000000004</v>
      </c>
      <c r="R100" s="1172"/>
      <c r="S100" s="1173">
        <f>-CF!S30</f>
        <v>1.3620000000000001</v>
      </c>
      <c r="T100" s="1172">
        <f>-CF!T30</f>
        <v>1.0979999999999999</v>
      </c>
      <c r="U100" s="1172">
        <f>-CF!U30</f>
        <v>2.577</v>
      </c>
      <c r="V100" s="1172">
        <f>-CF!V30</f>
        <v>2.5860000000000003</v>
      </c>
      <c r="W100" s="107">
        <f>SUM(S100:V100)</f>
        <v>7.6230000000000002</v>
      </c>
      <c r="X100" s="105"/>
      <c r="Y100" s="1173">
        <f>-CF!Y30</f>
        <v>4.2569999999999997</v>
      </c>
      <c r="Z100" s="1172">
        <f>-CF!Z30</f>
        <v>8.766</v>
      </c>
      <c r="AA100" s="1172">
        <f>-CF!AA30</f>
        <v>6.8550000000000004</v>
      </c>
      <c r="AB100" s="1172">
        <f>-CF!AB30</f>
        <v>6.3219999999999974</v>
      </c>
      <c r="AC100" s="107">
        <f>SUM(Y100:AB100)</f>
        <v>26.199999999999996</v>
      </c>
      <c r="AD100" s="105"/>
      <c r="AE100" s="1173">
        <f>-CF!AE30</f>
        <v>13.4</v>
      </c>
      <c r="AF100" s="1172">
        <f>-CF!AF30</f>
        <v>13.700000000000001</v>
      </c>
      <c r="AG100" s="1172">
        <f>-CF!AG30</f>
        <v>12.699999999999996</v>
      </c>
      <c r="AH100" s="1172">
        <f>-CF!AH30</f>
        <v>7.6000000000000014</v>
      </c>
      <c r="AI100" s="107">
        <f>SUM(AE100:AH100)</f>
        <v>47.4</v>
      </c>
      <c r="AJ100" s="105"/>
      <c r="AK100" s="1173">
        <f>-CF!AK30</f>
        <v>3.9</v>
      </c>
      <c r="AL100" s="1172">
        <f>-CF!AL30</f>
        <v>3.1999999999999997</v>
      </c>
      <c r="AM100" s="1172">
        <f>-CF!AM30</f>
        <v>1.8000000000000007</v>
      </c>
      <c r="AN100" s="1172">
        <f>-CF!AN30</f>
        <v>7.4</v>
      </c>
      <c r="AO100" s="107">
        <f>SUM(AK100:AN100)</f>
        <v>16.3</v>
      </c>
      <c r="AP100" s="105"/>
      <c r="AQ100" s="1173">
        <f>-CF!AQ30</f>
        <v>5.4</v>
      </c>
      <c r="AR100" s="1172">
        <f>-CF!AR30</f>
        <v>5.2999999999999989</v>
      </c>
      <c r="AS100" s="1172">
        <f>-CF!AS30</f>
        <v>9.8000000000000007</v>
      </c>
      <c r="AT100" s="1172">
        <f>-CF!AT30</f>
        <v>11.399999999999999</v>
      </c>
      <c r="AU100" s="107">
        <f>SUM(AQ100:AT100)</f>
        <v>31.9</v>
      </c>
      <c r="AV100" s="105"/>
      <c r="AW100" s="1173">
        <f>-CF!AW30</f>
        <v>9.9</v>
      </c>
      <c r="AX100" s="1172">
        <f>-CF!AX30</f>
        <v>23.200000000000003</v>
      </c>
      <c r="AY100" s="1172">
        <f>-CF!AY30</f>
        <v>5.2999999999999972</v>
      </c>
      <c r="AZ100" s="1172">
        <f>-CF!AZ30</f>
        <v>16</v>
      </c>
      <c r="BA100" s="107">
        <f>SUM(AW100:AZ100)</f>
        <v>54.4</v>
      </c>
      <c r="BB100" s="105"/>
      <c r="BC100" s="1173">
        <f>-CF!BC30</f>
        <v>10.8</v>
      </c>
      <c r="BD100" s="1172">
        <f>-CF!BD30</f>
        <v>19.599999999999998</v>
      </c>
      <c r="BE100" s="1172">
        <f>-CF!BE30</f>
        <v>19.399999999999999</v>
      </c>
      <c r="BF100" s="1172">
        <f>-CF!BF30</f>
        <v>22.999999999999996</v>
      </c>
      <c r="BG100" s="107">
        <f>SUM(BC100:BF100)</f>
        <v>72.8</v>
      </c>
      <c r="BH100" s="105"/>
      <c r="BI100" s="1173">
        <f>-CF!BI30</f>
        <v>14.6</v>
      </c>
      <c r="BJ100" s="1172">
        <f>-CF!BJ30</f>
        <v>16.5</v>
      </c>
      <c r="BK100" s="1172">
        <f>-CF!BK30</f>
        <v>10.199999999999999</v>
      </c>
      <c r="BL100" s="1172">
        <f>-CF!BL30</f>
        <v>9</v>
      </c>
      <c r="BM100" s="107">
        <f>SUM(BI100:BL100)</f>
        <v>50.3</v>
      </c>
      <c r="BN100" s="105"/>
      <c r="BO100" s="1173">
        <f>-CF!BO30</f>
        <v>9.1999999999999993</v>
      </c>
      <c r="BP100" s="1172">
        <f>-CF!BP30</f>
        <v>7.6000000000000014</v>
      </c>
      <c r="BQ100" s="1172">
        <f>-CF!BQ30</f>
        <v>9.8999999999999986</v>
      </c>
      <c r="BR100" s="1172">
        <f>-CF!BR30</f>
        <v>7.0999999999999979</v>
      </c>
      <c r="BS100" s="107">
        <f>SUM(BO100:BR100)</f>
        <v>33.799999999999997</v>
      </c>
      <c r="BT100" s="105"/>
      <c r="BU100" s="1173">
        <f>-CF!BU30</f>
        <v>5.7</v>
      </c>
      <c r="BV100" s="1172">
        <f>-CF!BV30</f>
        <v>7.7</v>
      </c>
      <c r="BW100" s="1172">
        <f>-CF!BW30</f>
        <v>8.7000000000000011</v>
      </c>
      <c r="BX100" s="1172">
        <f>-CF!BX30</f>
        <v>12.100000000000001</v>
      </c>
      <c r="BY100" s="107">
        <f>SUM(BU100:BX100)</f>
        <v>34.200000000000003</v>
      </c>
      <c r="BZ100" s="105"/>
      <c r="CA100" s="1173">
        <f>-CF!CA30</f>
        <v>8</v>
      </c>
      <c r="CB100" s="1172">
        <f>-CF!CB30</f>
        <v>9.1999999999999993</v>
      </c>
      <c r="CC100" s="1172">
        <f>-CF!CC30</f>
        <v>8.8000000000000007</v>
      </c>
      <c r="CD100" s="1172">
        <f>-CF!CD30</f>
        <v>11.100000000000001</v>
      </c>
      <c r="CE100" s="107">
        <f>SUM(CA100:CD100)</f>
        <v>37.1</v>
      </c>
      <c r="CF100" s="105"/>
      <c r="CG100" s="1173">
        <f>-CF!CG30</f>
        <v>11.5</v>
      </c>
      <c r="CH100" s="1172">
        <f>-CF!CH30</f>
        <v>9.6000000000000014</v>
      </c>
      <c r="CI100" s="1172">
        <f>-CF!CI30</f>
        <v>10.199999999999999</v>
      </c>
      <c r="CJ100" s="1172">
        <f>-CF!CJ30</f>
        <v>12.400000000000002</v>
      </c>
      <c r="CK100" s="107">
        <f>SUM(CG100:CJ100)</f>
        <v>43.7</v>
      </c>
      <c r="CL100" s="105"/>
      <c r="CM100" s="284">
        <f>IS!CM9*BS!CM101</f>
        <v>11.227445591274529</v>
      </c>
      <c r="CN100" s="105">
        <f>IS!CN9*BS!CN101</f>
        <v>11.508534368677875</v>
      </c>
      <c r="CO100" s="105">
        <f>IS!CO9*BS!CO101</f>
        <v>11.951494493349246</v>
      </c>
      <c r="CP100" s="105">
        <f>IS!CP9*BS!CP101</f>
        <v>14.781374362283346</v>
      </c>
      <c r="CQ100" s="107">
        <f>SUM(CM100:CP100)</f>
        <v>49.468848815584991</v>
      </c>
      <c r="CR100" s="105"/>
      <c r="CS100" s="284">
        <f>IS!CS9*BS!CS101</f>
        <v>10.345022505337445</v>
      </c>
      <c r="CT100" s="105">
        <f>IS!CT9*BS!CT101</f>
        <v>10.785699757290439</v>
      </c>
      <c r="CU100" s="105">
        <f>IS!CU9*BS!CU101</f>
        <v>10.98694298825996</v>
      </c>
      <c r="CV100" s="105">
        <f>IS!CV9*BS!CV101</f>
        <v>14.037302327985968</v>
      </c>
      <c r="CW100" s="107">
        <f>SUM(CS100:CV100)</f>
        <v>46.154967578873816</v>
      </c>
      <c r="CY100" s="284">
        <f>IS!CY9*BS!CY101</f>
        <v>10.623945770308628</v>
      </c>
      <c r="CZ100" s="105">
        <f>IS!CZ9*BS!CZ101</f>
        <v>10.893475265244161</v>
      </c>
      <c r="DA100" s="105">
        <f>IS!DA9*BS!DA101</f>
        <v>11.368239973205979</v>
      </c>
      <c r="DB100" s="105">
        <f>IS!DB9*BS!DB101</f>
        <v>14.304919588629494</v>
      </c>
      <c r="DC100" s="107">
        <f>SUM(CY100:DB100)</f>
        <v>47.190580597388262</v>
      </c>
      <c r="DE100" s="284">
        <f>IS!DE9*BS!DE101</f>
        <v>10.796571263461276</v>
      </c>
      <c r="DF100" s="105">
        <f>IS!DF9*BS!DF101</f>
        <v>11.244534035299656</v>
      </c>
      <c r="DG100" s="105">
        <f>IS!DG9*BS!DG101</f>
        <v>11.538362384182415</v>
      </c>
      <c r="DH100" s="105">
        <f>IS!DH9*BS!DH101</f>
        <v>14.707764709094596</v>
      </c>
      <c r="DI100" s="107">
        <f>SUM(DE100:DH100)</f>
        <v>48.287232392037943</v>
      </c>
    </row>
    <row r="101" spans="1:113" ht="11.25" hidden="1" customHeight="1" outlineLevel="1">
      <c r="A101" s="153" t="s">
        <v>130</v>
      </c>
      <c r="B101" s="95"/>
      <c r="C101" s="100"/>
      <c r="D101" s="95"/>
      <c r="E101" s="100">
        <f>E100/IS!E9</f>
        <v>7.0536404390168492E-2</v>
      </c>
      <c r="F101" s="95"/>
      <c r="G101" s="100">
        <f>G100/IS!G9</f>
        <v>7.2857105558601601E-2</v>
      </c>
      <c r="H101" s="95"/>
      <c r="I101" s="100">
        <f>I100/IS!I9</f>
        <v>0.18982425478201764</v>
      </c>
      <c r="J101" s="95"/>
      <c r="K101" s="100">
        <f>K100/IS!K9</f>
        <v>0.13036010477752905</v>
      </c>
      <c r="L101" s="95"/>
      <c r="M101" s="100">
        <f>M100/IS!M9</f>
        <v>2.1064220746588713E-2</v>
      </c>
      <c r="N101" s="95"/>
      <c r="O101" s="100">
        <f>O100/IS!O9</f>
        <v>2.5540054005400541E-2</v>
      </c>
      <c r="P101" s="95"/>
      <c r="Q101" s="100">
        <f>Q100/IS!Q9</f>
        <v>1.2870279084386158E-2</v>
      </c>
      <c r="R101" s="95"/>
      <c r="S101" s="315">
        <f>S100/IS!S9</f>
        <v>1.4358606730201571E-2</v>
      </c>
      <c r="T101" s="96">
        <f>T100/IS!T9</f>
        <v>1.0927221520058119E-2</v>
      </c>
      <c r="U101" s="96">
        <f>U100/IS!U9</f>
        <v>2.4573281205301802E-2</v>
      </c>
      <c r="V101" s="96">
        <f>V100/IS!V9</f>
        <v>1.9067281105990781E-2</v>
      </c>
      <c r="W101" s="100">
        <f>W100/IS!W9</f>
        <v>1.7490604220873084E-2</v>
      </c>
      <c r="X101" s="95"/>
      <c r="Y101" s="315">
        <f>Y100/IS!Y9</f>
        <v>2.051210392413846E-2</v>
      </c>
      <c r="Z101" s="96">
        <f>Z100/IS!Z9</f>
        <v>3.6779082159250152E-2</v>
      </c>
      <c r="AA101" s="96">
        <f>AA100/IS!AA9</f>
        <v>2.8354566512243551E-2</v>
      </c>
      <c r="AB101" s="96">
        <f>AB100/IS!AB9</f>
        <v>1.8337287752130445E-2</v>
      </c>
      <c r="AC101" s="100">
        <f>AC100/IS!AC9</f>
        <v>2.537776055792328E-2</v>
      </c>
      <c r="AD101" s="95"/>
      <c r="AE101" s="315">
        <f>AE100/IS!AE9</f>
        <v>5.6231640788921525E-2</v>
      </c>
      <c r="AF101" s="96">
        <f>AF100/IS!AF9</f>
        <v>4.3980738362760841E-2</v>
      </c>
      <c r="AG101" s="96">
        <f>AG100/IS!AG9</f>
        <v>5.245766212308961E-2</v>
      </c>
      <c r="AH101" s="96">
        <f>AH100/IS!AH9</f>
        <v>2.4111675126903563E-2</v>
      </c>
      <c r="AI101" s="100">
        <f>AI100/IS!AI9</f>
        <v>4.2814560563634724E-2</v>
      </c>
      <c r="AJ101" s="95"/>
      <c r="AK101" s="315">
        <f>AK100/IS!AK9</f>
        <v>1.6919739696312365E-2</v>
      </c>
      <c r="AL101" s="96">
        <f>AL100/IS!AL9</f>
        <v>1.2673267326732672E-2</v>
      </c>
      <c r="AM101" s="96">
        <f>AM100/IS!AM9</f>
        <v>6.7898906073179969E-3</v>
      </c>
      <c r="AN101" s="96">
        <f>AN100/IS!AN9</f>
        <v>2.0196506550218339E-2</v>
      </c>
      <c r="AO101" s="100">
        <f>AO100/IS!AO9</f>
        <v>1.4625392552714223E-2</v>
      </c>
      <c r="AP101" s="95"/>
      <c r="AQ101" s="315">
        <f>AQ100/IS!AQ9</f>
        <v>1.9445444724522868E-2</v>
      </c>
      <c r="AR101" s="96">
        <f>AR100/IS!AR9</f>
        <v>1.7613825191093384E-2</v>
      </c>
      <c r="AS101" s="96">
        <f>AS100/IS!AS9</f>
        <v>3.1592520954223088E-2</v>
      </c>
      <c r="AT101" s="96">
        <f>AT100/IS!AT9</f>
        <v>2.7397260273972598E-2</v>
      </c>
      <c r="AU101" s="100">
        <f>AU100/IS!AU9</f>
        <v>2.4446317725496203E-2</v>
      </c>
      <c r="AV101" s="95"/>
      <c r="AW101" s="315">
        <f>AW100/IS!AW9</f>
        <v>2.7731092436974792E-2</v>
      </c>
      <c r="AX101" s="96">
        <f>AX100/IS!AX9</f>
        <v>5.782652043868395E-2</v>
      </c>
      <c r="AY101" s="96">
        <f>AY100/IS!AY9</f>
        <v>1.266730401529636E-2</v>
      </c>
      <c r="AZ101" s="96">
        <f>AZ100/IS!AZ9</f>
        <v>3.3677120606188174E-2</v>
      </c>
      <c r="BA101" s="100">
        <f>BA100/IS!BA9</f>
        <v>3.2935763153114972E-2</v>
      </c>
      <c r="BB101" s="95"/>
      <c r="BC101" s="315">
        <f>BC100/IS!BC9</f>
        <v>2.6627218934911243E-2</v>
      </c>
      <c r="BD101" s="96">
        <f>BD100/IS!BD9</f>
        <v>4.6589018302828612E-2</v>
      </c>
      <c r="BE101" s="96">
        <f>BE100/IS!BE9</f>
        <v>4.3322912014292093E-2</v>
      </c>
      <c r="BF101" s="96">
        <f>BF100/IS!BF9</f>
        <v>4.4461627682196005E-2</v>
      </c>
      <c r="BG101" s="100">
        <f>BG100/IS!BG9</f>
        <v>4.0638606676342524E-2</v>
      </c>
      <c r="BH101" s="95"/>
      <c r="BI101" s="315">
        <f>BI100/IS!BI9</f>
        <v>3.7112353838332481E-2</v>
      </c>
      <c r="BJ101" s="96">
        <f>BJ100/IS!BJ9</f>
        <v>3.6271708067707187E-2</v>
      </c>
      <c r="BK101" s="96">
        <f>BK100/IS!BK9</f>
        <v>2.3234624145785875E-2</v>
      </c>
      <c r="BL101" s="96">
        <f>BL100/IS!BL9</f>
        <v>1.6301394674877737E-2</v>
      </c>
      <c r="BM101" s="100">
        <f>BM100/IS!BM9</f>
        <v>2.7345873654452537E-2</v>
      </c>
      <c r="BN101" s="95"/>
      <c r="BO101" s="315">
        <f>BO100/IS!BO9</f>
        <v>2.171347651640311E-2</v>
      </c>
      <c r="BP101" s="96">
        <f>BP100/IS!BP9</f>
        <v>1.661565369479668E-2</v>
      </c>
      <c r="BQ101" s="96">
        <f>BQ100/IS!BQ9</f>
        <v>2.3582658408766076E-2</v>
      </c>
      <c r="BR101" s="96">
        <f>BR100/IS!BR9</f>
        <v>1.39763779527559E-2</v>
      </c>
      <c r="BS101" s="100">
        <f>BS100/IS!BS9</f>
        <v>1.8685388910387526E-2</v>
      </c>
      <c r="BT101" s="95"/>
      <c r="BU101" s="315">
        <f>BU100/IS!BU9</f>
        <v>1.6124469589816125E-2</v>
      </c>
      <c r="BV101" s="96">
        <f>BV100/IS!BV9</f>
        <v>1.9444444444444445E-2</v>
      </c>
      <c r="BW101" s="96">
        <f>BW100/IS!BW9</f>
        <v>2.1964150467053776E-2</v>
      </c>
      <c r="BX101" s="96">
        <f>BX100/IS!BX9</f>
        <v>2.5303220409870361E-2</v>
      </c>
      <c r="BY101" s="100">
        <f>BY100/IS!BY9</f>
        <v>2.1061707106786551E-2</v>
      </c>
      <c r="BZ101" s="95"/>
      <c r="CA101" s="315">
        <f>CA100/IS!CA9</f>
        <v>2.1310602024507189E-2</v>
      </c>
      <c r="CB101" s="96">
        <f>CB100/IS!CB9</f>
        <v>2.4751143395211186E-2</v>
      </c>
      <c r="CC101" s="96">
        <f>CC100/IS!CC9</f>
        <v>2.2340695608022345E-2</v>
      </c>
      <c r="CD101" s="96">
        <f>CD100/IS!CD9</f>
        <v>2.3601956198171386E-2</v>
      </c>
      <c r="CE101" s="100">
        <f>CE100/IS!CE9</f>
        <v>2.302488673741699E-2</v>
      </c>
      <c r="CF101" s="95"/>
      <c r="CG101" s="315">
        <f>CG100/IS!CG9</f>
        <v>2.9877890361132763E-2</v>
      </c>
      <c r="CH101" s="96">
        <f>CH100/IS!CH9</f>
        <v>2.3138105567606655E-2</v>
      </c>
      <c r="CI101" s="96">
        <f>CI100/IS!CI9</f>
        <v>2.3415977961432508E-2</v>
      </c>
      <c r="CJ101" s="96">
        <f>CJ100/IS!CJ9</f>
        <v>2.337417530631479E-2</v>
      </c>
      <c r="CK101" s="100">
        <f>CK100/IS!CK9</f>
        <v>2.4746588142023896E-2</v>
      </c>
      <c r="CL101" s="95"/>
      <c r="CM101" s="1193">
        <v>2.6499999999999999E-2</v>
      </c>
      <c r="CN101" s="1192">
        <f>CM101</f>
        <v>2.6499999999999999E-2</v>
      </c>
      <c r="CO101" s="1192">
        <f t="shared" ref="CO101:CP101" si="55">CN101</f>
        <v>2.6499999999999999E-2</v>
      </c>
      <c r="CP101" s="1192">
        <f t="shared" si="55"/>
        <v>2.6499999999999999E-2</v>
      </c>
      <c r="CQ101" s="100">
        <f>CQ100/IS!CQ9</f>
        <v>2.6499999999999999E-2</v>
      </c>
      <c r="CR101" s="95"/>
      <c r="CS101" s="1193">
        <v>2.4E-2</v>
      </c>
      <c r="CT101" s="1192">
        <v>2.4E-2</v>
      </c>
      <c r="CU101" s="1192">
        <v>2.4E-2</v>
      </c>
      <c r="CV101" s="1192">
        <v>2.4E-2</v>
      </c>
      <c r="CW101" s="100">
        <f>CW100/IS!CW9</f>
        <v>2.4E-2</v>
      </c>
      <c r="CY101" s="1193">
        <v>2.4E-2</v>
      </c>
      <c r="CZ101" s="1192">
        <v>2.4E-2</v>
      </c>
      <c r="DA101" s="1192">
        <v>2.4E-2</v>
      </c>
      <c r="DB101" s="1192">
        <v>2.4E-2</v>
      </c>
      <c r="DC101" s="100">
        <f>DC100/IS!DC9</f>
        <v>2.4E-2</v>
      </c>
      <c r="DE101" s="1193">
        <v>2.4E-2</v>
      </c>
      <c r="DF101" s="1192">
        <v>2.4E-2</v>
      </c>
      <c r="DG101" s="1192">
        <v>2.4E-2</v>
      </c>
      <c r="DH101" s="1192">
        <v>2.4E-2</v>
      </c>
      <c r="DI101" s="100">
        <f>DI100/IS!DI9</f>
        <v>2.4E-2</v>
      </c>
    </row>
    <row r="102" spans="1:113" ht="11.25" hidden="1" customHeight="1" outlineLevel="1">
      <c r="A102" s="139" t="s">
        <v>131</v>
      </c>
      <c r="B102" s="105"/>
      <c r="C102" s="141"/>
      <c r="D102" s="105"/>
      <c r="E102" s="1189">
        <v>0</v>
      </c>
      <c r="F102" s="105"/>
      <c r="G102" s="1189">
        <v>0</v>
      </c>
      <c r="H102" s="105"/>
      <c r="I102" s="1189">
        <v>0</v>
      </c>
      <c r="J102" s="105"/>
      <c r="K102" s="1189">
        <v>0</v>
      </c>
      <c r="L102" s="105"/>
      <c r="M102" s="1189">
        <v>0</v>
      </c>
      <c r="N102" s="105"/>
      <c r="O102" s="1189">
        <v>0</v>
      </c>
      <c r="P102" s="105"/>
      <c r="Q102" s="1189">
        <v>0</v>
      </c>
      <c r="R102" s="105"/>
      <c r="S102" s="1190">
        <v>0</v>
      </c>
      <c r="T102" s="1191">
        <v>0</v>
      </c>
      <c r="U102" s="1191">
        <v>0</v>
      </c>
      <c r="V102" s="1191">
        <v>0</v>
      </c>
      <c r="W102" s="107">
        <f>SUM(S102:V102)</f>
        <v>0</v>
      </c>
      <c r="X102" s="105"/>
      <c r="Y102" s="1190">
        <v>0</v>
      </c>
      <c r="Z102" s="1191">
        <v>0</v>
      </c>
      <c r="AA102" s="1191">
        <v>0</v>
      </c>
      <c r="AB102" s="1191">
        <v>0</v>
      </c>
      <c r="AC102" s="107">
        <f>SUM(Y102:AB102)</f>
        <v>0</v>
      </c>
      <c r="AD102" s="105"/>
      <c r="AE102" s="1190">
        <v>0</v>
      </c>
      <c r="AF102" s="1191">
        <v>0</v>
      </c>
      <c r="AG102" s="1191">
        <v>0</v>
      </c>
      <c r="AH102" s="1191">
        <v>0</v>
      </c>
      <c r="AI102" s="107">
        <f>SUM(AE102:AH102)</f>
        <v>0</v>
      </c>
      <c r="AJ102" s="105"/>
      <c r="AK102" s="1190">
        <v>0</v>
      </c>
      <c r="AL102" s="1191">
        <v>4.9000000000000004</v>
      </c>
      <c r="AM102" s="1191">
        <v>0</v>
      </c>
      <c r="AN102" s="1191">
        <v>0</v>
      </c>
      <c r="AO102" s="107">
        <f>SUM(AK102:AN102)</f>
        <v>4.9000000000000004</v>
      </c>
      <c r="AP102" s="105"/>
      <c r="AQ102" s="1190">
        <v>0</v>
      </c>
      <c r="AR102" s="1191">
        <v>2.4</v>
      </c>
      <c r="AS102" s="1191">
        <v>0</v>
      </c>
      <c r="AT102" s="1191">
        <v>18</v>
      </c>
      <c r="AU102" s="107">
        <f>SUM(AQ102:AT102)</f>
        <v>20.399999999999999</v>
      </c>
      <c r="AV102" s="105"/>
      <c r="AW102" s="1190">
        <v>0</v>
      </c>
      <c r="AX102" s="1191">
        <v>0.2</v>
      </c>
      <c r="AY102" s="1191">
        <v>0</v>
      </c>
      <c r="AZ102" s="1191">
        <v>0</v>
      </c>
      <c r="BA102" s="107">
        <f>SUM(AW102:AZ102)</f>
        <v>0.2</v>
      </c>
      <c r="BB102" s="105"/>
      <c r="BC102" s="1190">
        <v>2.4</v>
      </c>
      <c r="BD102" s="1191">
        <v>0</v>
      </c>
      <c r="BE102" s="1191">
        <v>0</v>
      </c>
      <c r="BF102" s="1191">
        <v>0</v>
      </c>
      <c r="BG102" s="107">
        <f>SUM(BC102:BF102)</f>
        <v>2.4</v>
      </c>
      <c r="BH102" s="105"/>
      <c r="BI102" s="1190">
        <v>2.2999999999999998</v>
      </c>
      <c r="BJ102" s="1178">
        <v>0</v>
      </c>
      <c r="BK102" s="1178">
        <v>0</v>
      </c>
      <c r="BL102" s="140">
        <v>0</v>
      </c>
      <c r="BM102" s="107">
        <f>SUM(BI102:BL102)</f>
        <v>2.2999999999999998</v>
      </c>
      <c r="BN102" s="105"/>
      <c r="BO102" s="1190">
        <v>0</v>
      </c>
      <c r="BP102" s="1178">
        <v>0</v>
      </c>
      <c r="BQ102" s="1178">
        <v>0</v>
      </c>
      <c r="BR102" s="140">
        <v>0</v>
      </c>
      <c r="BS102" s="107">
        <f>SUM(BO102:BR102)</f>
        <v>0</v>
      </c>
      <c r="BT102" s="105"/>
      <c r="BU102" s="1190">
        <v>0</v>
      </c>
      <c r="BV102" s="1178">
        <v>0</v>
      </c>
      <c r="BW102" s="1178">
        <v>0</v>
      </c>
      <c r="BX102" s="140">
        <v>0</v>
      </c>
      <c r="BY102" s="107">
        <f>SUM(BU102:BX102)</f>
        <v>0</v>
      </c>
      <c r="BZ102" s="105"/>
      <c r="CA102" s="1190">
        <v>0</v>
      </c>
      <c r="CB102" s="1178">
        <v>0</v>
      </c>
      <c r="CC102" s="1178">
        <v>0</v>
      </c>
      <c r="CD102" s="140">
        <v>0</v>
      </c>
      <c r="CE102" s="107">
        <f>SUM(CA102:CD102)</f>
        <v>0</v>
      </c>
      <c r="CF102" s="105"/>
      <c r="CG102" s="1190">
        <v>0</v>
      </c>
      <c r="CH102" s="1178">
        <v>0</v>
      </c>
      <c r="CI102" s="1178">
        <v>0</v>
      </c>
      <c r="CJ102" s="140">
        <v>0</v>
      </c>
      <c r="CK102" s="107">
        <f>SUM(CG102:CJ102)</f>
        <v>0</v>
      </c>
      <c r="CL102" s="105"/>
      <c r="CM102" s="284">
        <f>-CM133*CF!CM29</f>
        <v>0</v>
      </c>
      <c r="CN102" s="105">
        <f>-CN133*CF!CN29</f>
        <v>0</v>
      </c>
      <c r="CO102" s="105">
        <f>-CO133*CF!CO29</f>
        <v>0</v>
      </c>
      <c r="CP102" s="105">
        <f>-CP133*CF!CP29</f>
        <v>0</v>
      </c>
      <c r="CQ102" s="107">
        <f>SUM(CM102:CP102)</f>
        <v>0</v>
      </c>
      <c r="CR102" s="105"/>
      <c r="CS102" s="284">
        <f>-CS133*CF!CS29</f>
        <v>0</v>
      </c>
      <c r="CT102" s="105">
        <f>-CT133*CF!CT29</f>
        <v>0</v>
      </c>
      <c r="CU102" s="105">
        <f>-CU133*CF!CU29</f>
        <v>0</v>
      </c>
      <c r="CV102" s="105">
        <f>-CV133*CF!CV29</f>
        <v>0</v>
      </c>
      <c r="CW102" s="107">
        <f>SUM(CS102:CV102)</f>
        <v>0</v>
      </c>
      <c r="CY102" s="284">
        <f>-CY133*CF!CY29</f>
        <v>0</v>
      </c>
      <c r="CZ102" s="105">
        <f>-CZ133*CF!CZ29</f>
        <v>0</v>
      </c>
      <c r="DA102" s="105">
        <f>-DA133*CF!DA29</f>
        <v>0</v>
      </c>
      <c r="DB102" s="105">
        <f>-DB133*CF!DB29</f>
        <v>0</v>
      </c>
      <c r="DC102" s="107">
        <f>SUM(CY102:DB102)</f>
        <v>0</v>
      </c>
      <c r="DE102" s="284">
        <f>-DE133*CF!DE29</f>
        <v>0</v>
      </c>
      <c r="DF102" s="105">
        <f>-DF133*CF!DF29</f>
        <v>0</v>
      </c>
      <c r="DG102" s="105">
        <f>-DG133*CF!DG29</f>
        <v>0</v>
      </c>
      <c r="DH102" s="105">
        <f>-DH133*CF!DH29</f>
        <v>0</v>
      </c>
      <c r="DI102" s="107">
        <f>SUM(DE102:DH102)</f>
        <v>0</v>
      </c>
    </row>
    <row r="103" spans="1:113" ht="11.25" hidden="1" customHeight="1" outlineLevel="1">
      <c r="A103" s="139" t="s">
        <v>132</v>
      </c>
      <c r="B103" s="105"/>
      <c r="C103" s="107"/>
      <c r="D103" s="105"/>
      <c r="E103" s="107">
        <f>E104-E99-E100-E102</f>
        <v>-7.7359729999999987</v>
      </c>
      <c r="F103" s="105"/>
      <c r="G103" s="107">
        <f>G104-G99-G100-G102</f>
        <v>-4.3080000000000043</v>
      </c>
      <c r="H103" s="105"/>
      <c r="I103" s="107">
        <f>I104-I99-I100-I102</f>
        <v>-3.144999999999996</v>
      </c>
      <c r="J103" s="105"/>
      <c r="K103" s="107">
        <f>K104-K99-K100-K102</f>
        <v>22.207000000000001</v>
      </c>
      <c r="L103" s="105"/>
      <c r="M103" s="107">
        <f>M104-M99-M100-M102</f>
        <v>18.079999999999998</v>
      </c>
      <c r="N103" s="105"/>
      <c r="O103" s="107">
        <f>O104-O99-O100-O102</f>
        <v>4.9930000000000048</v>
      </c>
      <c r="P103" s="105"/>
      <c r="Q103" s="107">
        <f>Q104-Q99-Q100-Q102</f>
        <v>-0.59800000000001674</v>
      </c>
      <c r="R103" s="105"/>
      <c r="S103" s="1190">
        <v>0</v>
      </c>
      <c r="T103" s="1191">
        <v>0</v>
      </c>
      <c r="U103" s="1191">
        <v>0</v>
      </c>
      <c r="V103" s="105">
        <f>V104-V99-V100-V102</f>
        <v>13.611000000000002</v>
      </c>
      <c r="W103" s="107">
        <f>SUM(S103:V103)</f>
        <v>13.611000000000002</v>
      </c>
      <c r="X103" s="105"/>
      <c r="Y103" s="1190">
        <v>0</v>
      </c>
      <c r="Z103" s="1191">
        <v>0</v>
      </c>
      <c r="AA103" s="1191">
        <v>0</v>
      </c>
      <c r="AB103" s="105">
        <f>AB104-AB99-AB100-AB102</f>
        <v>260.96600000000007</v>
      </c>
      <c r="AC103" s="107">
        <f>SUM(Y103:AB103)</f>
        <v>260.96600000000007</v>
      </c>
      <c r="AD103" s="105"/>
      <c r="AE103" s="1190">
        <v>0</v>
      </c>
      <c r="AF103" s="1191">
        <v>0</v>
      </c>
      <c r="AG103" s="1191">
        <v>0</v>
      </c>
      <c r="AH103" s="105">
        <f>AH104-AH99-AH100-AH102</f>
        <v>-20.399999999999956</v>
      </c>
      <c r="AI103" s="107">
        <f>SUM(AE103:AH103)</f>
        <v>-20.399999999999956</v>
      </c>
      <c r="AJ103" s="105"/>
      <c r="AK103" s="1190">
        <v>0</v>
      </c>
      <c r="AL103" s="1191">
        <v>0</v>
      </c>
      <c r="AM103" s="1191">
        <v>0</v>
      </c>
      <c r="AN103" s="105">
        <f>AN104-AN99-AN100-AN102</f>
        <v>10.1</v>
      </c>
      <c r="AO103" s="107">
        <f>SUM(AK103:AN103)</f>
        <v>10.1</v>
      </c>
      <c r="AP103" s="105"/>
      <c r="AQ103" s="1190">
        <v>0</v>
      </c>
      <c r="AR103" s="1191">
        <v>0</v>
      </c>
      <c r="AS103" s="1191">
        <v>0</v>
      </c>
      <c r="AT103" s="105">
        <f>AT104-AT99-AT100-AT102</f>
        <v>-28.899999999999885</v>
      </c>
      <c r="AU103" s="107">
        <f>SUM(AQ103:AT103)</f>
        <v>-28.899999999999885</v>
      </c>
      <c r="AV103" s="105"/>
      <c r="AW103" s="1190">
        <v>0</v>
      </c>
      <c r="AX103" s="1191">
        <v>0</v>
      </c>
      <c r="AY103" s="1191">
        <v>0</v>
      </c>
      <c r="AZ103" s="105">
        <f>AZ104-AZ99-AZ100-AZ102</f>
        <v>-22.900000000000091</v>
      </c>
      <c r="BA103" s="107">
        <f>SUM(AW103:AZ103)</f>
        <v>-22.900000000000091</v>
      </c>
      <c r="BB103" s="105"/>
      <c r="BC103" s="1190">
        <v>0</v>
      </c>
      <c r="BD103" s="1191">
        <v>0</v>
      </c>
      <c r="BE103" s="1191">
        <v>0</v>
      </c>
      <c r="BF103" s="1191">
        <v>17.2</v>
      </c>
      <c r="BG103" s="107">
        <f>SUM(BC103:BF103)</f>
        <v>17.2</v>
      </c>
      <c r="BH103" s="105"/>
      <c r="BI103" s="1190">
        <v>0</v>
      </c>
      <c r="BJ103" s="1191">
        <v>0</v>
      </c>
      <c r="BK103" s="1191">
        <v>0</v>
      </c>
      <c r="BL103" s="1191">
        <v>0</v>
      </c>
      <c r="BM103" s="107">
        <f>SUM(BI103:BL103)</f>
        <v>0</v>
      </c>
      <c r="BN103" s="105"/>
      <c r="BO103" s="1190">
        <v>0</v>
      </c>
      <c r="BP103" s="1191">
        <v>0</v>
      </c>
      <c r="BQ103" s="1191">
        <v>0</v>
      </c>
      <c r="BR103" s="1191">
        <v>0</v>
      </c>
      <c r="BS103" s="107">
        <f>SUM(BO103:BR103)</f>
        <v>0</v>
      </c>
      <c r="BT103" s="105"/>
      <c r="BU103" s="1190">
        <v>0</v>
      </c>
      <c r="BV103" s="1191">
        <v>0</v>
      </c>
      <c r="BW103" s="1191">
        <v>0</v>
      </c>
      <c r="BX103" s="1191">
        <v>0</v>
      </c>
      <c r="BY103" s="107">
        <f>SUM(BU103:BX103)</f>
        <v>0</v>
      </c>
      <c r="BZ103" s="105"/>
      <c r="CA103" s="1190">
        <v>0</v>
      </c>
      <c r="CB103" s="1191">
        <v>0</v>
      </c>
      <c r="CC103" s="1191">
        <v>0</v>
      </c>
      <c r="CD103" s="1191">
        <v>0</v>
      </c>
      <c r="CE103" s="107">
        <f>SUM(CA103:CD103)</f>
        <v>0</v>
      </c>
      <c r="CF103" s="105"/>
      <c r="CG103" s="1190">
        <v>0</v>
      </c>
      <c r="CH103" s="1191">
        <v>0</v>
      </c>
      <c r="CI103" s="1191">
        <v>0</v>
      </c>
      <c r="CJ103" s="1191">
        <v>0</v>
      </c>
      <c r="CK103" s="107">
        <f>SUM(CG103:CJ103)</f>
        <v>0</v>
      </c>
      <c r="CL103" s="105"/>
      <c r="CM103" s="1190">
        <v>0</v>
      </c>
      <c r="CN103" s="1191">
        <v>0</v>
      </c>
      <c r="CO103" s="1191">
        <v>0</v>
      </c>
      <c r="CP103" s="1191">
        <v>0</v>
      </c>
      <c r="CQ103" s="107">
        <f>SUM(CM103:CP103)</f>
        <v>0</v>
      </c>
      <c r="CR103" s="105"/>
      <c r="CS103" s="1190">
        <v>0</v>
      </c>
      <c r="CT103" s="1191">
        <v>0</v>
      </c>
      <c r="CU103" s="1191">
        <v>0</v>
      </c>
      <c r="CV103" s="1191">
        <v>0</v>
      </c>
      <c r="CW103" s="107">
        <f>SUM(CS103:CV103)</f>
        <v>0</v>
      </c>
      <c r="CY103" s="1190">
        <v>0</v>
      </c>
      <c r="CZ103" s="1191">
        <v>0</v>
      </c>
      <c r="DA103" s="1191">
        <v>0</v>
      </c>
      <c r="DB103" s="1191">
        <v>0</v>
      </c>
      <c r="DC103" s="107">
        <f>SUM(CY103:DB103)</f>
        <v>0</v>
      </c>
      <c r="DE103" s="1190">
        <v>0</v>
      </c>
      <c r="DF103" s="1191">
        <v>0</v>
      </c>
      <c r="DG103" s="1191">
        <v>0</v>
      </c>
      <c r="DH103" s="1191">
        <v>0</v>
      </c>
      <c r="DI103" s="107">
        <f>SUM(DE103:DH103)</f>
        <v>0</v>
      </c>
    </row>
    <row r="104" spans="1:113" ht="11.25" hidden="1" customHeight="1" outlineLevel="1">
      <c r="A104" s="154" t="s">
        <v>133</v>
      </c>
      <c r="B104" s="156"/>
      <c r="C104" s="538">
        <v>47.156973000000001</v>
      </c>
      <c r="D104" s="156"/>
      <c r="E104" s="538">
        <v>43.984000000000002</v>
      </c>
      <c r="F104" s="156"/>
      <c r="G104" s="538">
        <v>45.256999999999998</v>
      </c>
      <c r="H104" s="156"/>
      <c r="I104" s="538">
        <v>59.707000000000001</v>
      </c>
      <c r="J104" s="156"/>
      <c r="K104" s="538">
        <v>110.679</v>
      </c>
      <c r="L104" s="156"/>
      <c r="M104" s="538">
        <v>134.25</v>
      </c>
      <c r="N104" s="156"/>
      <c r="O104" s="538">
        <v>146.50700000000001</v>
      </c>
      <c r="P104" s="158"/>
      <c r="Q104" s="538">
        <v>150.69999999999999</v>
      </c>
      <c r="R104" s="158"/>
      <c r="S104" s="539">
        <f>S99+S100+S102+S103</f>
        <v>152.06199999999998</v>
      </c>
      <c r="T104" s="540">
        <f>T99+T100+T102+T103</f>
        <v>153.16</v>
      </c>
      <c r="U104" s="540">
        <f>U99+U100+U102+U103</f>
        <v>155.73699999999999</v>
      </c>
      <c r="V104" s="1194">
        <v>171.934</v>
      </c>
      <c r="W104" s="541">
        <f>W99+W100+W102+W103</f>
        <v>171.93399999999997</v>
      </c>
      <c r="X104" s="158"/>
      <c r="Y104" s="539">
        <f>Y99+Y100+Y102+Y103</f>
        <v>176.19099999999997</v>
      </c>
      <c r="Z104" s="540">
        <f>Z99+Z100+Z102+Z103</f>
        <v>184.95699999999997</v>
      </c>
      <c r="AA104" s="540">
        <f>AA99+AA100+AA102+AA103</f>
        <v>191.81199999999995</v>
      </c>
      <c r="AB104" s="1194">
        <v>459.1</v>
      </c>
      <c r="AC104" s="541">
        <f>AC99+AC100+AC102+AC103</f>
        <v>459.1</v>
      </c>
      <c r="AD104" s="156"/>
      <c r="AE104" s="539">
        <f>AE99+AE100+AE102+AE103</f>
        <v>472.5</v>
      </c>
      <c r="AF104" s="540">
        <f>AF99+AF100+AF102+AF103</f>
        <v>486.2</v>
      </c>
      <c r="AG104" s="540">
        <f>AG99+AG100+AG102+AG103</f>
        <v>498.9</v>
      </c>
      <c r="AH104" s="1194">
        <v>486.1</v>
      </c>
      <c r="AI104" s="541">
        <f>AI99+AI100+AI102+AI103</f>
        <v>486.1</v>
      </c>
      <c r="AJ104" s="156"/>
      <c r="AK104" s="539">
        <f>AK99+AK100+AK102+AK103</f>
        <v>490</v>
      </c>
      <c r="AL104" s="540">
        <f>AL99+AL100+AL102+AL103</f>
        <v>498.09999999999997</v>
      </c>
      <c r="AM104" s="540">
        <f>AM99+AM100+AM102+AM103</f>
        <v>499.9</v>
      </c>
      <c r="AN104" s="1194">
        <v>517.4</v>
      </c>
      <c r="AO104" s="541">
        <f>AO99+AO100+AO102+AO103</f>
        <v>517.4</v>
      </c>
      <c r="AP104" s="156"/>
      <c r="AQ104" s="539">
        <f>AQ99+AQ100+AQ102+AQ103</f>
        <v>522.79999999999995</v>
      </c>
      <c r="AR104" s="540">
        <f>AR99+AR100+AR102+AR103</f>
        <v>530.49999999999989</v>
      </c>
      <c r="AS104" s="540">
        <f>AS99+AS100+AS102+AS103</f>
        <v>540.29999999999984</v>
      </c>
      <c r="AT104" s="1194">
        <v>540.79999999999995</v>
      </c>
      <c r="AU104" s="541">
        <f>AU99+AU100+AU102+AU103</f>
        <v>540.80000000000007</v>
      </c>
      <c r="AV104" s="156"/>
      <c r="AW104" s="539">
        <f>AW99+AW100+AW102+AW103</f>
        <v>550.70000000000005</v>
      </c>
      <c r="AX104" s="540">
        <f>AX99+AX100+AX102+AX103</f>
        <v>574.10000000000014</v>
      </c>
      <c r="AY104" s="540">
        <f>AY99+AY100+AY102+AY103</f>
        <v>579.40000000000009</v>
      </c>
      <c r="AZ104" s="1194">
        <v>572.5</v>
      </c>
      <c r="BA104" s="541">
        <f>BA99+BA100+BA102+BA103</f>
        <v>572.5</v>
      </c>
      <c r="BB104" s="156"/>
      <c r="BC104" s="539">
        <f>BC99+BC100+BC102+BC103</f>
        <v>585.69999999999993</v>
      </c>
      <c r="BD104" s="540">
        <f>BD99+BD100+BD102+BD103</f>
        <v>605.29999999999995</v>
      </c>
      <c r="BE104" s="540">
        <f>BE99+BE100+BE102+BE103</f>
        <v>624.69999999999993</v>
      </c>
      <c r="BF104" s="759">
        <f>BF99+BF100+BF102+BF103</f>
        <v>664.9</v>
      </c>
      <c r="BG104" s="541">
        <f>BG99+BG100+BG102+BG103</f>
        <v>664.9</v>
      </c>
      <c r="BH104" s="156"/>
      <c r="BI104" s="539">
        <f>BI99+BI100+BI102+BI103</f>
        <v>681.8</v>
      </c>
      <c r="BJ104" s="540">
        <f>BJ99+BJ100+BJ102+BJ103</f>
        <v>698.3</v>
      </c>
      <c r="BK104" s="540">
        <f>BK99+BK100+BK102+BK103</f>
        <v>708.5</v>
      </c>
      <c r="BL104" s="540">
        <f>BL99+BL100+BL102+BL103</f>
        <v>717.5</v>
      </c>
      <c r="BM104" s="541">
        <f>BM99+BM100+BM102+BM103</f>
        <v>717.49999999999989</v>
      </c>
      <c r="BN104" s="156"/>
      <c r="BO104" s="539">
        <f>BO99+BO100+BO102+BO103</f>
        <v>726.69999999999993</v>
      </c>
      <c r="BP104" s="540">
        <f>BP99+BP100+BP102+BP103</f>
        <v>734.3</v>
      </c>
      <c r="BQ104" s="540">
        <f>BQ99+BQ100+BQ102+BQ103</f>
        <v>744.19999999999993</v>
      </c>
      <c r="BR104" s="540">
        <f>BR99+BR100+BR102+BR103</f>
        <v>751.3</v>
      </c>
      <c r="BS104" s="541">
        <f>BS99+BS100+BS102+BS103</f>
        <v>751.29999999999984</v>
      </c>
      <c r="BT104" s="156"/>
      <c r="BU104" s="539">
        <f>BU99+BU100+BU102+BU103</f>
        <v>756.99999999999989</v>
      </c>
      <c r="BV104" s="540">
        <f>BV99+BV100+BV102+BV103</f>
        <v>764.69999999999993</v>
      </c>
      <c r="BW104" s="540">
        <f>BW99+BW100+BW102+BW103</f>
        <v>773.4</v>
      </c>
      <c r="BX104" s="540">
        <f>BX99+BX100+BX102+BX103</f>
        <v>785.5</v>
      </c>
      <c r="BY104" s="541">
        <f>BY99+BY100+BY102+BY103</f>
        <v>785.49999999999989</v>
      </c>
      <c r="BZ104" s="156"/>
      <c r="CA104" s="539">
        <f>CA99+CA100+CA102+CA103</f>
        <v>793.49999999999989</v>
      </c>
      <c r="CB104" s="540">
        <f>CB99+CB100+CB102+CB103</f>
        <v>802.69999999999993</v>
      </c>
      <c r="CC104" s="540">
        <f>CC99+CC100+CC102+CC103</f>
        <v>811.49999999999989</v>
      </c>
      <c r="CD104" s="540">
        <f>CD99+CD100+CD102+CD103</f>
        <v>822.59999999999991</v>
      </c>
      <c r="CE104" s="541">
        <f>CE99+CE100+CE102+CE103</f>
        <v>822.59999999999991</v>
      </c>
      <c r="CF104" s="156"/>
      <c r="CG104" s="539">
        <f>CG99+CG100+CG102+CG103</f>
        <v>834.09999999999991</v>
      </c>
      <c r="CH104" s="540">
        <f>CH99+CH100+CH102+CH103</f>
        <v>843.69999999999993</v>
      </c>
      <c r="CI104" s="540">
        <f>CI99+CI100+CI102+CI103</f>
        <v>853.9</v>
      </c>
      <c r="CJ104" s="540">
        <f>CJ99+CJ100+CJ102+CJ103</f>
        <v>866.3</v>
      </c>
      <c r="CK104" s="541">
        <f>CK99+CK100+CK102+CK103</f>
        <v>866.3</v>
      </c>
      <c r="CL104" s="156"/>
      <c r="CM104" s="539">
        <f>CM99+CM100+CM102+CM103</f>
        <v>877.5274455912745</v>
      </c>
      <c r="CN104" s="540">
        <f>CN99+CN100+CN102+CN103</f>
        <v>889.03597995995233</v>
      </c>
      <c r="CO104" s="540">
        <f>CO99+CO100+CO102+CO103</f>
        <v>900.98747445330162</v>
      </c>
      <c r="CP104" s="540">
        <f>CP99+CP100+CP102+CP103</f>
        <v>915.76884881558499</v>
      </c>
      <c r="CQ104" s="541">
        <f>CQ99+CQ100+CQ102+CQ103</f>
        <v>915.76884881558499</v>
      </c>
      <c r="CR104" s="156"/>
      <c r="CS104" s="539">
        <f>CS99+CS100+CS102+CS103</f>
        <v>926.11387132092239</v>
      </c>
      <c r="CT104" s="540">
        <f>CT99+CT100+CT102+CT103</f>
        <v>936.89957107821283</v>
      </c>
      <c r="CU104" s="540">
        <f>CU99+CU100+CU102+CU103</f>
        <v>947.88651406647284</v>
      </c>
      <c r="CV104" s="540">
        <f>CV99+CV100+CV102+CV103</f>
        <v>961.92381639445875</v>
      </c>
      <c r="CW104" s="541">
        <f>CW99+CW100+CW102+CW103</f>
        <v>961.92381639445875</v>
      </c>
      <c r="CY104" s="539">
        <f>CY99+CY100+CY102+CY103</f>
        <v>972.54776216476739</v>
      </c>
      <c r="CZ104" s="540">
        <f>CZ99+CZ100+CZ102+CZ103</f>
        <v>983.4412374300116</v>
      </c>
      <c r="DA104" s="540">
        <f>DA99+DA100+DA102+DA103</f>
        <v>994.80947740321756</v>
      </c>
      <c r="DB104" s="540">
        <f>DB99+DB100+DB102+DB103</f>
        <v>1009.114396991847</v>
      </c>
      <c r="DC104" s="541">
        <f>DC99+DC100+DC102+DC103</f>
        <v>1009.114396991847</v>
      </c>
      <c r="DE104" s="539">
        <f>DE99+DE100+DE102+DE103</f>
        <v>1019.9109682553083</v>
      </c>
      <c r="DF104" s="540">
        <f>DF99+DF100+DF102+DF103</f>
        <v>1031.155502290608</v>
      </c>
      <c r="DG104" s="540">
        <f>DG99+DG100+DG102+DG103</f>
        <v>1042.6938646747903</v>
      </c>
      <c r="DH104" s="540">
        <f>DH99+DH100+DH102+DH103</f>
        <v>1057.4016293838849</v>
      </c>
      <c r="DI104" s="541">
        <f>DI99+DI100+DI102+DI103</f>
        <v>1057.4016293838849</v>
      </c>
    </row>
    <row r="105" spans="1:113" ht="11.25" hidden="1" customHeight="1" outlineLevel="1">
      <c r="A105" s="148"/>
      <c r="B105" s="149"/>
      <c r="C105" s="107"/>
      <c r="D105" s="149"/>
      <c r="E105" s="107"/>
      <c r="F105" s="149"/>
      <c r="G105" s="107"/>
      <c r="H105" s="149"/>
      <c r="I105" s="107"/>
      <c r="J105" s="149"/>
      <c r="K105" s="107"/>
      <c r="L105" s="149"/>
      <c r="M105" s="107"/>
      <c r="N105" s="149"/>
      <c r="O105" s="107"/>
      <c r="P105" s="149"/>
      <c r="Q105" s="107"/>
      <c r="R105" s="152"/>
      <c r="S105" s="284"/>
      <c r="T105" s="105"/>
      <c r="U105" s="105"/>
      <c r="V105" s="105"/>
      <c r="W105" s="107"/>
      <c r="X105" s="149"/>
      <c r="Y105" s="284"/>
      <c r="Z105" s="105"/>
      <c r="AA105" s="105"/>
      <c r="AB105" s="105"/>
      <c r="AC105" s="107"/>
      <c r="AD105" s="149"/>
      <c r="AE105" s="284"/>
      <c r="AF105" s="105"/>
      <c r="AG105" s="105"/>
      <c r="AH105" s="105"/>
      <c r="AI105" s="107"/>
      <c r="AJ105" s="105"/>
      <c r="AK105" s="284"/>
      <c r="AL105" s="105"/>
      <c r="AM105" s="105"/>
      <c r="AN105" s="105"/>
      <c r="AO105" s="107"/>
      <c r="AP105" s="105"/>
      <c r="AQ105" s="284"/>
      <c r="AR105" s="105"/>
      <c r="AS105" s="105"/>
      <c r="AT105" s="105"/>
      <c r="AU105" s="107"/>
      <c r="AV105" s="105"/>
      <c r="AW105" s="284"/>
      <c r="AX105" s="105"/>
      <c r="AY105" s="105"/>
      <c r="AZ105" s="105"/>
      <c r="BA105" s="107"/>
      <c r="BB105" s="105"/>
      <c r="BC105" s="284"/>
      <c r="BD105" s="105"/>
      <c r="BE105" s="105"/>
      <c r="BF105" s="105"/>
      <c r="BG105" s="107"/>
      <c r="BH105" s="105"/>
      <c r="BI105" s="284"/>
      <c r="BJ105" s="105"/>
      <c r="BK105" s="105"/>
      <c r="BL105" s="105"/>
      <c r="BM105" s="107"/>
      <c r="BN105" s="105"/>
      <c r="BO105" s="284"/>
      <c r="BP105" s="105"/>
      <c r="BQ105" s="105"/>
      <c r="BR105" s="105"/>
      <c r="BS105" s="107"/>
      <c r="BT105" s="105"/>
      <c r="BU105" s="284"/>
      <c r="BV105" s="105"/>
      <c r="BW105" s="105"/>
      <c r="BX105" s="105"/>
      <c r="BY105" s="107"/>
      <c r="BZ105" s="105"/>
      <c r="CA105" s="284"/>
      <c r="CB105" s="105"/>
      <c r="CC105" s="105"/>
      <c r="CD105" s="105"/>
      <c r="CE105" s="107"/>
      <c r="CF105" s="105"/>
      <c r="CG105" s="284"/>
      <c r="CH105" s="105"/>
      <c r="CI105" s="105"/>
      <c r="CJ105" s="105"/>
      <c r="CK105" s="107"/>
      <c r="CL105" s="105"/>
      <c r="CM105" s="284"/>
      <c r="CN105" s="105"/>
      <c r="CO105" s="105"/>
      <c r="CP105" s="105"/>
      <c r="CQ105" s="107"/>
      <c r="CR105" s="105"/>
      <c r="CS105" s="284"/>
      <c r="CT105" s="105"/>
      <c r="CU105" s="105"/>
      <c r="CV105" s="105"/>
      <c r="CW105" s="107"/>
      <c r="CY105" s="284"/>
      <c r="CZ105" s="105"/>
      <c r="DA105" s="105"/>
      <c r="DB105" s="105"/>
      <c r="DC105" s="107"/>
      <c r="DE105" s="284"/>
      <c r="DF105" s="105"/>
      <c r="DG105" s="105"/>
      <c r="DH105" s="105"/>
      <c r="DI105" s="107"/>
    </row>
    <row r="106" spans="1:113" ht="11.25" hidden="1" customHeight="1" outlineLevel="1">
      <c r="A106" s="104" t="s">
        <v>134</v>
      </c>
      <c r="B106" s="105"/>
      <c r="C106" s="158"/>
      <c r="D106" s="156"/>
      <c r="E106" s="158">
        <f>C110</f>
        <v>-18.791392999999999</v>
      </c>
      <c r="F106" s="156"/>
      <c r="G106" s="158">
        <f>E110</f>
        <v>-18.632999999999999</v>
      </c>
      <c r="H106" s="156"/>
      <c r="I106" s="158">
        <f>G110</f>
        <v>-19.728999999999999</v>
      </c>
      <c r="J106" s="156"/>
      <c r="K106" s="158">
        <f>I110</f>
        <v>-22.454999999999998</v>
      </c>
      <c r="L106" s="156"/>
      <c r="M106" s="158">
        <f>K110</f>
        <v>-37.43</v>
      </c>
      <c r="N106" s="156"/>
      <c r="O106" s="158">
        <f>M110</f>
        <v>-52.896000000000001</v>
      </c>
      <c r="P106" s="156"/>
      <c r="Q106" s="158">
        <f>O110</f>
        <v>-61.517000000000003</v>
      </c>
      <c r="R106" s="156"/>
      <c r="S106" s="298">
        <f>Q110</f>
        <v>-65.387</v>
      </c>
      <c r="T106" s="156">
        <f>S110</f>
        <v>-79.24499999999999</v>
      </c>
      <c r="U106" s="156">
        <f>T110</f>
        <v>-78.295999999999992</v>
      </c>
      <c r="V106" s="156">
        <f>U110</f>
        <v>-67.828999999999994</v>
      </c>
      <c r="W106" s="158">
        <f>Q110</f>
        <v>-65.387</v>
      </c>
      <c r="X106" s="156"/>
      <c r="Y106" s="298">
        <f>W110</f>
        <v>-81.584999999999994</v>
      </c>
      <c r="Z106" s="156">
        <f>Y110</f>
        <v>-84.780999999999977</v>
      </c>
      <c r="AA106" s="156">
        <f>Z110</f>
        <v>-89.921999999999969</v>
      </c>
      <c r="AB106" s="156">
        <f>AA110</f>
        <v>-90.796999999999954</v>
      </c>
      <c r="AC106" s="158">
        <f>W110</f>
        <v>-81.584999999999994</v>
      </c>
      <c r="AD106" s="156"/>
      <c r="AE106" s="298">
        <f>AC110</f>
        <v>-251.49999999999997</v>
      </c>
      <c r="AF106" s="156">
        <f>AE110</f>
        <v>-240.959</v>
      </c>
      <c r="AG106" s="156">
        <f>AF110</f>
        <v>-249.87899999999999</v>
      </c>
      <c r="AH106" s="156">
        <f>AG110</f>
        <v>-279.58299999999997</v>
      </c>
      <c r="AI106" s="158">
        <f>AC110</f>
        <v>-251.49999999999997</v>
      </c>
      <c r="AJ106" s="156"/>
      <c r="AK106" s="298">
        <f>AI110</f>
        <v>-264.80000000000007</v>
      </c>
      <c r="AL106" s="156">
        <f>AK110</f>
        <v>-281.39999999999998</v>
      </c>
      <c r="AM106" s="156">
        <f>AL110</f>
        <v>-276.79999999999995</v>
      </c>
      <c r="AN106" s="156">
        <f>AM110</f>
        <v>-273.5</v>
      </c>
      <c r="AO106" s="158">
        <f>AI110</f>
        <v>-264.80000000000007</v>
      </c>
      <c r="AP106" s="156"/>
      <c r="AQ106" s="298">
        <f>AO110</f>
        <v>-294</v>
      </c>
      <c r="AR106" s="156">
        <f>AQ110</f>
        <v>-310.79999999999995</v>
      </c>
      <c r="AS106" s="156">
        <f>AR110</f>
        <v>-331.19999999999987</v>
      </c>
      <c r="AT106" s="156">
        <f>AS110</f>
        <v>-321.59999999999985</v>
      </c>
      <c r="AU106" s="158">
        <f>AO110</f>
        <v>-294</v>
      </c>
      <c r="AV106" s="156"/>
      <c r="AW106" s="298">
        <f>AU110</f>
        <v>-307.10000000000002</v>
      </c>
      <c r="AX106" s="156">
        <f>AW110</f>
        <v>-303.90000000000003</v>
      </c>
      <c r="AY106" s="156">
        <f>AX110</f>
        <v>-308.20000000000016</v>
      </c>
      <c r="AZ106" s="156">
        <f>AY110</f>
        <v>-330.00000000000011</v>
      </c>
      <c r="BA106" s="158">
        <f>AU110</f>
        <v>-307.10000000000002</v>
      </c>
      <c r="BB106" s="156"/>
      <c r="BC106" s="298">
        <f>BA110</f>
        <v>-323.5</v>
      </c>
      <c r="BD106" s="156">
        <f>BC110</f>
        <v>-323.89999999999992</v>
      </c>
      <c r="BE106" s="156">
        <f>BD110</f>
        <v>-346.19999999999993</v>
      </c>
      <c r="BF106" s="156">
        <f>BE110</f>
        <v>-352.19999999999993</v>
      </c>
      <c r="BG106" s="158">
        <f>BA110</f>
        <v>-323.5</v>
      </c>
      <c r="BH106" s="156"/>
      <c r="BI106" s="298">
        <f>BG110</f>
        <v>-381.29999999999995</v>
      </c>
      <c r="BJ106" s="156">
        <f>BI110</f>
        <v>-402.09999999999997</v>
      </c>
      <c r="BK106" s="156">
        <f>BJ110</f>
        <v>-410.49999999999994</v>
      </c>
      <c r="BL106" s="156">
        <f>BK110</f>
        <v>-411.1</v>
      </c>
      <c r="BM106" s="158">
        <f>BG110</f>
        <v>-381.29999999999995</v>
      </c>
      <c r="BN106" s="156"/>
      <c r="BO106" s="298">
        <f>BM110</f>
        <v>-418</v>
      </c>
      <c r="BP106" s="156">
        <f>BO110</f>
        <v>-429.99999999999994</v>
      </c>
      <c r="BQ106" s="156">
        <f>BP110</f>
        <v>-440.9</v>
      </c>
      <c r="BR106" s="156">
        <f>BQ110</f>
        <v>-479.19999999999993</v>
      </c>
      <c r="BS106" s="158">
        <f>BM110</f>
        <v>-418</v>
      </c>
      <c r="BT106" s="156"/>
      <c r="BU106" s="298">
        <f>BS110</f>
        <v>-501.4</v>
      </c>
      <c r="BV106" s="156">
        <f>BU110</f>
        <v>-528.29999999999995</v>
      </c>
      <c r="BW106" s="156">
        <f>BV110</f>
        <v>-531.59999999999991</v>
      </c>
      <c r="BX106" s="156">
        <f>BW110</f>
        <v>-541</v>
      </c>
      <c r="BY106" s="158">
        <f>BS110</f>
        <v>-501.4</v>
      </c>
      <c r="BZ106" s="156"/>
      <c r="CA106" s="298">
        <f>BY110</f>
        <v>-554.4</v>
      </c>
      <c r="CB106" s="156">
        <f>CA110</f>
        <v>-554.49999999999989</v>
      </c>
      <c r="CC106" s="156">
        <f>CB110</f>
        <v>-565.89999999999986</v>
      </c>
      <c r="CD106" s="156">
        <f>CC110</f>
        <v>-572.09999999999991</v>
      </c>
      <c r="CE106" s="158">
        <f>BY110</f>
        <v>-554.4</v>
      </c>
      <c r="CF106" s="156"/>
      <c r="CG106" s="298">
        <f>CE110</f>
        <v>-583.49999999999989</v>
      </c>
      <c r="CH106" s="156">
        <f>CG110</f>
        <v>-593.09999999999991</v>
      </c>
      <c r="CI106" s="156">
        <f>CH110</f>
        <v>-590.89999999999986</v>
      </c>
      <c r="CJ106" s="156">
        <f>CI110</f>
        <v>-593.5</v>
      </c>
      <c r="CK106" s="158">
        <f>CE110</f>
        <v>-583.49999999999989</v>
      </c>
      <c r="CL106" s="156"/>
      <c r="CM106" s="298">
        <f>CK110</f>
        <v>-599.79999999999995</v>
      </c>
      <c r="CN106" s="156">
        <f>CM110</f>
        <v>-611.16152449999993</v>
      </c>
      <c r="CO106" s="156">
        <f>CN110</f>
        <v>-622.67029694892949</v>
      </c>
      <c r="CP106" s="156">
        <f>CO110</f>
        <v>-634.3300038261043</v>
      </c>
      <c r="CQ106" s="158">
        <f>CK110</f>
        <v>-599.79999999999995</v>
      </c>
      <c r="CR106" s="156"/>
      <c r="CS106" s="298">
        <f>CQ110</f>
        <v>-646.14645455355935</v>
      </c>
      <c r="CT106" s="156">
        <f>CS110</f>
        <v>-658.1567630057757</v>
      </c>
      <c r="CU106" s="156">
        <f>CT110</f>
        <v>-670.30274642814959</v>
      </c>
      <c r="CV106" s="156">
        <f>CU110</f>
        <v>-682.59018430284038</v>
      </c>
      <c r="CW106" s="158">
        <f>CQ110</f>
        <v>-646.14645455355935</v>
      </c>
      <c r="CY106" s="298">
        <f>CW110</f>
        <v>-695.02171593482217</v>
      </c>
      <c r="CZ106" s="156">
        <f>CY110</f>
        <v>-707.63734678683545</v>
      </c>
      <c r="DA106" s="156">
        <f>CZ110</f>
        <v>-720.39231068762638</v>
      </c>
      <c r="DB106" s="156">
        <f>DA110</f>
        <v>-733.29014251652097</v>
      </c>
      <c r="DC106" s="158">
        <f>CW110</f>
        <v>-695.02171593482217</v>
      </c>
      <c r="DE106" s="298">
        <f>DC110</f>
        <v>-746.33706881266426</v>
      </c>
      <c r="DF106" s="156">
        <f>DE110</f>
        <v>-759.57160412921235</v>
      </c>
      <c r="DG106" s="156">
        <f>DF110</f>
        <v>-772.94773647788077</v>
      </c>
      <c r="DH106" s="156">
        <f>DG110</f>
        <v>-786.47134089042208</v>
      </c>
      <c r="DI106" s="158">
        <f>DC110</f>
        <v>-746.33706881266426</v>
      </c>
    </row>
    <row r="107" spans="1:113" ht="11.25" hidden="1" customHeight="1" outlineLevel="1">
      <c r="A107" s="139" t="s">
        <v>28</v>
      </c>
      <c r="B107" s="105"/>
      <c r="C107" s="107">
        <f>-CF!C13</f>
        <v>-2.4649999999999999</v>
      </c>
      <c r="D107" s="105"/>
      <c r="E107" s="1171">
        <f>-CF!E13</f>
        <v>-3.3170000000000002</v>
      </c>
      <c r="F107" s="1172"/>
      <c r="G107" s="1171">
        <f>-CF!G13</f>
        <v>-3.2</v>
      </c>
      <c r="H107" s="1172"/>
      <c r="I107" s="1171">
        <f>-CF!I13</f>
        <v>-4.24</v>
      </c>
      <c r="J107" s="1172"/>
      <c r="K107" s="1171">
        <f>-CF!K13</f>
        <v>-11.824</v>
      </c>
      <c r="L107" s="105"/>
      <c r="M107" s="1171">
        <f>-CF!M13</f>
        <v>-10.178000000000001</v>
      </c>
      <c r="N107" s="1172"/>
      <c r="O107" s="1171">
        <f>-CF!O13</f>
        <v>-9.2929999999999993</v>
      </c>
      <c r="P107" s="1172"/>
      <c r="Q107" s="1171">
        <f>-CF!Q13</f>
        <v>-10.006</v>
      </c>
      <c r="R107" s="1172"/>
      <c r="S107" s="1173">
        <f>-CF!S13</f>
        <v>-3.2222499999999998</v>
      </c>
      <c r="T107" s="1172">
        <f>-CF!T13</f>
        <v>-3.2222499999999998</v>
      </c>
      <c r="U107" s="1172">
        <f>-CF!U13</f>
        <v>-3.0222500000000001</v>
      </c>
      <c r="V107" s="1172">
        <f>-CF!V13</f>
        <v>-2.6222500000000002</v>
      </c>
      <c r="W107" s="107">
        <f>SUM(S107:V107)</f>
        <v>-12.088999999999999</v>
      </c>
      <c r="X107" s="105"/>
      <c r="Y107" s="1173">
        <f>-CF!Y13</f>
        <v>-6.8879999999999999</v>
      </c>
      <c r="Z107" s="1172">
        <f>-CF!Z13</f>
        <v>-6.8879999999999999</v>
      </c>
      <c r="AA107" s="1172">
        <f>-CF!AA13</f>
        <v>-7.1879999999999997</v>
      </c>
      <c r="AB107" s="1172">
        <f>-CF!AB13</f>
        <v>-4.9359999999999964</v>
      </c>
      <c r="AC107" s="107">
        <f>SUM(Y107:AB107)</f>
        <v>-25.899999999999995</v>
      </c>
      <c r="AD107" s="105"/>
      <c r="AE107" s="1173">
        <f>-CF!AE13</f>
        <v>-7</v>
      </c>
      <c r="AF107" s="1172">
        <f>-CF!AF13</f>
        <v>-6.8</v>
      </c>
      <c r="AG107" s="1172">
        <f>-CF!AG13</f>
        <v>-7.4</v>
      </c>
      <c r="AH107" s="1172">
        <f>-CF!AH13</f>
        <v>-6.3</v>
      </c>
      <c r="AI107" s="107">
        <f>SUM(AE107:AH107)</f>
        <v>-27.500000000000004</v>
      </c>
      <c r="AJ107" s="105"/>
      <c r="AK107" s="1173">
        <f>-CF!AK13</f>
        <v>-6.1999999999999993</v>
      </c>
      <c r="AL107" s="1172">
        <f>-CF!AL13</f>
        <v>-6.4</v>
      </c>
      <c r="AM107" s="1172">
        <f>-CF!AM13</f>
        <v>-6.4999999999999982</v>
      </c>
      <c r="AN107" s="1172">
        <f>-CF!AN13</f>
        <v>-8.8000000000000007</v>
      </c>
      <c r="AO107" s="107">
        <f>SUM(AK107:AN107)</f>
        <v>-27.9</v>
      </c>
      <c r="AP107" s="105"/>
      <c r="AQ107" s="1173">
        <f>-CF!AQ13</f>
        <v>-7</v>
      </c>
      <c r="AR107" s="1172">
        <f>-CF!AR13</f>
        <v>-6.6</v>
      </c>
      <c r="AS107" s="1172">
        <f>-CF!AS13</f>
        <v>-8.1000000000000014</v>
      </c>
      <c r="AT107" s="1172">
        <f>-CF!AT13</f>
        <v>-8.6000000000000014</v>
      </c>
      <c r="AU107" s="107">
        <f>SUM(AQ107:AT107)</f>
        <v>-30.300000000000004</v>
      </c>
      <c r="AV107" s="105"/>
      <c r="AW107" s="1173">
        <f>-CF!AW13</f>
        <v>-8</v>
      </c>
      <c r="AX107" s="1172">
        <f>-CF!AX13</f>
        <v>-9.6</v>
      </c>
      <c r="AY107" s="1172">
        <f>-CF!AY13</f>
        <v>-8.5999999999999979</v>
      </c>
      <c r="AZ107" s="1172">
        <f>-CF!AZ13</f>
        <v>-8.6</v>
      </c>
      <c r="BA107" s="107">
        <f>SUM(AW107:AZ107)</f>
        <v>-34.799999999999997</v>
      </c>
      <c r="BB107" s="105"/>
      <c r="BC107" s="1173">
        <f>-CF!BC13</f>
        <v>-8.5</v>
      </c>
      <c r="BD107" s="1172">
        <f>-CF!BD13</f>
        <v>-9.4000000000000021</v>
      </c>
      <c r="BE107" s="1172">
        <f>-CF!BE13</f>
        <v>-8.3999999999999986</v>
      </c>
      <c r="BF107" s="1172">
        <f>-CF!BF13</f>
        <v>-10.8</v>
      </c>
      <c r="BG107" s="107">
        <f>SUM(BC107:BF107)</f>
        <v>-37.1</v>
      </c>
      <c r="BH107" s="105"/>
      <c r="BI107" s="1173">
        <f>-CF!BI13</f>
        <v>-10.1</v>
      </c>
      <c r="BJ107" s="1172">
        <f>-CF!BJ13</f>
        <v>-9.9</v>
      </c>
      <c r="BK107" s="1172">
        <f>-CF!BK13</f>
        <v>-10.1</v>
      </c>
      <c r="BL107" s="1172">
        <f>-CF!BL13</f>
        <v>-10.5</v>
      </c>
      <c r="BM107" s="107">
        <f>SUM(BI107:BL107)</f>
        <v>-40.6</v>
      </c>
      <c r="BN107" s="105"/>
      <c r="BO107" s="1173">
        <f>-CF!BO13</f>
        <v>-10</v>
      </c>
      <c r="BP107" s="1172">
        <f>-CF!BP13</f>
        <v>-10</v>
      </c>
      <c r="BQ107" s="1172">
        <f>-CF!BQ13</f>
        <v>-12.500000000000002</v>
      </c>
      <c r="BR107" s="1172">
        <f>-CF!BR13</f>
        <v>-7.0000000000000018</v>
      </c>
      <c r="BS107" s="107">
        <f>SUM(BO107:BR107)</f>
        <v>-39.5</v>
      </c>
      <c r="BT107" s="105"/>
      <c r="BU107" s="1173">
        <f>-CF!BU13</f>
        <v>-8.3000000000000007</v>
      </c>
      <c r="BV107" s="1172">
        <f>-CF!BV13</f>
        <v>-7.9999999999999991</v>
      </c>
      <c r="BW107" s="1172">
        <f>-CF!BW13</f>
        <v>-8.2000000000000011</v>
      </c>
      <c r="BX107" s="1172">
        <f>-CF!BX13</f>
        <v>-8.0999999999999943</v>
      </c>
      <c r="BY107" s="107">
        <f>SUM(BU107:BX107)</f>
        <v>-32.599999999999994</v>
      </c>
      <c r="BZ107" s="105"/>
      <c r="CA107" s="1173">
        <f>-CF!CA13</f>
        <v>-7.7999999999999989</v>
      </c>
      <c r="CB107" s="1172">
        <f>-CF!CB13</f>
        <v>-8.1</v>
      </c>
      <c r="CC107" s="1172">
        <f>-CF!CC13</f>
        <v>-8.3000000000000007</v>
      </c>
      <c r="CD107" s="1172">
        <f>-CF!CD13</f>
        <v>-8.399999999999995</v>
      </c>
      <c r="CE107" s="107">
        <f>SUM(CA107:CD107)</f>
        <v>-32.599999999999994</v>
      </c>
      <c r="CF107" s="105"/>
      <c r="CG107" s="1173">
        <f>-CF!CG13</f>
        <v>-8.1999999999999993</v>
      </c>
      <c r="CH107" s="1172">
        <f>-CF!CH13</f>
        <v>-8.5</v>
      </c>
      <c r="CI107" s="1172">
        <f>-CF!CI13</f>
        <v>-8.9</v>
      </c>
      <c r="CJ107" s="1172">
        <f>-CF!CJ13</f>
        <v>-8.6999999999999957</v>
      </c>
      <c r="CK107" s="107">
        <f>SUM(CG107:CJ107)</f>
        <v>-34.299999999999997</v>
      </c>
      <c r="CL107" s="105"/>
      <c r="CM107" s="284">
        <f>-CM99*CM108/4</f>
        <v>-11.3615245</v>
      </c>
      <c r="CN107" s="105">
        <f>-CN99*CN108/4</f>
        <v>-11.508772448929564</v>
      </c>
      <c r="CO107" s="105">
        <f>-CO99*CO108/4</f>
        <v>-11.659706877174775</v>
      </c>
      <c r="CP107" s="105">
        <f>-CP99*CP108/4</f>
        <v>-11.816450727455051</v>
      </c>
      <c r="CQ107" s="107">
        <f>SUM(CM107:CP107)</f>
        <v>-46.34645455355939</v>
      </c>
      <c r="CR107" s="105"/>
      <c r="CS107" s="284">
        <f>-CS99*CS108/4</f>
        <v>-12.010308452216398</v>
      </c>
      <c r="CT107" s="105">
        <f>-CT99*CT108/4</f>
        <v>-12.145983422373897</v>
      </c>
      <c r="CU107" s="105">
        <f>-CU99*CU108/4</f>
        <v>-12.287437874690761</v>
      </c>
      <c r="CV107" s="105">
        <f>-CV99*CV108/4</f>
        <v>-12.431531631981791</v>
      </c>
      <c r="CW107" s="107">
        <f>SUM(CS107:CV107)</f>
        <v>-48.875261381262845</v>
      </c>
      <c r="CY107" s="284">
        <f>-CY99*CY108/4</f>
        <v>-12.615630852013327</v>
      </c>
      <c r="CZ107" s="105">
        <f>-CZ99*CZ108/4</f>
        <v>-12.754963900790925</v>
      </c>
      <c r="DA107" s="105">
        <f>-DA99*DA108/4</f>
        <v>-12.897831828894603</v>
      </c>
      <c r="DB107" s="105">
        <f>-DB99*DB108/4</f>
        <v>-13.046926296143198</v>
      </c>
      <c r="DC107" s="107">
        <f>SUM(CY107:DB107)</f>
        <v>-51.315352877842052</v>
      </c>
      <c r="DE107" s="284">
        <f>-DE99*DE108/4</f>
        <v>-13.234535316548074</v>
      </c>
      <c r="DF107" s="105">
        <f>-DF99*DF108/4</f>
        <v>-13.376132348668367</v>
      </c>
      <c r="DG107" s="105">
        <f>-DG99*DG108/4</f>
        <v>-13.523604412541323</v>
      </c>
      <c r="DH107" s="105">
        <f>-DH99*DH108/4</f>
        <v>-13.674930035209876</v>
      </c>
      <c r="DI107" s="107">
        <f>SUM(DE107:DH107)</f>
        <v>-53.80920211296764</v>
      </c>
    </row>
    <row r="108" spans="1:113" ht="11.25" hidden="1" customHeight="1" outlineLevel="1">
      <c r="A108" s="153" t="s">
        <v>135</v>
      </c>
      <c r="B108" s="95"/>
      <c r="C108" s="100"/>
      <c r="D108" s="95"/>
      <c r="E108" s="100">
        <f>-(E107)/E99</f>
        <v>7.0339544482636754E-2</v>
      </c>
      <c r="F108" s="95"/>
      <c r="G108" s="100">
        <f>-(G107)/G99</f>
        <v>7.275372862859221E-2</v>
      </c>
      <c r="H108" s="95"/>
      <c r="I108" s="100">
        <f>-(I107)/I99</f>
        <v>9.368716441655435E-2</v>
      </c>
      <c r="J108" s="95"/>
      <c r="K108" s="100">
        <f>-(K107)/K99</f>
        <v>0.19803373138827943</v>
      </c>
      <c r="L108" s="95"/>
      <c r="M108" s="100">
        <f>-(M107)/M99</f>
        <v>9.1959631004978365E-2</v>
      </c>
      <c r="N108" s="95"/>
      <c r="O108" s="100">
        <f>-(O107)/O99</f>
        <v>6.9221601489757908E-2</v>
      </c>
      <c r="P108" s="95"/>
      <c r="Q108" s="100">
        <f>-(Q107)/Q99</f>
        <v>6.8297077955319543E-2</v>
      </c>
      <c r="R108" s="95"/>
      <c r="S108" s="315">
        <f>-(S107*4)/S99</f>
        <v>8.552753815527539E-2</v>
      </c>
      <c r="T108" s="96">
        <f>-(T107*4)/T99</f>
        <v>8.4761478870460732E-2</v>
      </c>
      <c r="U108" s="96">
        <f>-(U107*4)/U99</f>
        <v>7.893053016453383E-2</v>
      </c>
      <c r="V108" s="96">
        <f>-(V107*4)/V99</f>
        <v>6.7350725903285669E-2</v>
      </c>
      <c r="W108" s="100">
        <f>-(W107)/W99</f>
        <v>8.0218978102189781E-2</v>
      </c>
      <c r="X108" s="95"/>
      <c r="Y108" s="315">
        <f>-(Y107*4)/Y99</f>
        <v>0.16024753684553378</v>
      </c>
      <c r="Z108" s="96">
        <f>-(Z107*4)/Z99</f>
        <v>0.15637575131533396</v>
      </c>
      <c r="AA108" s="96">
        <f>-(AA107*4)/AA99</f>
        <v>0.15545234838367838</v>
      </c>
      <c r="AB108" s="96">
        <f>-(AB107*4)/AB99</f>
        <v>0.10293412299543298</v>
      </c>
      <c r="AC108" s="100">
        <f>-(AC107)/AC99</f>
        <v>0.15063919876231577</v>
      </c>
      <c r="AD108" s="95"/>
      <c r="AE108" s="315">
        <f>-(AE107*4)/AE99</f>
        <v>6.0988891309082985E-2</v>
      </c>
      <c r="AF108" s="96">
        <f>-(AF107*4)/AF99</f>
        <v>5.7566137566137564E-2</v>
      </c>
      <c r="AG108" s="96">
        <f>-(AG107*4)/AG99</f>
        <v>6.0880296174413824E-2</v>
      </c>
      <c r="AH108" s="96">
        <f>-(AH107*4)/AH99</f>
        <v>5.0511124473842456E-2</v>
      </c>
      <c r="AI108" s="100">
        <f>-(AI107)/AI99</f>
        <v>5.9899803964277937E-2</v>
      </c>
      <c r="AJ108" s="95"/>
      <c r="AK108" s="315">
        <f>-(AK107*4)/AK99</f>
        <v>5.1018308989919763E-2</v>
      </c>
      <c r="AL108" s="96">
        <f>-(AL107*4)/AL99</f>
        <v>5.2244897959183675E-2</v>
      </c>
      <c r="AM108" s="96">
        <f>-(AM107*4)/AM99</f>
        <v>5.2198353744228057E-2</v>
      </c>
      <c r="AN108" s="96">
        <f>-(AN107*4)/AN99</f>
        <v>7.041408281656332E-2</v>
      </c>
      <c r="AO108" s="100">
        <f>-(AO107)/AO99</f>
        <v>5.7395597613659734E-2</v>
      </c>
      <c r="AP108" s="95"/>
      <c r="AQ108" s="315">
        <f>-(AQ107*4)/AQ99</f>
        <v>5.4116737533822963E-2</v>
      </c>
      <c r="AR108" s="96">
        <f>-(AR107*4)/AR99</f>
        <v>5.0497322111706197E-2</v>
      </c>
      <c r="AS108" s="96">
        <f>-(AS107*4)/AS99</f>
        <v>6.1074458058435463E-2</v>
      </c>
      <c r="AT108" s="96">
        <f>-(AT107*4)/AT99</f>
        <v>6.3668332407921552E-2</v>
      </c>
      <c r="AU108" s="100">
        <f>-(AU107)/AU99</f>
        <v>5.8562040974101288E-2</v>
      </c>
      <c r="AV108" s="95"/>
      <c r="AW108" s="315">
        <f>-(AW107*4)/AW99</f>
        <v>5.9171597633136085E-2</v>
      </c>
      <c r="AX108" s="96">
        <f>-(AX107*4)/AX99</f>
        <v>6.9729435264209175E-2</v>
      </c>
      <c r="AY108" s="96">
        <f>-(AY107*4)/AY99</f>
        <v>5.9919874586308979E-2</v>
      </c>
      <c r="AZ108" s="96">
        <f>-(AZ107*4)/AZ99</f>
        <v>5.9371763893683108E-2</v>
      </c>
      <c r="BA108" s="100">
        <f>-(BA107)/BA99</f>
        <v>6.4349112426035485E-2</v>
      </c>
      <c r="BB108" s="95"/>
      <c r="BC108" s="315">
        <f>-(BC107*4)/BC99</f>
        <v>5.9388646288209605E-2</v>
      </c>
      <c r="BD108" s="96">
        <f>-(BD107*4)/BD99</f>
        <v>6.4196687724090859E-2</v>
      </c>
      <c r="BE108" s="96">
        <f>-(BE107*4)/BE99</f>
        <v>5.5509664629109529E-2</v>
      </c>
      <c r="BF108" s="96">
        <f>-(BF107*4)/BF99</f>
        <v>6.9153193532895799E-2</v>
      </c>
      <c r="BG108" s="100">
        <f>-(BG107)/BG99</f>
        <v>6.480349344978166E-2</v>
      </c>
      <c r="BH108" s="95"/>
      <c r="BI108" s="315">
        <f>-(BI107*4)/BI99</f>
        <v>6.0761016694239736E-2</v>
      </c>
      <c r="BJ108" s="96">
        <f>-(BJ107*4)/BJ99</f>
        <v>5.8081548841302441E-2</v>
      </c>
      <c r="BK108" s="96">
        <f>-(BK107*4)/BK99</f>
        <v>5.7854790204783048E-2</v>
      </c>
      <c r="BL108" s="96">
        <f>-(BL107*4)/BL99</f>
        <v>5.9280169371912494E-2</v>
      </c>
      <c r="BM108" s="100">
        <f>-(BM107)/BM99</f>
        <v>6.1061813806587463E-2</v>
      </c>
      <c r="BN108" s="95"/>
      <c r="BO108" s="315">
        <f>-(BO107*4)/BO99</f>
        <v>5.5749128919860634E-2</v>
      </c>
      <c r="BP108" s="96">
        <f>-(BP107*4)/BP99</f>
        <v>5.5043346635475443E-2</v>
      </c>
      <c r="BQ108" s="96">
        <f>-(BQ107*4)/BQ99</f>
        <v>6.8092060465749712E-2</v>
      </c>
      <c r="BR108" s="96">
        <f>-(BR107*4)/BR99</f>
        <v>3.7624294544477306E-2</v>
      </c>
      <c r="BS108" s="100">
        <f>-(BS107)/BS99</f>
        <v>5.5052264808362381E-2</v>
      </c>
      <c r="BT108" s="95"/>
      <c r="BU108" s="315">
        <f>-(BU107*4)/BU99</f>
        <v>4.419007054438974E-2</v>
      </c>
      <c r="BV108" s="96">
        <f>-(BV107*4)/BV99</f>
        <v>4.2272126816380449E-2</v>
      </c>
      <c r="BW108" s="96">
        <f>-(BW107*4)/BW99</f>
        <v>4.2892637635674129E-2</v>
      </c>
      <c r="BX108" s="96">
        <f>-(BX107*4)/BX99</f>
        <v>4.1892940263770335E-2</v>
      </c>
      <c r="BY108" s="100">
        <f>-(BY107)/BY99</f>
        <v>4.3391454811659791E-2</v>
      </c>
      <c r="BZ108" s="95"/>
      <c r="CA108" s="315">
        <f>-(CA107*4)/CA99</f>
        <v>3.9719923615531512E-2</v>
      </c>
      <c r="CB108" s="96">
        <f>-(CB107*4)/CB99</f>
        <v>4.0831758034026472E-2</v>
      </c>
      <c r="CC108" s="96">
        <f>-(CC107*4)/CC99</f>
        <v>4.1360408620904454E-2</v>
      </c>
      <c r="CD108" s="96">
        <f>-(CD107*4)/CD99</f>
        <v>4.1404805914972254E-2</v>
      </c>
      <c r="CE108" s="100">
        <f>-(CE107)/CE99</f>
        <v>4.1502227880330998E-2</v>
      </c>
      <c r="CF108" s="95"/>
      <c r="CG108" s="315">
        <f>-(CG107*4)/CG99</f>
        <v>3.9873571602236813E-2</v>
      </c>
      <c r="CH108" s="96">
        <f>-(CH107*4)/CH99</f>
        <v>4.0762498501378738E-2</v>
      </c>
      <c r="CI108" s="96">
        <f>-(CI107*4)/CI99</f>
        <v>4.2195093042550674E-2</v>
      </c>
      <c r="CJ108" s="96">
        <f>-(CJ107*4)/CJ99</f>
        <v>4.0754186672912501E-2</v>
      </c>
      <c r="CK108" s="100">
        <f>-(CK107)/CK99</f>
        <v>4.1697058108436665E-2</v>
      </c>
      <c r="CL108" s="95"/>
      <c r="CM108" s="1193">
        <v>5.246E-2</v>
      </c>
      <c r="CN108" s="1192">
        <f>+CM108</f>
        <v>5.246E-2</v>
      </c>
      <c r="CO108" s="1192">
        <f>+CN108</f>
        <v>5.246E-2</v>
      </c>
      <c r="CP108" s="1192">
        <f>+CO108</f>
        <v>5.246E-2</v>
      </c>
      <c r="CQ108" s="100">
        <f>-(CQ107)/CQ99</f>
        <v>5.3499312655615139E-2</v>
      </c>
      <c r="CR108" s="95"/>
      <c r="CS108" s="1193">
        <v>5.246E-2</v>
      </c>
      <c r="CT108" s="1192">
        <f>+CS108</f>
        <v>5.246E-2</v>
      </c>
      <c r="CU108" s="1192">
        <f>+CT108</f>
        <v>5.246E-2</v>
      </c>
      <c r="CV108" s="1192">
        <f>+CU108</f>
        <v>5.246E-2</v>
      </c>
      <c r="CW108" s="100">
        <f>-(CW107)/CW99</f>
        <v>5.3370740274116063E-2</v>
      </c>
      <c r="CY108" s="1193">
        <v>5.246E-2</v>
      </c>
      <c r="CZ108" s="1192">
        <f>+CY108</f>
        <v>5.246E-2</v>
      </c>
      <c r="DA108" s="1192">
        <f>+CZ108</f>
        <v>5.246E-2</v>
      </c>
      <c r="DB108" s="1192">
        <f>+DA108</f>
        <v>5.246E-2</v>
      </c>
      <c r="DC108" s="100">
        <f>-(DC107)/DC99</f>
        <v>5.3346587331817373E-2</v>
      </c>
      <c r="DE108" s="1193">
        <v>5.246E-2</v>
      </c>
      <c r="DF108" s="1192">
        <f>+DE108</f>
        <v>5.246E-2</v>
      </c>
      <c r="DG108" s="1192">
        <f>+DF108</f>
        <v>5.246E-2</v>
      </c>
      <c r="DH108" s="1192">
        <f>+DG108</f>
        <v>5.246E-2</v>
      </c>
      <c r="DI108" s="100">
        <f>-(DI107)/DI99</f>
        <v>5.3323193359813281E-2</v>
      </c>
    </row>
    <row r="109" spans="1:113" ht="11.25" hidden="1" customHeight="1" outlineLevel="1">
      <c r="A109" s="139" t="s">
        <v>132</v>
      </c>
      <c r="B109" s="105"/>
      <c r="C109" s="107"/>
      <c r="D109" s="105"/>
      <c r="E109" s="107">
        <f>E110-E106-E107</f>
        <v>3.4753930000000004</v>
      </c>
      <c r="F109" s="105"/>
      <c r="G109" s="107">
        <f>G110-G106-G107</f>
        <v>2.1040000000000001</v>
      </c>
      <c r="H109" s="105"/>
      <c r="I109" s="107">
        <f>I110-I106-I107</f>
        <v>1.5140000000000011</v>
      </c>
      <c r="J109" s="105"/>
      <c r="K109" s="107">
        <f>K110-K106-K107</f>
        <v>-3.1510000000000016</v>
      </c>
      <c r="L109" s="105"/>
      <c r="M109" s="107">
        <f>M110-M106-M107</f>
        <v>-5.2880000000000003</v>
      </c>
      <c r="N109" s="105"/>
      <c r="O109" s="107">
        <f>O110-O106-O107</f>
        <v>0.67199999999999704</v>
      </c>
      <c r="P109" s="105"/>
      <c r="Q109" s="107">
        <f>Q110-Q106-Q107</f>
        <v>6.1360000000000028</v>
      </c>
      <c r="R109" s="105"/>
      <c r="S109" s="284">
        <f>S110-S106-S107</f>
        <v>-10.635749999999991</v>
      </c>
      <c r="T109" s="105">
        <f>T110-T106-T107</f>
        <v>4.1712499999999979</v>
      </c>
      <c r="U109" s="105">
        <f>U110-U106-U107</f>
        <v>13.489249999999998</v>
      </c>
      <c r="V109" s="105">
        <f>V110-V106-V107</f>
        <v>-11.133749999999999</v>
      </c>
      <c r="W109" s="107">
        <f>SUM(S109:V109)</f>
        <v>-4.1089999999999938</v>
      </c>
      <c r="X109" s="105"/>
      <c r="Y109" s="284">
        <f>Y110-Y106-Y107</f>
        <v>3.6920000000000162</v>
      </c>
      <c r="Z109" s="105">
        <f>Z110-Z106-Z107</f>
        <v>1.7470000000000088</v>
      </c>
      <c r="AA109" s="105">
        <f>AA110-AA106-AA107</f>
        <v>6.3130000000000139</v>
      </c>
      <c r="AB109" s="105">
        <f>AB110-AB106-AB107</f>
        <v>-155.76700000000002</v>
      </c>
      <c r="AC109" s="107">
        <f>SUM(Y109:AB109)</f>
        <v>-144.01499999999999</v>
      </c>
      <c r="AD109" s="105"/>
      <c r="AE109" s="284">
        <f>AE110-AE106-AE107</f>
        <v>17.540999999999968</v>
      </c>
      <c r="AF109" s="105">
        <f>AF110-AF106-AF107</f>
        <v>-2.1199999999999877</v>
      </c>
      <c r="AG109" s="105">
        <f>AG110-AG106-AG107</f>
        <v>-22.303999999999981</v>
      </c>
      <c r="AH109" s="105">
        <f>AH110-AH106-AH107</f>
        <v>21.082999999999959</v>
      </c>
      <c r="AI109" s="107">
        <f>SUM(AE109:AH109)</f>
        <v>14.19999999999996</v>
      </c>
      <c r="AJ109" s="105"/>
      <c r="AK109" s="284">
        <f>AK110-AK106-AK107</f>
        <v>-10.39999999999991</v>
      </c>
      <c r="AL109" s="105">
        <f>AL110-AL106-AL107</f>
        <v>11.000000000000023</v>
      </c>
      <c r="AM109" s="105">
        <f>AM110-AM106-AM107</f>
        <v>9.7999999999999527</v>
      </c>
      <c r="AN109" s="105">
        <f>AN110-AN106-AN107</f>
        <v>-11.7</v>
      </c>
      <c r="AO109" s="107">
        <f>SUM(AK109:AN109)</f>
        <v>-1.2999999999999332</v>
      </c>
      <c r="AP109" s="105"/>
      <c r="AQ109" s="284">
        <f>AQ110-AQ106-AQ107</f>
        <v>-9.7999999999999545</v>
      </c>
      <c r="AR109" s="105">
        <f>AR110-AR106-AR107</f>
        <v>-13.799999999999921</v>
      </c>
      <c r="AS109" s="105">
        <f>AS110-AS106-AS107</f>
        <v>17.700000000000024</v>
      </c>
      <c r="AT109" s="105">
        <f>AT110-AT106-AT107</f>
        <v>23.099999999999831</v>
      </c>
      <c r="AU109" s="107">
        <f>SUM(AQ109:AT109)</f>
        <v>17.199999999999982</v>
      </c>
      <c r="AV109" s="105"/>
      <c r="AW109" s="284">
        <f>AW110-AW106-AW107</f>
        <v>11.199999999999989</v>
      </c>
      <c r="AX109" s="105">
        <f>AX110-AX106-AX107</f>
        <v>5.2999999999998746</v>
      </c>
      <c r="AY109" s="105">
        <f>AY110-AY106-AY107</f>
        <v>-13.199999999999957</v>
      </c>
      <c r="AZ109" s="105">
        <f>AZ110-AZ106-AZ107</f>
        <v>15.100000000000113</v>
      </c>
      <c r="BA109" s="107">
        <f>SUM(AW109:AZ109)</f>
        <v>18.40000000000002</v>
      </c>
      <c r="BB109" s="105"/>
      <c r="BC109" s="284">
        <f>BC110-BC106-BC107</f>
        <v>8.1000000000000796</v>
      </c>
      <c r="BD109" s="105">
        <f>BD110-BD106-BD107</f>
        <v>-12.900000000000009</v>
      </c>
      <c r="BE109" s="105">
        <f>BE110-BE106-BE107</f>
        <v>2.3999999999999986</v>
      </c>
      <c r="BF109" s="105">
        <f>BF110-BF106-BF107</f>
        <v>-18.300000000000022</v>
      </c>
      <c r="BG109" s="107">
        <f>SUM(BC109:BF109)</f>
        <v>-20.699999999999953</v>
      </c>
      <c r="BH109" s="105"/>
      <c r="BI109" s="284">
        <f>BI110-BI106-BI107</f>
        <v>-10.700000000000012</v>
      </c>
      <c r="BJ109" s="105">
        <f>BJ110-BJ106-BJ107</f>
        <v>1.5000000000000231</v>
      </c>
      <c r="BK109" s="105">
        <f>BK110-BK106-BK107</f>
        <v>9.4999999999999201</v>
      </c>
      <c r="BL109" s="105">
        <f>BL110-BL106-BL107</f>
        <v>3.6000000000000227</v>
      </c>
      <c r="BM109" s="107">
        <f>SUM(BI109:BL109)</f>
        <v>3.8999999999999542</v>
      </c>
      <c r="BN109" s="105"/>
      <c r="BO109" s="284">
        <f>BO110-BO106-BO107</f>
        <v>-1.9999999999999432</v>
      </c>
      <c r="BP109" s="105">
        <f>BP110-BP106-BP107</f>
        <v>-0.90000000000003411</v>
      </c>
      <c r="BQ109" s="105">
        <f>BQ110-BQ106-BQ107</f>
        <v>-25.799999999999955</v>
      </c>
      <c r="BR109" s="105">
        <f>BR110-BR106-BR107</f>
        <v>-15.200000000000044</v>
      </c>
      <c r="BS109" s="107">
        <f>SUM(BO109:BR109)</f>
        <v>-43.899999999999977</v>
      </c>
      <c r="BT109" s="105"/>
      <c r="BU109" s="284">
        <f>BU110-BU106-BU107</f>
        <v>-18.599999999999977</v>
      </c>
      <c r="BV109" s="105">
        <f>BV110-BV106-BV107</f>
        <v>4.7000000000000446</v>
      </c>
      <c r="BW109" s="105">
        <f>BW110-BW106-BW107</f>
        <v>-1.2000000000000899</v>
      </c>
      <c r="BX109" s="105">
        <f>BX110-BX106-BX107</f>
        <v>-5.2999999999999829</v>
      </c>
      <c r="BY109" s="107">
        <f>SUM(BU109:BX109)</f>
        <v>-20.400000000000006</v>
      </c>
      <c r="BZ109" s="105"/>
      <c r="CA109" s="284">
        <f>CA110-CA106-CA107</f>
        <v>7.7000000000000899</v>
      </c>
      <c r="CB109" s="105">
        <f>CB110-CB106-CB107</f>
        <v>-3.2999999999999776</v>
      </c>
      <c r="CC109" s="105">
        <f>CC110-CC106-CC107</f>
        <v>2.0999999999999552</v>
      </c>
      <c r="CD109" s="105">
        <f>CD110-CD106-CD107</f>
        <v>-2.9999999999999822</v>
      </c>
      <c r="CE109" s="107">
        <f>SUM(CA109:CD109)</f>
        <v>3.5000000000000853</v>
      </c>
      <c r="CF109" s="105"/>
      <c r="CG109" s="284">
        <f>CG110-CG106-CG107</f>
        <v>-1.4000000000000234</v>
      </c>
      <c r="CH109" s="105">
        <f>CH110-CH106-CH107</f>
        <v>10.700000000000045</v>
      </c>
      <c r="CI109" s="105">
        <f>CI110-CI106-CI107</f>
        <v>6.2999999999998639</v>
      </c>
      <c r="CJ109" s="105">
        <f>CJ110-CJ106-CJ107</f>
        <v>2.4000000000000412</v>
      </c>
      <c r="CK109" s="107">
        <f>SUM(CG109:CJ109)</f>
        <v>17.999999999999929</v>
      </c>
      <c r="CL109" s="105"/>
      <c r="CM109" s="1190">
        <v>0</v>
      </c>
      <c r="CN109" s="1191">
        <v>0</v>
      </c>
      <c r="CO109" s="1191">
        <v>0</v>
      </c>
      <c r="CP109" s="1191">
        <v>0</v>
      </c>
      <c r="CQ109" s="107">
        <f>SUM(CM109:CP109)</f>
        <v>0</v>
      </c>
      <c r="CR109" s="105"/>
      <c r="CS109" s="1190">
        <v>0</v>
      </c>
      <c r="CT109" s="1191">
        <v>0</v>
      </c>
      <c r="CU109" s="1191">
        <v>0</v>
      </c>
      <c r="CV109" s="1191">
        <v>0</v>
      </c>
      <c r="CW109" s="107">
        <f>SUM(CS109:CV109)</f>
        <v>0</v>
      </c>
      <c r="CY109" s="1190">
        <v>0</v>
      </c>
      <c r="CZ109" s="1191">
        <v>0</v>
      </c>
      <c r="DA109" s="1191">
        <v>0</v>
      </c>
      <c r="DB109" s="1191">
        <v>0</v>
      </c>
      <c r="DC109" s="107">
        <f>SUM(CY109:DB109)</f>
        <v>0</v>
      </c>
      <c r="DE109" s="1190">
        <v>0</v>
      </c>
      <c r="DF109" s="1191">
        <v>0</v>
      </c>
      <c r="DG109" s="1191">
        <v>0</v>
      </c>
      <c r="DH109" s="1191">
        <v>0</v>
      </c>
      <c r="DI109" s="107">
        <f>SUM(DE109:DH109)</f>
        <v>0</v>
      </c>
    </row>
    <row r="110" spans="1:113" ht="11.25" hidden="1" customHeight="1" outlineLevel="1">
      <c r="A110" s="154" t="s">
        <v>136</v>
      </c>
      <c r="B110" s="156"/>
      <c r="C110" s="1195">
        <v>-18.791392999999999</v>
      </c>
      <c r="D110" s="156"/>
      <c r="E110" s="1195">
        <v>-18.632999999999999</v>
      </c>
      <c r="F110" s="156"/>
      <c r="G110" s="1195">
        <v>-19.728999999999999</v>
      </c>
      <c r="H110" s="156"/>
      <c r="I110" s="1195">
        <v>-22.454999999999998</v>
      </c>
      <c r="J110" s="156"/>
      <c r="K110" s="1195">
        <v>-37.43</v>
      </c>
      <c r="L110" s="156"/>
      <c r="M110" s="1195">
        <v>-52.896000000000001</v>
      </c>
      <c r="N110" s="156"/>
      <c r="O110" s="1195">
        <v>-61.517000000000003</v>
      </c>
      <c r="P110" s="156"/>
      <c r="Q110" s="1195">
        <v>-65.387</v>
      </c>
      <c r="R110" s="156"/>
      <c r="S110" s="298">
        <f>S112-S104</f>
        <v>-79.24499999999999</v>
      </c>
      <c r="T110" s="156">
        <f>T112-T104</f>
        <v>-78.295999999999992</v>
      </c>
      <c r="U110" s="156">
        <f>U112-U104</f>
        <v>-67.828999999999994</v>
      </c>
      <c r="V110" s="1196">
        <v>-81.584999999999994</v>
      </c>
      <c r="W110" s="158">
        <f>W106+W107+W109</f>
        <v>-81.584999999999994</v>
      </c>
      <c r="X110" s="156"/>
      <c r="Y110" s="298">
        <f>Y112-Y104</f>
        <v>-84.780999999999977</v>
      </c>
      <c r="Z110" s="156">
        <f>Z112-Z104</f>
        <v>-89.921999999999969</v>
      </c>
      <c r="AA110" s="156">
        <f>AA112-AA104</f>
        <v>-90.796999999999954</v>
      </c>
      <c r="AB110" s="1196">
        <v>-251.5</v>
      </c>
      <c r="AC110" s="158">
        <f>AC106+AC107+AC109</f>
        <v>-251.49999999999997</v>
      </c>
      <c r="AD110" s="156"/>
      <c r="AE110" s="298">
        <f>AE112-AE104</f>
        <v>-240.959</v>
      </c>
      <c r="AF110" s="156">
        <f>AF112-AF104</f>
        <v>-249.87899999999999</v>
      </c>
      <c r="AG110" s="156">
        <f>AG112-AG104</f>
        <v>-279.58299999999997</v>
      </c>
      <c r="AH110" s="1196">
        <v>-264.8</v>
      </c>
      <c r="AI110" s="158">
        <f>AI106+AI107+AI109</f>
        <v>-264.80000000000007</v>
      </c>
      <c r="AJ110" s="156"/>
      <c r="AK110" s="298">
        <f>AK112-AK104</f>
        <v>-281.39999999999998</v>
      </c>
      <c r="AL110" s="156">
        <f>AL112-AL104</f>
        <v>-276.79999999999995</v>
      </c>
      <c r="AM110" s="156">
        <f>AM112-AM104</f>
        <v>-273.5</v>
      </c>
      <c r="AN110" s="1196">
        <v>-294</v>
      </c>
      <c r="AO110" s="158">
        <f>AO106+AO107+AO109</f>
        <v>-294</v>
      </c>
      <c r="AP110" s="156"/>
      <c r="AQ110" s="298">
        <f>AQ112-AQ104</f>
        <v>-310.79999999999995</v>
      </c>
      <c r="AR110" s="156">
        <f>AR112-AR104</f>
        <v>-331.19999999999987</v>
      </c>
      <c r="AS110" s="156">
        <f>AS112-AS104</f>
        <v>-321.59999999999985</v>
      </c>
      <c r="AT110" s="1196">
        <v>-307.10000000000002</v>
      </c>
      <c r="AU110" s="158">
        <f>AU106+AU107+AU109</f>
        <v>-307.10000000000002</v>
      </c>
      <c r="AV110" s="156"/>
      <c r="AW110" s="298">
        <f>AW112-AW104</f>
        <v>-303.90000000000003</v>
      </c>
      <c r="AX110" s="156">
        <f>AX112-AX104</f>
        <v>-308.20000000000016</v>
      </c>
      <c r="AY110" s="156">
        <f>AY112-AY104</f>
        <v>-330.00000000000011</v>
      </c>
      <c r="AZ110" s="1196">
        <v>-323.5</v>
      </c>
      <c r="BA110" s="158">
        <f>BA106+BA107+BA109</f>
        <v>-323.5</v>
      </c>
      <c r="BB110" s="156"/>
      <c r="BC110" s="298">
        <f>BC112-BC104</f>
        <v>-323.89999999999992</v>
      </c>
      <c r="BD110" s="156">
        <f>BD112-BD104</f>
        <v>-346.19999999999993</v>
      </c>
      <c r="BE110" s="156">
        <f>BE112-BE104</f>
        <v>-352.19999999999993</v>
      </c>
      <c r="BF110" s="156">
        <f>BF112-BF104</f>
        <v>-381.29999999999995</v>
      </c>
      <c r="BG110" s="158">
        <f>BG106+BG107+BG109</f>
        <v>-381.29999999999995</v>
      </c>
      <c r="BH110" s="156"/>
      <c r="BI110" s="298">
        <f>BI112-BI104</f>
        <v>-402.09999999999997</v>
      </c>
      <c r="BJ110" s="156">
        <f>BJ112-BJ104</f>
        <v>-410.49999999999994</v>
      </c>
      <c r="BK110" s="156">
        <f>BK112-BK104</f>
        <v>-411.1</v>
      </c>
      <c r="BL110" s="156">
        <f>BL112-BL104</f>
        <v>-418</v>
      </c>
      <c r="BM110" s="158">
        <f>BM106+BM107+BM109</f>
        <v>-418</v>
      </c>
      <c r="BN110" s="156"/>
      <c r="BO110" s="298">
        <f>BO112-BO104</f>
        <v>-429.99999999999994</v>
      </c>
      <c r="BP110" s="156">
        <f>BP112-BP104</f>
        <v>-440.9</v>
      </c>
      <c r="BQ110" s="156">
        <f>BQ112-BQ104</f>
        <v>-479.19999999999993</v>
      </c>
      <c r="BR110" s="156">
        <f>BR112-BR104</f>
        <v>-501.4</v>
      </c>
      <c r="BS110" s="158">
        <f>BS106+BS107+BS109</f>
        <v>-501.4</v>
      </c>
      <c r="BT110" s="156"/>
      <c r="BU110" s="298">
        <f>BU112-BU104</f>
        <v>-528.29999999999995</v>
      </c>
      <c r="BV110" s="156">
        <f>BV112-BV104</f>
        <v>-531.59999999999991</v>
      </c>
      <c r="BW110" s="156">
        <f>BW112-BW104</f>
        <v>-541</v>
      </c>
      <c r="BX110" s="156">
        <f>BX112-BX104</f>
        <v>-554.4</v>
      </c>
      <c r="BY110" s="158">
        <f>BY106+BY107+BY109</f>
        <v>-554.4</v>
      </c>
      <c r="BZ110" s="156"/>
      <c r="CA110" s="298">
        <f>CA112-CA104</f>
        <v>-554.49999999999989</v>
      </c>
      <c r="CB110" s="156">
        <f>CB112-CB104</f>
        <v>-565.89999999999986</v>
      </c>
      <c r="CC110" s="156">
        <f>CC112-CC104</f>
        <v>-572.09999999999991</v>
      </c>
      <c r="CD110" s="156">
        <f>CD112-CD104</f>
        <v>-583.49999999999989</v>
      </c>
      <c r="CE110" s="158">
        <f>CE106+CE107+CE109</f>
        <v>-583.49999999999989</v>
      </c>
      <c r="CF110" s="156"/>
      <c r="CG110" s="298">
        <f>CG112-CG104</f>
        <v>-593.09999999999991</v>
      </c>
      <c r="CH110" s="156">
        <f>CH112-CH104</f>
        <v>-590.89999999999986</v>
      </c>
      <c r="CI110" s="156">
        <f>CI112-CI104</f>
        <v>-593.5</v>
      </c>
      <c r="CJ110" s="156">
        <f>CJ112-CJ104</f>
        <v>-599.79999999999995</v>
      </c>
      <c r="CK110" s="158">
        <f>CK106+CK107+CK109</f>
        <v>-599.79999999999995</v>
      </c>
      <c r="CL110" s="156"/>
      <c r="CM110" s="298">
        <f>CM106+CM107+CM109</f>
        <v>-611.16152449999993</v>
      </c>
      <c r="CN110" s="156">
        <f>CN106+CN107+CN109</f>
        <v>-622.67029694892949</v>
      </c>
      <c r="CO110" s="156">
        <f>CO106+CO107+CO109</f>
        <v>-634.3300038261043</v>
      </c>
      <c r="CP110" s="156">
        <f>CP106+CP107+CP109</f>
        <v>-646.14645455355935</v>
      </c>
      <c r="CQ110" s="158">
        <f>CQ106+CQ107+CQ109</f>
        <v>-646.14645455355935</v>
      </c>
      <c r="CR110" s="156"/>
      <c r="CS110" s="298">
        <f>CS106+CS107+CS109</f>
        <v>-658.1567630057757</v>
      </c>
      <c r="CT110" s="156">
        <f>CT106+CT107+CT109</f>
        <v>-670.30274642814959</v>
      </c>
      <c r="CU110" s="156">
        <f>CU106+CU107+CU109</f>
        <v>-682.59018430284038</v>
      </c>
      <c r="CV110" s="156">
        <f>CV106+CV107+CV109</f>
        <v>-695.02171593482217</v>
      </c>
      <c r="CW110" s="158">
        <f>CW106+CW107+CW109</f>
        <v>-695.02171593482217</v>
      </c>
      <c r="CY110" s="298">
        <f>CY106+CY107+CY109</f>
        <v>-707.63734678683545</v>
      </c>
      <c r="CZ110" s="156">
        <f>CZ106+CZ107+CZ109</f>
        <v>-720.39231068762638</v>
      </c>
      <c r="DA110" s="156">
        <f>DA106+DA107+DA109</f>
        <v>-733.29014251652097</v>
      </c>
      <c r="DB110" s="156">
        <f>DB106+DB107+DB109</f>
        <v>-746.33706881266414</v>
      </c>
      <c r="DC110" s="158">
        <f>DC106+DC107+DC109</f>
        <v>-746.33706881266426</v>
      </c>
      <c r="DE110" s="298">
        <f>DE106+DE107+DE109</f>
        <v>-759.57160412921235</v>
      </c>
      <c r="DF110" s="156">
        <f>DF106+DF107+DF109</f>
        <v>-772.94773647788077</v>
      </c>
      <c r="DG110" s="156">
        <f>DG106+DG107+DG109</f>
        <v>-786.47134089042208</v>
      </c>
      <c r="DH110" s="156">
        <f>DH106+DH107+DH109</f>
        <v>-800.14627092563194</v>
      </c>
      <c r="DI110" s="158">
        <f>DI106+DI107+DI109</f>
        <v>-800.14627092563194</v>
      </c>
    </row>
    <row r="111" spans="1:113" ht="11.25" hidden="1" customHeight="1" outlineLevel="1">
      <c r="A111" s="148"/>
      <c r="B111" s="149"/>
      <c r="C111" s="152"/>
      <c r="D111" s="149"/>
      <c r="E111" s="152"/>
      <c r="F111" s="149"/>
      <c r="G111" s="152"/>
      <c r="H111" s="149"/>
      <c r="I111" s="152"/>
      <c r="J111" s="149"/>
      <c r="K111" s="152"/>
      <c r="L111" s="149"/>
      <c r="M111" s="152"/>
      <c r="N111" s="149"/>
      <c r="O111" s="152"/>
      <c r="P111" s="149"/>
      <c r="Q111" s="152"/>
      <c r="R111" s="149"/>
      <c r="S111" s="326"/>
      <c r="T111" s="149"/>
      <c r="U111" s="149"/>
      <c r="V111" s="149"/>
      <c r="W111" s="152"/>
      <c r="X111" s="149"/>
      <c r="Y111" s="326"/>
      <c r="Z111" s="149"/>
      <c r="AA111" s="149"/>
      <c r="AB111" s="149"/>
      <c r="AC111" s="152"/>
      <c r="AD111" s="149"/>
      <c r="AE111" s="326"/>
      <c r="AF111" s="149"/>
      <c r="AG111" s="149"/>
      <c r="AH111" s="149"/>
      <c r="AI111" s="152"/>
      <c r="AJ111" s="149"/>
      <c r="AK111" s="326"/>
      <c r="AL111" s="149"/>
      <c r="AM111" s="149"/>
      <c r="AN111" s="149"/>
      <c r="AO111" s="152"/>
      <c r="AP111" s="149"/>
      <c r="AQ111" s="326"/>
      <c r="AR111" s="149"/>
      <c r="AS111" s="149"/>
      <c r="AT111" s="149"/>
      <c r="AU111" s="152"/>
      <c r="AV111" s="149"/>
      <c r="AW111" s="326"/>
      <c r="AX111" s="149"/>
      <c r="AY111" s="149"/>
      <c r="AZ111" s="149"/>
      <c r="BA111" s="152"/>
      <c r="BB111" s="149"/>
      <c r="BC111" s="326"/>
      <c r="BD111" s="149"/>
      <c r="BE111" s="149"/>
      <c r="BF111" s="149"/>
      <c r="BG111" s="152"/>
      <c r="BH111" s="149"/>
      <c r="BI111" s="326"/>
      <c r="BJ111" s="149"/>
      <c r="BK111" s="149"/>
      <c r="BL111" s="149"/>
      <c r="BM111" s="152"/>
      <c r="BN111" s="149"/>
      <c r="BO111" s="326"/>
      <c r="BP111" s="149"/>
      <c r="BQ111" s="149"/>
      <c r="BR111" s="149"/>
      <c r="BS111" s="152"/>
      <c r="BT111" s="149"/>
      <c r="BU111" s="326"/>
      <c r="BV111" s="149"/>
      <c r="BW111" s="149"/>
      <c r="BX111" s="149"/>
      <c r="BY111" s="152"/>
      <c r="BZ111" s="149"/>
      <c r="CA111" s="326"/>
      <c r="CB111" s="149"/>
      <c r="CC111" s="149"/>
      <c r="CD111" s="149"/>
      <c r="CE111" s="152"/>
      <c r="CF111" s="149"/>
      <c r="CG111" s="326"/>
      <c r="CH111" s="149"/>
      <c r="CI111" s="149"/>
      <c r="CJ111" s="149"/>
      <c r="CK111" s="152"/>
      <c r="CL111" s="149"/>
      <c r="CM111" s="326"/>
      <c r="CN111" s="149"/>
      <c r="CO111" s="149"/>
      <c r="CP111" s="149"/>
      <c r="CQ111" s="152"/>
      <c r="CR111" s="149"/>
      <c r="CS111" s="326"/>
      <c r="CT111" s="149"/>
      <c r="CU111" s="149"/>
      <c r="CV111" s="149"/>
      <c r="CW111" s="152"/>
      <c r="CY111" s="326"/>
      <c r="CZ111" s="149"/>
      <c r="DA111" s="149"/>
      <c r="DB111" s="149"/>
      <c r="DC111" s="152"/>
      <c r="DE111" s="326"/>
      <c r="DF111" s="149"/>
      <c r="DG111" s="149"/>
      <c r="DH111" s="149"/>
      <c r="DI111" s="152"/>
    </row>
    <row r="112" spans="1:113" ht="11.25" hidden="1" customHeight="1" outlineLevel="1">
      <c r="A112" s="154" t="s">
        <v>137</v>
      </c>
      <c r="B112" s="156"/>
      <c r="C112" s="158">
        <f>C104+C110</f>
        <v>28.365580000000001</v>
      </c>
      <c r="D112" s="156"/>
      <c r="E112" s="158">
        <f>E104+E110</f>
        <v>25.351000000000003</v>
      </c>
      <c r="F112" s="156"/>
      <c r="G112" s="158">
        <f>G104+G110</f>
        <v>25.527999999999999</v>
      </c>
      <c r="H112" s="156"/>
      <c r="I112" s="158">
        <f>I104+I110</f>
        <v>37.252000000000002</v>
      </c>
      <c r="J112" s="156"/>
      <c r="K112" s="158">
        <f>K104+K110</f>
        <v>73.248999999999995</v>
      </c>
      <c r="L112" s="156"/>
      <c r="M112" s="158">
        <f>M104+M110</f>
        <v>81.353999999999999</v>
      </c>
      <c r="N112" s="156"/>
      <c r="O112" s="158">
        <f>O104+O110</f>
        <v>84.990000000000009</v>
      </c>
      <c r="P112" s="156"/>
      <c r="Q112" s="158">
        <f>Q104+Q110</f>
        <v>85.312999999999988</v>
      </c>
      <c r="R112" s="156"/>
      <c r="S112" s="298">
        <f>S16</f>
        <v>72.816999999999993</v>
      </c>
      <c r="T112" s="156">
        <f>T16</f>
        <v>74.864000000000004</v>
      </c>
      <c r="U112" s="156">
        <f>U16</f>
        <v>87.908000000000001</v>
      </c>
      <c r="V112" s="156">
        <f>V16</f>
        <v>90.349000000000004</v>
      </c>
      <c r="W112" s="158">
        <f>W104+W110</f>
        <v>90.348999999999975</v>
      </c>
      <c r="X112" s="156"/>
      <c r="Y112" s="298">
        <f>Y16</f>
        <v>91.41</v>
      </c>
      <c r="Z112" s="156">
        <f>Z16</f>
        <v>95.034999999999997</v>
      </c>
      <c r="AA112" s="156">
        <f>AA16</f>
        <v>101.015</v>
      </c>
      <c r="AB112" s="156">
        <f>AB16</f>
        <v>207.6</v>
      </c>
      <c r="AC112" s="158">
        <f>AC104+AC110</f>
        <v>207.60000000000005</v>
      </c>
      <c r="AD112" s="156"/>
      <c r="AE112" s="298">
        <f>AE16</f>
        <v>231.541</v>
      </c>
      <c r="AF112" s="156">
        <f>AF16</f>
        <v>236.321</v>
      </c>
      <c r="AG112" s="156">
        <f>AG16</f>
        <v>219.31700000000001</v>
      </c>
      <c r="AH112" s="156">
        <f>AH16</f>
        <v>221.3</v>
      </c>
      <c r="AI112" s="158">
        <f>AI104+AI110</f>
        <v>221.29999999999995</v>
      </c>
      <c r="AJ112" s="156"/>
      <c r="AK112" s="298">
        <f>AK16</f>
        <v>208.6</v>
      </c>
      <c r="AL112" s="156">
        <f>AL16</f>
        <v>221.3</v>
      </c>
      <c r="AM112" s="156">
        <f>AM16</f>
        <v>226.4</v>
      </c>
      <c r="AN112" s="156">
        <f>AN16</f>
        <v>223.4</v>
      </c>
      <c r="AO112" s="158">
        <f>AO104+AO110</f>
        <v>223.39999999999998</v>
      </c>
      <c r="AP112" s="156"/>
      <c r="AQ112" s="298">
        <f>AQ16</f>
        <v>212</v>
      </c>
      <c r="AR112" s="156">
        <f>AR16</f>
        <v>199.3</v>
      </c>
      <c r="AS112" s="156">
        <f>AS16</f>
        <v>218.7</v>
      </c>
      <c r="AT112" s="156">
        <f>AT16</f>
        <v>233.7</v>
      </c>
      <c r="AU112" s="158">
        <f>AU104+AU110</f>
        <v>233.70000000000005</v>
      </c>
      <c r="AV112" s="156"/>
      <c r="AW112" s="298">
        <f>AW16</f>
        <v>246.8</v>
      </c>
      <c r="AX112" s="156">
        <f>AX16</f>
        <v>265.89999999999998</v>
      </c>
      <c r="AY112" s="156">
        <f>AY16</f>
        <v>249.4</v>
      </c>
      <c r="AZ112" s="156">
        <f>AZ16</f>
        <v>249</v>
      </c>
      <c r="BA112" s="158">
        <f>BA104+BA110</f>
        <v>249</v>
      </c>
      <c r="BB112" s="156"/>
      <c r="BC112" s="298">
        <f>BC16</f>
        <v>261.8</v>
      </c>
      <c r="BD112" s="156">
        <f>BD16</f>
        <v>259.10000000000002</v>
      </c>
      <c r="BE112" s="156">
        <f>BE16</f>
        <v>272.5</v>
      </c>
      <c r="BF112" s="156">
        <f>BF16</f>
        <v>283.60000000000002</v>
      </c>
      <c r="BG112" s="158">
        <f>BG104+BG110</f>
        <v>283.60000000000002</v>
      </c>
      <c r="BH112" s="156"/>
      <c r="BI112" s="298">
        <f>BI16</f>
        <v>279.7</v>
      </c>
      <c r="BJ112" s="156">
        <f>BJ16</f>
        <v>287.8</v>
      </c>
      <c r="BK112" s="156">
        <f>BK16</f>
        <v>297.39999999999998</v>
      </c>
      <c r="BL112" s="156">
        <f>BL16</f>
        <v>299.5</v>
      </c>
      <c r="BM112" s="158">
        <f>BM104+BM110</f>
        <v>299.49999999999989</v>
      </c>
      <c r="BN112" s="156"/>
      <c r="BO112" s="298">
        <f>BO16</f>
        <v>296.7</v>
      </c>
      <c r="BP112" s="156">
        <f>BP16</f>
        <v>293.39999999999998</v>
      </c>
      <c r="BQ112" s="156">
        <f>BQ16</f>
        <v>265</v>
      </c>
      <c r="BR112" s="156">
        <f>BR16</f>
        <v>249.9</v>
      </c>
      <c r="BS112" s="158">
        <f>BS104+BS110</f>
        <v>249.89999999999986</v>
      </c>
      <c r="BT112" s="156"/>
      <c r="BU112" s="298">
        <f>BU16</f>
        <v>228.7</v>
      </c>
      <c r="BV112" s="156">
        <f>BV16</f>
        <v>233.1</v>
      </c>
      <c r="BW112" s="156">
        <f>BW16</f>
        <v>232.4</v>
      </c>
      <c r="BX112" s="156">
        <f>BX16</f>
        <v>231.1</v>
      </c>
      <c r="BY112" s="158">
        <f>BY104+BY110</f>
        <v>231.09999999999991</v>
      </c>
      <c r="BZ112" s="156"/>
      <c r="CA112" s="298">
        <f>CA16</f>
        <v>239</v>
      </c>
      <c r="CB112" s="156">
        <f>CB16</f>
        <v>236.8</v>
      </c>
      <c r="CC112" s="156">
        <f>CC16</f>
        <v>239.4</v>
      </c>
      <c r="CD112" s="156">
        <f>CD16</f>
        <v>239.1</v>
      </c>
      <c r="CE112" s="158">
        <f>CE104+CE110</f>
        <v>239.10000000000002</v>
      </c>
      <c r="CF112" s="156"/>
      <c r="CG112" s="298">
        <f>CG16</f>
        <v>241</v>
      </c>
      <c r="CH112" s="156">
        <f>CH16</f>
        <v>252.8</v>
      </c>
      <c r="CI112" s="156">
        <f>CI16</f>
        <v>260.39999999999998</v>
      </c>
      <c r="CJ112" s="156">
        <f>CJ16</f>
        <v>266.5</v>
      </c>
      <c r="CK112" s="158">
        <f>CK104+CK110</f>
        <v>266.5</v>
      </c>
      <c r="CL112" s="156"/>
      <c r="CM112" s="298">
        <f>CM104+CM110</f>
        <v>266.36592109127457</v>
      </c>
      <c r="CN112" s="156">
        <f>CN104+CN110</f>
        <v>266.36568301102284</v>
      </c>
      <c r="CO112" s="156">
        <f>CO104+CO110</f>
        <v>266.65747062719731</v>
      </c>
      <c r="CP112" s="156">
        <f>CP104+CP110</f>
        <v>269.62239426202564</v>
      </c>
      <c r="CQ112" s="158">
        <f>CQ104+CQ110</f>
        <v>269.62239426202564</v>
      </c>
      <c r="CR112" s="156"/>
      <c r="CS112" s="298">
        <f>CS104+CS110</f>
        <v>267.95710831514668</v>
      </c>
      <c r="CT112" s="156">
        <f>CT104+CT110</f>
        <v>266.59682465006324</v>
      </c>
      <c r="CU112" s="156">
        <f>CU104+CU110</f>
        <v>265.29632976363246</v>
      </c>
      <c r="CV112" s="156">
        <f>CV104+CV110</f>
        <v>266.90210045963659</v>
      </c>
      <c r="CW112" s="158">
        <f>CW104+CW110</f>
        <v>266.90210045963659</v>
      </c>
      <c r="CY112" s="298">
        <f>CY104+CY110</f>
        <v>264.91041537793194</v>
      </c>
      <c r="CZ112" s="156">
        <f>CZ104+CZ110</f>
        <v>263.04892674238522</v>
      </c>
      <c r="DA112" s="156">
        <f>DA104+DA110</f>
        <v>261.51933488669658</v>
      </c>
      <c r="DB112" s="156">
        <f>DB104+DB110</f>
        <v>262.77732817918286</v>
      </c>
      <c r="DC112" s="158">
        <f>DC104+DC110</f>
        <v>262.77732817918275</v>
      </c>
      <c r="DE112" s="298">
        <f>DE104+DE110</f>
        <v>260.33936412609592</v>
      </c>
      <c r="DF112" s="156">
        <f>DF104+DF110</f>
        <v>258.20776581272719</v>
      </c>
      <c r="DG112" s="156">
        <f>DG104+DG110</f>
        <v>256.22252378436826</v>
      </c>
      <c r="DH112" s="156">
        <f>DH104+DH110</f>
        <v>257.255358458253</v>
      </c>
      <c r="DI112" s="158">
        <f>DI104+DI110</f>
        <v>257.255358458253</v>
      </c>
    </row>
    <row r="113" spans="1:113" ht="11.25" hidden="1" customHeight="1" outlineLevel="1">
      <c r="A113" s="148"/>
      <c r="B113" s="149"/>
      <c r="C113" s="160"/>
      <c r="D113" s="149"/>
      <c r="E113" s="160"/>
      <c r="F113" s="149"/>
      <c r="G113" s="160"/>
      <c r="H113" s="149"/>
      <c r="I113" s="160"/>
      <c r="J113" s="149"/>
      <c r="K113" s="160"/>
      <c r="L113" s="149"/>
      <c r="M113" s="160"/>
      <c r="N113" s="149"/>
      <c r="O113" s="160"/>
      <c r="P113" s="149"/>
      <c r="Q113" s="160"/>
      <c r="R113" s="149"/>
      <c r="S113" s="327"/>
      <c r="T113" s="159"/>
      <c r="U113" s="159"/>
      <c r="V113" s="159"/>
      <c r="W113" s="160"/>
      <c r="X113" s="149"/>
      <c r="Y113" s="327"/>
      <c r="Z113" s="159"/>
      <c r="AA113" s="159"/>
      <c r="AB113" s="159"/>
      <c r="AC113" s="160"/>
      <c r="AD113" s="149"/>
      <c r="AE113" s="327"/>
      <c r="AF113" s="159"/>
      <c r="AG113" s="159"/>
      <c r="AH113" s="159"/>
      <c r="AI113" s="160"/>
      <c r="AJ113" s="149"/>
      <c r="AK113" s="327"/>
      <c r="AL113" s="159"/>
      <c r="AM113" s="159"/>
      <c r="AN113" s="159"/>
      <c r="AO113" s="160"/>
      <c r="AP113" s="149"/>
      <c r="AQ113" s="327"/>
      <c r="AR113" s="159"/>
      <c r="AS113" s="159"/>
      <c r="AT113" s="159"/>
      <c r="AU113" s="160"/>
      <c r="AV113" s="149"/>
      <c r="AW113" s="327"/>
      <c r="AX113" s="159"/>
      <c r="AY113" s="159"/>
      <c r="AZ113" s="159"/>
      <c r="BA113" s="160"/>
      <c r="BB113" s="149"/>
      <c r="BC113" s="327"/>
      <c r="BD113" s="159"/>
      <c r="BE113" s="159"/>
      <c r="BF113" s="159"/>
      <c r="BG113" s="152"/>
      <c r="BH113" s="149"/>
      <c r="BI113" s="327"/>
      <c r="BJ113" s="159"/>
      <c r="BK113" s="159"/>
      <c r="BL113" s="149"/>
      <c r="BM113" s="152"/>
      <c r="BN113" s="149"/>
      <c r="BO113" s="327"/>
      <c r="BP113" s="149"/>
      <c r="BQ113" s="149"/>
      <c r="BR113" s="149"/>
      <c r="BS113" s="152"/>
      <c r="BT113" s="149"/>
      <c r="BU113" s="327"/>
      <c r="BV113" s="149"/>
      <c r="BW113" s="149"/>
      <c r="BX113" s="149"/>
      <c r="BY113" s="152"/>
      <c r="BZ113" s="149"/>
      <c r="CA113" s="327"/>
      <c r="CB113" s="149"/>
      <c r="CC113" s="149"/>
      <c r="CD113" s="149"/>
      <c r="CE113" s="152"/>
      <c r="CF113" s="149"/>
      <c r="CG113" s="327"/>
      <c r="CH113" s="149"/>
      <c r="CI113" s="149"/>
      <c r="CJ113" s="149"/>
      <c r="CK113" s="152"/>
      <c r="CL113" s="149"/>
      <c r="CM113" s="326"/>
      <c r="CN113" s="149"/>
      <c r="CO113" s="149"/>
      <c r="CP113" s="149"/>
      <c r="CQ113" s="152"/>
      <c r="CR113" s="149"/>
      <c r="CS113" s="326"/>
      <c r="CT113" s="149"/>
      <c r="CU113" s="149"/>
      <c r="CV113" s="149"/>
      <c r="CW113" s="152"/>
      <c r="CY113" s="326"/>
      <c r="CZ113" s="149"/>
      <c r="DA113" s="149"/>
      <c r="DB113" s="149"/>
      <c r="DC113" s="152"/>
      <c r="DE113" s="326"/>
      <c r="DF113" s="149"/>
      <c r="DG113" s="149"/>
      <c r="DH113" s="149"/>
      <c r="DI113" s="152"/>
    </row>
    <row r="114" spans="1:113" ht="11.25" hidden="1" customHeight="1" outlineLevel="1">
      <c r="A114" s="104" t="s">
        <v>138</v>
      </c>
      <c r="B114" s="105"/>
      <c r="C114" s="107">
        <f>-C104/C107</f>
        <v>19.130617849898581</v>
      </c>
      <c r="D114" s="105"/>
      <c r="E114" s="107">
        <f>-E104/E107</f>
        <v>13.260174856798312</v>
      </c>
      <c r="F114" s="105"/>
      <c r="G114" s="107">
        <f>-G104/G107</f>
        <v>14.142812499999998</v>
      </c>
      <c r="H114" s="105"/>
      <c r="I114" s="107">
        <f>-I104/I107</f>
        <v>14.081839622641509</v>
      </c>
      <c r="J114" s="105"/>
      <c r="K114" s="107">
        <f>-K104/K107</f>
        <v>9.360537889039243</v>
      </c>
      <c r="L114" s="105"/>
      <c r="M114" s="107">
        <f>-M104/M107</f>
        <v>13.190214187463155</v>
      </c>
      <c r="N114" s="105"/>
      <c r="O114" s="107">
        <f>-O104/O107</f>
        <v>15.765307220488541</v>
      </c>
      <c r="P114" s="105"/>
      <c r="Q114" s="107">
        <f>-Q104/Q107</f>
        <v>15.06096342194683</v>
      </c>
      <c r="R114" s="105"/>
      <c r="S114" s="284">
        <f>-S104/(S107*4)</f>
        <v>11.797812087826829</v>
      </c>
      <c r="T114" s="105">
        <f>-T104/(T107*4)</f>
        <v>11.883001008611995</v>
      </c>
      <c r="U114" s="105">
        <f>-U104/(U107*4)</f>
        <v>12.882537844321282</v>
      </c>
      <c r="V114" s="105">
        <f>-V104/(V107*4)</f>
        <v>16.39183906950138</v>
      </c>
      <c r="W114" s="107">
        <f>-W104/W107</f>
        <v>14.222350897510132</v>
      </c>
      <c r="X114" s="105"/>
      <c r="Y114" s="284">
        <f>-Y104/(Y107*4)</f>
        <v>6.3948533681765385</v>
      </c>
      <c r="Z114" s="105">
        <f>-Z104/(Z107*4)</f>
        <v>6.7130153890824609</v>
      </c>
      <c r="AA114" s="105">
        <f>-AA104/(AA107*4)</f>
        <v>6.671257651641624</v>
      </c>
      <c r="AB114" s="105">
        <f>-AB104/(AB107*4)</f>
        <v>23.252633711507311</v>
      </c>
      <c r="AC114" s="107">
        <f>-AC104/AC107</f>
        <v>17.725868725868729</v>
      </c>
      <c r="AD114" s="105"/>
      <c r="AE114" s="284">
        <f>-AE104/(AE107*4)</f>
        <v>16.875</v>
      </c>
      <c r="AF114" s="105">
        <f>-AF104/(AF107*4)</f>
        <v>17.875</v>
      </c>
      <c r="AG114" s="105">
        <f>-AG104/(AG107*4)</f>
        <v>16.85472972972973</v>
      </c>
      <c r="AH114" s="105">
        <f>-AH104/(AH107*4)</f>
        <v>19.289682539682541</v>
      </c>
      <c r="AI114" s="107">
        <f>-AI104/AI107</f>
        <v>17.676363636363636</v>
      </c>
      <c r="AJ114" s="105"/>
      <c r="AK114" s="284">
        <f>-AK104/(AK107*4)</f>
        <v>19.758064516129036</v>
      </c>
      <c r="AL114" s="105">
        <f>-AL104/(AL107*4)</f>
        <v>19.457031249999996</v>
      </c>
      <c r="AM114" s="105">
        <f>-AM104/(AM107*4)</f>
        <v>19.226923076923082</v>
      </c>
      <c r="AN114" s="105">
        <f>-AN104/(AN107*4)</f>
        <v>14.698863636363635</v>
      </c>
      <c r="AO114" s="107">
        <f>-AO104/AO107</f>
        <v>18.544802867383513</v>
      </c>
      <c r="AP114" s="105"/>
      <c r="AQ114" s="284">
        <f>-AQ104/(AQ107*4)</f>
        <v>18.671428571428571</v>
      </c>
      <c r="AR114" s="105">
        <f>-AR104/(AR107*4)</f>
        <v>20.094696969696965</v>
      </c>
      <c r="AS114" s="105">
        <f>-AS104/(AS107*4)</f>
        <v>16.675925925925917</v>
      </c>
      <c r="AT114" s="105">
        <f>-AT104/(AT107*4)</f>
        <v>15.720930232558135</v>
      </c>
      <c r="AU114" s="107">
        <f>-AU104/AU107</f>
        <v>17.848184818481847</v>
      </c>
      <c r="AV114" s="105"/>
      <c r="AW114" s="284">
        <f>-AW104/(AW107*4)</f>
        <v>17.209375000000001</v>
      </c>
      <c r="AX114" s="105">
        <f>-AX104/(AX107*4)</f>
        <v>14.950520833333337</v>
      </c>
      <c r="AY114" s="105">
        <f>-AY104/(AY107*4)</f>
        <v>16.843023255813961</v>
      </c>
      <c r="AZ114" s="105">
        <f>-AZ104/(AZ107*4)</f>
        <v>16.642441860465116</v>
      </c>
      <c r="BA114" s="107">
        <f>-BA104/BA107</f>
        <v>16.451149425287358</v>
      </c>
      <c r="BB114" s="105"/>
      <c r="BC114" s="284">
        <f>-BC104/(BC107*4)</f>
        <v>17.226470588235291</v>
      </c>
      <c r="BD114" s="105">
        <f>-BD104/(BD107*4)</f>
        <v>16.098404255319146</v>
      </c>
      <c r="BE114" s="105">
        <f>-BE104/(BE107*4)</f>
        <v>18.592261904761905</v>
      </c>
      <c r="BF114" s="105">
        <f>-BF104/(BF107*4)</f>
        <v>15.391203703703702</v>
      </c>
      <c r="BG114" s="107">
        <f>-BG104/BG107</f>
        <v>17.921832884097032</v>
      </c>
      <c r="BH114" s="105"/>
      <c r="BI114" s="284">
        <f>-BI104/(BI107*4)</f>
        <v>16.876237623762375</v>
      </c>
      <c r="BJ114" s="105">
        <f>-BJ104/(BJ107*4)</f>
        <v>17.633838383838381</v>
      </c>
      <c r="BK114" s="105">
        <f>-BK104/(BK107*4)</f>
        <v>17.537128712871286</v>
      </c>
      <c r="BL114" s="105">
        <f>-BL104/(BL107*4)</f>
        <v>17.083333333333332</v>
      </c>
      <c r="BM114" s="107">
        <f>-BM104/BM107</f>
        <v>17.672413793103445</v>
      </c>
      <c r="BN114" s="105"/>
      <c r="BO114" s="284">
        <f>-BO104/(BO107*4)</f>
        <v>18.167499999999997</v>
      </c>
      <c r="BP114" s="105">
        <f>-BP104/(BP107*4)</f>
        <v>18.357499999999998</v>
      </c>
      <c r="BQ114" s="105">
        <f>-BQ104/(BQ107*4)</f>
        <v>14.883999999999997</v>
      </c>
      <c r="BR114" s="105">
        <f>-BR104/(BR107*4)</f>
        <v>26.832142857142848</v>
      </c>
      <c r="BS114" s="107">
        <f>-BS104/BS107</f>
        <v>19.020253164556959</v>
      </c>
      <c r="BT114" s="105"/>
      <c r="BU114" s="284">
        <f>-BU104/(BU107*4)</f>
        <v>22.801204819277103</v>
      </c>
      <c r="BV114" s="105">
        <f>-BV104/(BV107*4)</f>
        <v>23.896875000000001</v>
      </c>
      <c r="BW114" s="105">
        <f>-BW104/(BW107*4)</f>
        <v>23.579268292682922</v>
      </c>
      <c r="BX114" s="105">
        <f>-BX104/(BX107*4)</f>
        <v>24.243827160493844</v>
      </c>
      <c r="BY114" s="107">
        <f>-BY104/BY107</f>
        <v>24.095092024539877</v>
      </c>
      <c r="BZ114" s="105"/>
      <c r="CA114" s="284">
        <f>-CA104/(CA107*4)</f>
        <v>25.432692307692307</v>
      </c>
      <c r="CB114" s="105">
        <f>-CB104/(CB107*4)</f>
        <v>24.77469135802469</v>
      </c>
      <c r="CC114" s="105">
        <f>-CC104/(CC107*4)</f>
        <v>24.442771084337345</v>
      </c>
      <c r="CD114" s="105">
        <f>-CD104/(CD107*4)</f>
        <v>24.482142857142868</v>
      </c>
      <c r="CE114" s="107">
        <f>-CE104/CE107</f>
        <v>25.233128834355831</v>
      </c>
      <c r="CF114" s="105"/>
      <c r="CG114" s="284">
        <f>-CG104/(CG107*4)</f>
        <v>25.429878048780488</v>
      </c>
      <c r="CH114" s="105">
        <f>-CH104/(CH107*4)</f>
        <v>24.814705882352939</v>
      </c>
      <c r="CI114" s="105">
        <f>-CI104/(CI107*4)</f>
        <v>23.985955056179773</v>
      </c>
      <c r="CJ114" s="105">
        <f>-CJ104/(CJ107*4)</f>
        <v>24.893678160919553</v>
      </c>
      <c r="CK114" s="107">
        <f>-CK104/CK107</f>
        <v>25.25655976676385</v>
      </c>
      <c r="CL114" s="105"/>
      <c r="CM114" s="284">
        <f>-CM104/(CM107*4)</f>
        <v>19.309192300541941</v>
      </c>
      <c r="CN114" s="105">
        <f>-CN104/(CN107*4)</f>
        <v>19.312137413113984</v>
      </c>
      <c r="CO114" s="105">
        <f>-CO104/(CO107*4)</f>
        <v>19.318398908832965</v>
      </c>
      <c r="CP114" s="105">
        <f>-CP104/(CP107*4)</f>
        <v>19.37487131156551</v>
      </c>
      <c r="CQ114" s="107">
        <f>-CQ104/CQ107</f>
        <v>19.759199654793321</v>
      </c>
      <c r="CR114" s="105"/>
      <c r="CS114" s="284">
        <f>-CS104/(CS107*4)</f>
        <v>19.277478905007143</v>
      </c>
      <c r="CT114" s="105">
        <f>-CT104/(CT107*4)</f>
        <v>19.284143953143534</v>
      </c>
      <c r="CU114" s="105">
        <f>-CU104/(CU107*4)</f>
        <v>19.28568273819916</v>
      </c>
      <c r="CV114" s="105">
        <f>-CV104/(CV107*4)</f>
        <v>19.344434878800051</v>
      </c>
      <c r="CW114" s="107">
        <f>-CW104/CW107</f>
        <v>19.681200452121335</v>
      </c>
      <c r="CY114" s="284">
        <f>-CY104/(CY107*4)</f>
        <v>19.27267398620733</v>
      </c>
      <c r="CZ114" s="105">
        <f>-CZ104/(CZ107*4)</f>
        <v>19.275657012424574</v>
      </c>
      <c r="DA114" s="105">
        <f>-DA104/(DA107*4)</f>
        <v>19.282494348673733</v>
      </c>
      <c r="DB114" s="105">
        <f>-DB104/(DB107*4)</f>
        <v>19.336247750747074</v>
      </c>
      <c r="DC114" s="107">
        <f>-DC104/DC107</f>
        <v>19.664960687186117</v>
      </c>
      <c r="DE114" s="284">
        <f>-DE104/(DE107*4)</f>
        <v>19.266089512414567</v>
      </c>
      <c r="DF114" s="105">
        <f>-DF104/(DF107*4)</f>
        <v>19.272302998580574</v>
      </c>
      <c r="DG114" s="105">
        <f>-DG104/(DG107*4)</f>
        <v>19.275443011846608</v>
      </c>
      <c r="DH114" s="105">
        <f>-DH104/(DH107*4)</f>
        <v>19.331024485341299</v>
      </c>
      <c r="DI114" s="107">
        <f>-DI104/DI107</f>
        <v>19.650944222587878</v>
      </c>
    </row>
    <row r="115" spans="1:113" ht="11.25" hidden="1" customHeight="1" outlineLevel="1">
      <c r="A115" s="161" t="s">
        <v>139</v>
      </c>
      <c r="B115" s="109"/>
      <c r="C115" s="110">
        <f>C110/C107</f>
        <v>7.6232831643002026</v>
      </c>
      <c r="D115" s="109"/>
      <c r="E115" s="110">
        <f>E110/E107</f>
        <v>5.6174253843834787</v>
      </c>
      <c r="F115" s="109"/>
      <c r="G115" s="110">
        <f>G110/G107</f>
        <v>6.1653124999999998</v>
      </c>
      <c r="H115" s="109"/>
      <c r="I115" s="110">
        <f>I110/I107</f>
        <v>5.2959905660377355</v>
      </c>
      <c r="J115" s="109"/>
      <c r="K115" s="110">
        <f>K110/K107</f>
        <v>3.1655953991880921</v>
      </c>
      <c r="L115" s="109"/>
      <c r="M115" s="110">
        <f>M110/M107</f>
        <v>5.1970917665553147</v>
      </c>
      <c r="N115" s="109"/>
      <c r="O115" s="110">
        <f>O110/O107</f>
        <v>6.6197137630474563</v>
      </c>
      <c r="P115" s="109"/>
      <c r="Q115" s="110">
        <f>Q110/Q107</f>
        <v>6.5347791325204874</v>
      </c>
      <c r="R115" s="109"/>
      <c r="S115" s="318">
        <f>S110/(S107*4)</f>
        <v>6.1482659632244543</v>
      </c>
      <c r="T115" s="109">
        <f>T110/(T107*4)</f>
        <v>6.0746372876095895</v>
      </c>
      <c r="U115" s="109">
        <f>U110/(U107*4)</f>
        <v>5.6108032095293234</v>
      </c>
      <c r="V115" s="109">
        <f>V110/(V107*4)</f>
        <v>7.7781485365621119</v>
      </c>
      <c r="W115" s="110">
        <f>W110/W107</f>
        <v>6.7486971627099015</v>
      </c>
      <c r="X115" s="109"/>
      <c r="Y115" s="318">
        <f>Y110/(Y107*4)</f>
        <v>3.077126887340301</v>
      </c>
      <c r="Z115" s="109">
        <f>Z110/(Z107*4)</f>
        <v>3.263719512195121</v>
      </c>
      <c r="AA115" s="109">
        <f>AA110/(AA107*4)</f>
        <v>3.1579368391764038</v>
      </c>
      <c r="AB115" s="109">
        <f>AB110/(AB107*4)</f>
        <v>12.738047001620755</v>
      </c>
      <c r="AC115" s="110">
        <f>AC110/AC107</f>
        <v>9.7104247104247108</v>
      </c>
      <c r="AD115" s="109"/>
      <c r="AE115" s="318">
        <f>AE110/(AE107*4)</f>
        <v>8.6056785714285713</v>
      </c>
      <c r="AF115" s="109">
        <f>AF110/(AF107*4)</f>
        <v>9.1867279411764713</v>
      </c>
      <c r="AG115" s="109">
        <f>AG110/(AG107*4)</f>
        <v>9.4453716216216197</v>
      </c>
      <c r="AH115" s="109">
        <f>AH110/(AH107*4)</f>
        <v>10.507936507936508</v>
      </c>
      <c r="AI115" s="110">
        <f>AI110/AI107</f>
        <v>9.6290909090909107</v>
      </c>
      <c r="AJ115" s="109"/>
      <c r="AK115" s="318">
        <f>AK110/(AK107*4)</f>
        <v>11.346774193548388</v>
      </c>
      <c r="AL115" s="109">
        <f>AL110/(AL107*4)</f>
        <v>10.812499999999998</v>
      </c>
      <c r="AM115" s="109">
        <f>AM110/(AM107*4)</f>
        <v>10.519230769230772</v>
      </c>
      <c r="AN115" s="109">
        <f>AN110/(AN107*4)</f>
        <v>8.3522727272727266</v>
      </c>
      <c r="AO115" s="110">
        <f>AO110/AO107</f>
        <v>10.537634408602152</v>
      </c>
      <c r="AP115" s="109"/>
      <c r="AQ115" s="318">
        <f>AQ110/(AQ107*4)</f>
        <v>11.099999999999998</v>
      </c>
      <c r="AR115" s="109">
        <f>AR110/(AR107*4)</f>
        <v>12.545454545454541</v>
      </c>
      <c r="AS115" s="109">
        <f>AS110/(AS107*4)</f>
        <v>9.9259259259259203</v>
      </c>
      <c r="AT115" s="109">
        <f>AT110/(AT107*4)</f>
        <v>8.9273255813953476</v>
      </c>
      <c r="AU115" s="110">
        <f>AU110/AU107</f>
        <v>10.135313531353134</v>
      </c>
      <c r="AV115" s="109"/>
      <c r="AW115" s="318">
        <f>AW110/(AW107*4)</f>
        <v>9.4968750000000011</v>
      </c>
      <c r="AX115" s="109">
        <f>AX110/(AX107*4)</f>
        <v>8.0260416666666714</v>
      </c>
      <c r="AY115" s="109">
        <f>AY110/(AY107*4)</f>
        <v>9.593023255813959</v>
      </c>
      <c r="AZ115" s="109">
        <f>AZ110/(AZ107*4)</f>
        <v>9.404069767441861</v>
      </c>
      <c r="BA115" s="110">
        <f>BA110/BA107</f>
        <v>9.2959770114942533</v>
      </c>
      <c r="BB115" s="109"/>
      <c r="BC115" s="318">
        <f>BC110/(BC107*4)</f>
        <v>9.5264705882352914</v>
      </c>
      <c r="BD115" s="109">
        <f>BD110/(BD107*4)</f>
        <v>9.2074468085106336</v>
      </c>
      <c r="BE115" s="109">
        <f>BE110/(BE107*4)</f>
        <v>10.482142857142858</v>
      </c>
      <c r="BF115" s="109">
        <f>BF110/(BF107*4)</f>
        <v>8.8263888888888875</v>
      </c>
      <c r="BG115" s="110">
        <f>BG110/BG107</f>
        <v>10.277628032345012</v>
      </c>
      <c r="BH115" s="109"/>
      <c r="BI115" s="318">
        <f>BI110/(BI107*4)</f>
        <v>9.9529702970297027</v>
      </c>
      <c r="BJ115" s="109">
        <f>BJ110/(BJ107*4)</f>
        <v>10.366161616161614</v>
      </c>
      <c r="BK115" s="109">
        <f>BK110/(BK107*4)</f>
        <v>10.175742574257427</v>
      </c>
      <c r="BL115" s="109">
        <f>BL110/(BL107*4)</f>
        <v>9.9523809523809526</v>
      </c>
      <c r="BM115" s="110">
        <f>BM110/BM107</f>
        <v>10.295566502463053</v>
      </c>
      <c r="BN115" s="109"/>
      <c r="BO115" s="318">
        <f>BO110/(BO107*4)</f>
        <v>10.749999999999998</v>
      </c>
      <c r="BP115" s="109">
        <f>BP110/(BP107*4)</f>
        <v>11.022499999999999</v>
      </c>
      <c r="BQ115" s="109">
        <f>BQ110/(BQ107*4)</f>
        <v>9.5839999999999979</v>
      </c>
      <c r="BR115" s="109">
        <f>BR110/(BR107*4)</f>
        <v>17.907142857142851</v>
      </c>
      <c r="BS115" s="110">
        <f>BS110/BS107</f>
        <v>12.69367088607595</v>
      </c>
      <c r="BT115" s="109"/>
      <c r="BU115" s="318">
        <f>BU110/(BU107*4)</f>
        <v>15.912650602409636</v>
      </c>
      <c r="BV115" s="109">
        <f>BV110/(BV107*4)</f>
        <v>16.612500000000001</v>
      </c>
      <c r="BW115" s="109">
        <f>BW110/(BW107*4)</f>
        <v>16.493902439024389</v>
      </c>
      <c r="BX115" s="109">
        <f>BX110/(BX107*4)</f>
        <v>17.111111111111121</v>
      </c>
      <c r="BY115" s="110">
        <f>BY110/BY107</f>
        <v>17.006134969325156</v>
      </c>
      <c r="BZ115" s="109"/>
      <c r="CA115" s="318">
        <f>CA110/(CA107*4)</f>
        <v>17.772435897435898</v>
      </c>
      <c r="CB115" s="109">
        <f>CB110/(CB107*4)</f>
        <v>17.466049382716047</v>
      </c>
      <c r="CC115" s="109">
        <f>CC110/(CC107*4)</f>
        <v>17.231927710843369</v>
      </c>
      <c r="CD115" s="109">
        <f>CD110/(CD107*4)</f>
        <v>17.366071428571434</v>
      </c>
      <c r="CE115" s="110">
        <f>CE110/CE107</f>
        <v>17.89877300613497</v>
      </c>
      <c r="CF115" s="109"/>
      <c r="CG115" s="318">
        <f>CG110/(CG107*4)</f>
        <v>18.082317073170731</v>
      </c>
      <c r="CH115" s="109">
        <f>CH110/(CH107*4)</f>
        <v>17.379411764705878</v>
      </c>
      <c r="CI115" s="109">
        <f>CI110/(CI107*4)</f>
        <v>16.671348314606742</v>
      </c>
      <c r="CJ115" s="109">
        <f>CJ110/(CJ107*4)</f>
        <v>17.235632183908052</v>
      </c>
      <c r="CK115" s="110">
        <f>CK110/CK107</f>
        <v>17.486880466472304</v>
      </c>
      <c r="CL115" s="109"/>
      <c r="CM115" s="318">
        <f>CM110/(CM107*4)</f>
        <v>13.448052778920644</v>
      </c>
      <c r="CN115" s="109">
        <f>CN110/(CN107*4)</f>
        <v>13.525992883082077</v>
      </c>
      <c r="CO115" s="109">
        <f>CO110/(CO107*4)</f>
        <v>13.600899458885168</v>
      </c>
      <c r="CP115" s="109">
        <f>CP110/(CP107*4)</f>
        <v>13.670485102863077</v>
      </c>
      <c r="CQ115" s="110">
        <f>CQ110/CQ107</f>
        <v>13.941658769320803</v>
      </c>
      <c r="CR115" s="109"/>
      <c r="CS115" s="318">
        <f>CS110/(CS107*4)</f>
        <v>13.699830558563185</v>
      </c>
      <c r="CT115" s="109">
        <f>CT110/(CT107*4)</f>
        <v>13.796798561271642</v>
      </c>
      <c r="CU115" s="109">
        <f>CU110/(CU107*4)</f>
        <v>13.887968168466104</v>
      </c>
      <c r="CV115" s="109">
        <f>CV110/(CV107*4)</f>
        <v>13.976992870025466</v>
      </c>
      <c r="CW115" s="110">
        <f>CW110/CW107</f>
        <v>14.220317115301821</v>
      </c>
      <c r="CY115" s="318">
        <f>CY110/(CY107*4)</f>
        <v>14.023027367551416</v>
      </c>
      <c r="CZ115" s="109">
        <f>CZ110/(CZ107*4)</f>
        <v>14.119842209881822</v>
      </c>
      <c r="DA115" s="109">
        <f>DA110/(DA107*4)</f>
        <v>14.213438201174139</v>
      </c>
      <c r="DB115" s="109">
        <f>DB110/(DB107*4)</f>
        <v>14.30101335502464</v>
      </c>
      <c r="DC115" s="110">
        <f>DC110/DC107</f>
        <v>14.544128159643472</v>
      </c>
      <c r="DE115" s="318">
        <f>DE110/(DE107*4)</f>
        <v>14.348286244313133</v>
      </c>
      <c r="DF115" s="109">
        <f>DF110/(DF107*4)</f>
        <v>14.446398187642595</v>
      </c>
      <c r="DG115" s="109">
        <f>DG110/(DG107*4)</f>
        <v>14.538863251595037</v>
      </c>
      <c r="DH115" s="109">
        <f>DH110/(DH107*4)</f>
        <v>14.627977416802771</v>
      </c>
      <c r="DI115" s="110">
        <f>DI110/DI107</f>
        <v>14.870063846064767</v>
      </c>
    </row>
    <row r="116" spans="1:113" ht="11.25" hidden="1" customHeight="1" outlineLevel="1">
      <c r="A116" s="150" t="s">
        <v>140</v>
      </c>
      <c r="B116" s="149"/>
      <c r="C116" s="151"/>
      <c r="D116" s="149"/>
      <c r="E116" s="151"/>
      <c r="F116" s="149"/>
      <c r="G116" s="151"/>
      <c r="H116" s="149"/>
      <c r="I116" s="151"/>
      <c r="J116" s="149"/>
      <c r="K116" s="151"/>
      <c r="L116" s="149"/>
      <c r="M116" s="151"/>
      <c r="N116" s="149"/>
      <c r="O116" s="151"/>
      <c r="P116" s="149"/>
      <c r="Q116" s="151"/>
      <c r="R116" s="149"/>
      <c r="S116" s="326"/>
      <c r="T116" s="149"/>
      <c r="U116" s="149"/>
      <c r="V116" s="149"/>
      <c r="W116" s="152"/>
      <c r="X116" s="149"/>
      <c r="Y116" s="326"/>
      <c r="Z116" s="149"/>
      <c r="AA116" s="149"/>
      <c r="AB116" s="149"/>
      <c r="AC116" s="152"/>
      <c r="AD116" s="149"/>
      <c r="AE116" s="326"/>
      <c r="AF116" s="149"/>
      <c r="AG116" s="149"/>
      <c r="AH116" s="149"/>
      <c r="AI116" s="152"/>
      <c r="AJ116" s="149"/>
      <c r="AK116" s="326"/>
      <c r="AL116" s="149"/>
      <c r="AM116" s="149"/>
      <c r="AN116" s="149"/>
      <c r="AO116" s="152"/>
      <c r="AP116" s="149"/>
      <c r="AQ116" s="326"/>
      <c r="AR116" s="149"/>
      <c r="AS116" s="149"/>
      <c r="AT116" s="149"/>
      <c r="AU116" s="152"/>
      <c r="AV116" s="149"/>
      <c r="AW116" s="326"/>
      <c r="AX116" s="149"/>
      <c r="AY116" s="149"/>
      <c r="AZ116" s="149"/>
      <c r="BA116" s="152"/>
      <c r="BB116" s="149"/>
      <c r="BC116" s="326"/>
      <c r="BD116" s="149"/>
      <c r="BE116" s="149"/>
      <c r="BF116" s="149"/>
      <c r="BG116" s="152"/>
      <c r="BH116" s="149"/>
      <c r="BI116" s="326"/>
      <c r="BJ116" s="149"/>
      <c r="BK116" s="149"/>
      <c r="BL116" s="149"/>
      <c r="BM116" s="152"/>
      <c r="BN116" s="149"/>
      <c r="BO116" s="326"/>
      <c r="BP116" s="149"/>
      <c r="BQ116" s="149"/>
      <c r="BR116" s="149"/>
      <c r="BS116" s="152"/>
      <c r="BT116" s="149"/>
      <c r="BU116" s="326"/>
      <c r="BV116" s="149"/>
      <c r="BW116" s="149"/>
      <c r="BX116" s="149"/>
      <c r="BY116" s="152"/>
      <c r="BZ116" s="149"/>
      <c r="CA116" s="326"/>
      <c r="CB116" s="149"/>
      <c r="CC116" s="149"/>
      <c r="CD116" s="149"/>
      <c r="CE116" s="152"/>
      <c r="CF116" s="149"/>
      <c r="CG116" s="326"/>
      <c r="CH116" s="149"/>
      <c r="CI116" s="149"/>
      <c r="CJ116" s="149"/>
      <c r="CK116" s="152"/>
      <c r="CL116" s="149"/>
      <c r="CM116" s="326"/>
      <c r="CN116" s="149"/>
      <c r="CO116" s="149"/>
      <c r="CP116" s="149"/>
      <c r="CQ116" s="152"/>
      <c r="CR116" s="149"/>
      <c r="CS116" s="326"/>
      <c r="CT116" s="149"/>
      <c r="CU116" s="149"/>
      <c r="CV116" s="149"/>
      <c r="CW116" s="152"/>
      <c r="CY116" s="326"/>
      <c r="CZ116" s="149"/>
      <c r="DA116" s="149"/>
      <c r="DB116" s="149"/>
      <c r="DC116" s="152"/>
      <c r="DE116" s="326"/>
      <c r="DF116" s="149"/>
      <c r="DG116" s="149"/>
      <c r="DH116" s="149"/>
      <c r="DI116" s="152"/>
    </row>
    <row r="117" spans="1:113" ht="11.25" hidden="1" customHeight="1" outlineLevel="1">
      <c r="A117" s="104" t="s">
        <v>141</v>
      </c>
      <c r="B117" s="105"/>
      <c r="C117" s="158"/>
      <c r="D117" s="156"/>
      <c r="E117" s="158">
        <f>C122</f>
        <v>0.24282699999999999</v>
      </c>
      <c r="F117" s="156"/>
      <c r="G117" s="158">
        <f>E122</f>
        <v>0.38600000000000001</v>
      </c>
      <c r="H117" s="156"/>
      <c r="I117" s="158">
        <f>G122</f>
        <v>2.335</v>
      </c>
      <c r="J117" s="156"/>
      <c r="K117" s="158">
        <f>I122</f>
        <v>1.595</v>
      </c>
      <c r="L117" s="156"/>
      <c r="M117" s="158">
        <f>K122</f>
        <v>0.25</v>
      </c>
      <c r="N117" s="156"/>
      <c r="O117" s="158">
        <f>M122</f>
        <v>1.9039999999999999</v>
      </c>
      <c r="P117" s="156"/>
      <c r="Q117" s="158">
        <f>O122</f>
        <v>1.431</v>
      </c>
      <c r="R117" s="156"/>
      <c r="S117" s="298">
        <f>Q122</f>
        <v>1.5329999999999999</v>
      </c>
      <c r="T117" s="156">
        <f>S122</f>
        <v>1.284</v>
      </c>
      <c r="U117" s="156">
        <f>T122</f>
        <v>1.92</v>
      </c>
      <c r="V117" s="156">
        <f>U122</f>
        <v>4.0940000000000003</v>
      </c>
      <c r="W117" s="158">
        <f>Q122</f>
        <v>1.5329999999999999</v>
      </c>
      <c r="X117" s="156"/>
      <c r="Y117" s="298">
        <f>W122</f>
        <v>5.5789999999999997</v>
      </c>
      <c r="Z117" s="156">
        <f>Y122</f>
        <v>5.1609999999999996</v>
      </c>
      <c r="AA117" s="156">
        <f>Z122</f>
        <v>4.7300000000000004</v>
      </c>
      <c r="AB117" s="156">
        <f>AA122</f>
        <v>4.4119999999999999</v>
      </c>
      <c r="AC117" s="158">
        <f>W122</f>
        <v>5.5789999999999997</v>
      </c>
      <c r="AD117" s="156"/>
      <c r="AE117" s="298">
        <f>AC122</f>
        <v>6.2</v>
      </c>
      <c r="AF117" s="156">
        <f>AE122</f>
        <v>6.5330000000000004</v>
      </c>
      <c r="AG117" s="156">
        <f>AF122</f>
        <v>6.2039999999999997</v>
      </c>
      <c r="AH117" s="156">
        <f>AG122</f>
        <v>6.0010000000000003</v>
      </c>
      <c r="AI117" s="158">
        <f>AC122</f>
        <v>6.2</v>
      </c>
      <c r="AJ117" s="156"/>
      <c r="AK117" s="298">
        <f>AI122</f>
        <v>6</v>
      </c>
      <c r="AL117" s="156">
        <f>AK122</f>
        <v>5.6</v>
      </c>
      <c r="AM117" s="156">
        <f>AL122</f>
        <v>5.0999999999999996</v>
      </c>
      <c r="AN117" s="156">
        <f>AM122</f>
        <v>5.3</v>
      </c>
      <c r="AO117" s="158">
        <f>AI122</f>
        <v>6</v>
      </c>
      <c r="AP117" s="156"/>
      <c r="AQ117" s="298">
        <f>AO122</f>
        <v>4.9000000000000004</v>
      </c>
      <c r="AR117" s="156">
        <f>AQ122</f>
        <v>4.4000000000000004</v>
      </c>
      <c r="AS117" s="156">
        <f>AR122</f>
        <v>12.9</v>
      </c>
      <c r="AT117" s="156">
        <f>AS122</f>
        <v>24.7</v>
      </c>
      <c r="AU117" s="158">
        <f>AO122</f>
        <v>4.9000000000000004</v>
      </c>
      <c r="AV117" s="156"/>
      <c r="AW117" s="298">
        <f>AU122</f>
        <v>136.1</v>
      </c>
      <c r="AX117" s="156">
        <f>AW122</f>
        <v>136.30000000000001</v>
      </c>
      <c r="AY117" s="156">
        <f>AX122</f>
        <v>137.6</v>
      </c>
      <c r="AZ117" s="156">
        <f>AY122</f>
        <v>133.1</v>
      </c>
      <c r="BA117" s="158">
        <f>AU122</f>
        <v>136.1</v>
      </c>
      <c r="BB117" s="156"/>
      <c r="BC117" s="298">
        <f>BA122</f>
        <v>136.4</v>
      </c>
      <c r="BD117" s="156">
        <f>BC122</f>
        <v>147.1</v>
      </c>
      <c r="BE117" s="156">
        <f>BD122</f>
        <v>138.5</v>
      </c>
      <c r="BF117" s="156">
        <f>BE122</f>
        <v>133.80000000000001</v>
      </c>
      <c r="BG117" s="158">
        <f>BA122</f>
        <v>136.4</v>
      </c>
      <c r="BH117" s="156"/>
      <c r="BI117" s="298">
        <f>BG122</f>
        <v>117</v>
      </c>
      <c r="BJ117" s="156">
        <f>BI122</f>
        <v>111.1</v>
      </c>
      <c r="BK117" s="156">
        <f>BJ122</f>
        <v>106.1</v>
      </c>
      <c r="BL117" s="156">
        <f>BK122</f>
        <v>108.4</v>
      </c>
      <c r="BM117" s="158">
        <f>BG122</f>
        <v>117</v>
      </c>
      <c r="BN117" s="156"/>
      <c r="BO117" s="298">
        <f>BM122</f>
        <v>105.59999999999998</v>
      </c>
      <c r="BP117" s="156">
        <f>BO122</f>
        <v>100.5</v>
      </c>
      <c r="BQ117" s="156">
        <f>BP122</f>
        <v>95.6</v>
      </c>
      <c r="BR117" s="156">
        <f>BQ122</f>
        <v>88.6</v>
      </c>
      <c r="BS117" s="158">
        <f>BM122</f>
        <v>105.59999999999998</v>
      </c>
      <c r="BT117" s="156"/>
      <c r="BU117" s="298">
        <f>BS122</f>
        <v>83.8</v>
      </c>
      <c r="BV117" s="156">
        <f>BU122</f>
        <v>78</v>
      </c>
      <c r="BW117" s="156">
        <f>BV122</f>
        <v>73.599999999999994</v>
      </c>
      <c r="BX117" s="156">
        <f>BW122</f>
        <v>66.2</v>
      </c>
      <c r="BY117" s="158">
        <f>BS122</f>
        <v>83.8</v>
      </c>
      <c r="BZ117" s="156"/>
      <c r="CA117" s="298">
        <f>BY122</f>
        <v>74.7</v>
      </c>
      <c r="CB117" s="156">
        <f>CA122</f>
        <v>70.3</v>
      </c>
      <c r="CC117" s="156">
        <f>CB122</f>
        <v>65.8</v>
      </c>
      <c r="CD117" s="156">
        <f>CC122</f>
        <v>60.7</v>
      </c>
      <c r="CE117" s="158">
        <f>BY122</f>
        <v>74.7</v>
      </c>
      <c r="CF117" s="156"/>
      <c r="CG117" s="298">
        <f>CE122</f>
        <v>69.7</v>
      </c>
      <c r="CH117" s="156">
        <f>CG122</f>
        <v>85.9</v>
      </c>
      <c r="CI117" s="156">
        <f>CH122</f>
        <v>92.2</v>
      </c>
      <c r="CJ117" s="156">
        <f>CI122</f>
        <v>89</v>
      </c>
      <c r="CK117" s="158">
        <f>CE122</f>
        <v>69.7</v>
      </c>
      <c r="CL117" s="156"/>
      <c r="CM117" s="298">
        <f>CK122</f>
        <v>82.4</v>
      </c>
      <c r="CN117" s="156">
        <f>CM122</f>
        <v>79.025000000000006</v>
      </c>
      <c r="CO117" s="156">
        <f>CN122</f>
        <v>75.650000000000006</v>
      </c>
      <c r="CP117" s="156">
        <f>CO122</f>
        <v>72.275000000000006</v>
      </c>
      <c r="CQ117" s="158">
        <f>CK122</f>
        <v>82.4</v>
      </c>
      <c r="CR117" s="156"/>
      <c r="CS117" s="298">
        <f>CQ122</f>
        <v>68.900000000000006</v>
      </c>
      <c r="CT117" s="156">
        <f>CS122</f>
        <v>65.525000000000006</v>
      </c>
      <c r="CU117" s="156">
        <f>CT122</f>
        <v>62.150000000000006</v>
      </c>
      <c r="CV117" s="156">
        <f>CU122</f>
        <v>58.775000000000006</v>
      </c>
      <c r="CW117" s="158">
        <f>CQ122</f>
        <v>68.900000000000006</v>
      </c>
      <c r="CY117" s="298">
        <f>CW122</f>
        <v>55.400000000000006</v>
      </c>
      <c r="CZ117" s="156">
        <f>CY122</f>
        <v>52.025000000000006</v>
      </c>
      <c r="DA117" s="156">
        <f>CZ122</f>
        <v>48.650000000000006</v>
      </c>
      <c r="DB117" s="156">
        <f>DA122</f>
        <v>45.275000000000006</v>
      </c>
      <c r="DC117" s="158">
        <f>CW122</f>
        <v>55.400000000000006</v>
      </c>
      <c r="DE117" s="298">
        <f>DC122</f>
        <v>41.900000000000006</v>
      </c>
      <c r="DF117" s="156">
        <f>DE122</f>
        <v>38.525000000000006</v>
      </c>
      <c r="DG117" s="156">
        <f>DF122</f>
        <v>35.150000000000006</v>
      </c>
      <c r="DH117" s="156">
        <f>DG122</f>
        <v>31.775000000000006</v>
      </c>
      <c r="DI117" s="158">
        <f>DC122</f>
        <v>41.900000000000006</v>
      </c>
    </row>
    <row r="118" spans="1:113" ht="11.25" hidden="1" customHeight="1" outlineLevel="1">
      <c r="A118" s="139" t="s">
        <v>131</v>
      </c>
      <c r="B118" s="105"/>
      <c r="C118" s="107"/>
      <c r="D118" s="105"/>
      <c r="E118" s="1189">
        <v>0</v>
      </c>
      <c r="F118" s="105"/>
      <c r="G118" s="1189">
        <v>0</v>
      </c>
      <c r="H118" s="105"/>
      <c r="I118" s="1189">
        <v>0</v>
      </c>
      <c r="J118" s="105"/>
      <c r="K118" s="1189">
        <v>0</v>
      </c>
      <c r="L118" s="105"/>
      <c r="M118" s="1189">
        <v>0</v>
      </c>
      <c r="N118" s="105"/>
      <c r="O118" s="1189">
        <v>0</v>
      </c>
      <c r="P118" s="105"/>
      <c r="Q118" s="141">
        <f>1.5+0.3+0.3+2.5</f>
        <v>4.5999999999999996</v>
      </c>
      <c r="R118" s="105"/>
      <c r="S118" s="1190">
        <v>0</v>
      </c>
      <c r="T118" s="1191">
        <v>0</v>
      </c>
      <c r="U118" s="1191">
        <v>0</v>
      </c>
      <c r="V118" s="1191">
        <v>0</v>
      </c>
      <c r="W118" s="107">
        <f>SUM(S118:V118)</f>
        <v>0</v>
      </c>
      <c r="X118" s="105"/>
      <c r="Y118" s="1190">
        <v>0</v>
      </c>
      <c r="Z118" s="1191">
        <v>0</v>
      </c>
      <c r="AA118" s="1191">
        <v>0</v>
      </c>
      <c r="AB118" s="1191">
        <v>0</v>
      </c>
      <c r="AC118" s="107">
        <f>SUM(Y118:AB118)</f>
        <v>0</v>
      </c>
      <c r="AD118" s="105"/>
      <c r="AE118" s="1190">
        <v>0</v>
      </c>
      <c r="AF118" s="1191">
        <v>0</v>
      </c>
      <c r="AG118" s="1191">
        <v>0</v>
      </c>
      <c r="AH118" s="1191">
        <v>0</v>
      </c>
      <c r="AI118" s="107">
        <f>SUM(AE118:AH118)</f>
        <v>0</v>
      </c>
      <c r="AJ118" s="105"/>
      <c r="AK118" s="1190">
        <v>0</v>
      </c>
      <c r="AL118" s="1191">
        <v>0</v>
      </c>
      <c r="AM118" s="1191">
        <v>0</v>
      </c>
      <c r="AN118" s="1191">
        <v>0</v>
      </c>
      <c r="AO118" s="107">
        <f>SUM(AK118:AN118)</f>
        <v>0</v>
      </c>
      <c r="AP118" s="105"/>
      <c r="AQ118" s="1190">
        <v>0</v>
      </c>
      <c r="AR118" s="140">
        <f>7.1+15.8</f>
        <v>22.9</v>
      </c>
      <c r="AS118" s="1191">
        <v>0</v>
      </c>
      <c r="AT118" s="140">
        <f>87.7+1.5+21.3</f>
        <v>110.5</v>
      </c>
      <c r="AU118" s="107">
        <f>SUM(AQ118:AT118)</f>
        <v>133.4</v>
      </c>
      <c r="AV118" s="105"/>
      <c r="AW118" s="1190">
        <v>0</v>
      </c>
      <c r="AX118" s="140">
        <f>1.3+1.5+0.1</f>
        <v>2.9</v>
      </c>
      <c r="AY118" s="1191">
        <v>0</v>
      </c>
      <c r="AZ118" s="140">
        <f>12+0.6+0.1</f>
        <v>12.7</v>
      </c>
      <c r="BA118" s="107">
        <f>SUM(AW118:AZ118)</f>
        <v>15.6</v>
      </c>
      <c r="BB118" s="105"/>
      <c r="BC118" s="310">
        <f>7.2+6.4</f>
        <v>13.600000000000001</v>
      </c>
      <c r="BD118" s="1191">
        <v>0</v>
      </c>
      <c r="BE118" s="1191">
        <v>0</v>
      </c>
      <c r="BF118" s="1191">
        <v>0</v>
      </c>
      <c r="BG118" s="107">
        <f>SUM(BC118:BF118)</f>
        <v>13.600000000000001</v>
      </c>
      <c r="BH118" s="105"/>
      <c r="BI118" s="310">
        <f>7.2+6.4</f>
        <v>13.600000000000001</v>
      </c>
      <c r="BJ118" s="1178">
        <v>0</v>
      </c>
      <c r="BK118" s="1178">
        <v>0</v>
      </c>
      <c r="BL118" s="140">
        <v>0</v>
      </c>
      <c r="BM118" s="107">
        <f>SUM(BI118:BL118)</f>
        <v>13.600000000000001</v>
      </c>
      <c r="BN118" s="105"/>
      <c r="BO118" s="310">
        <v>0</v>
      </c>
      <c r="BP118" s="1178">
        <v>0</v>
      </c>
      <c r="BQ118" s="1178">
        <v>0</v>
      </c>
      <c r="BR118" s="140">
        <v>0</v>
      </c>
      <c r="BS118" s="107">
        <f>SUM(BO118:BR118)</f>
        <v>0</v>
      </c>
      <c r="BT118" s="105"/>
      <c r="BU118" s="310">
        <v>0</v>
      </c>
      <c r="BV118" s="1178">
        <v>0</v>
      </c>
      <c r="BW118" s="1178">
        <v>0</v>
      </c>
      <c r="BX118" s="140">
        <v>0</v>
      </c>
      <c r="BY118" s="107">
        <f>SUM(BU118:BX118)</f>
        <v>0</v>
      </c>
      <c r="BZ118" s="105"/>
      <c r="CA118" s="310">
        <v>0</v>
      </c>
      <c r="CB118" s="1178">
        <v>0</v>
      </c>
      <c r="CC118" s="1178">
        <v>0</v>
      </c>
      <c r="CD118" s="140">
        <v>0</v>
      </c>
      <c r="CE118" s="107">
        <f>SUM(CA118:CD118)</f>
        <v>0</v>
      </c>
      <c r="CF118" s="105"/>
      <c r="CG118" s="310">
        <v>0</v>
      </c>
      <c r="CH118" s="1178">
        <v>0</v>
      </c>
      <c r="CI118" s="1178">
        <v>0</v>
      </c>
      <c r="CJ118" s="140">
        <v>0</v>
      </c>
      <c r="CK118" s="107">
        <f>SUM(CG118:CJ118)</f>
        <v>0</v>
      </c>
      <c r="CL118" s="105"/>
      <c r="CM118" s="284">
        <f>-CM132*CF!CM29</f>
        <v>0</v>
      </c>
      <c r="CN118" s="105">
        <f>-CN132*CF!CN29</f>
        <v>0</v>
      </c>
      <c r="CO118" s="105">
        <f>-CO132*CF!CO29</f>
        <v>0</v>
      </c>
      <c r="CP118" s="105">
        <f>-CP132*CF!CP29</f>
        <v>0</v>
      </c>
      <c r="CQ118" s="107">
        <f>SUM(CM118:CP118)</f>
        <v>0</v>
      </c>
      <c r="CR118" s="105"/>
      <c r="CS118" s="284">
        <f>-CS132*CF!CS29</f>
        <v>0</v>
      </c>
      <c r="CT118" s="105">
        <f>-CT132*CF!CT29</f>
        <v>0</v>
      </c>
      <c r="CU118" s="105">
        <f>-CU132*CF!CU29</f>
        <v>0</v>
      </c>
      <c r="CV118" s="105">
        <f>-CV132*CF!CV29</f>
        <v>0</v>
      </c>
      <c r="CW118" s="107">
        <f>SUM(CS118:CV118)</f>
        <v>0</v>
      </c>
      <c r="CY118" s="284">
        <f>-CY132*CF!CY29</f>
        <v>0</v>
      </c>
      <c r="CZ118" s="105">
        <f>-CZ132*CF!CZ29</f>
        <v>0</v>
      </c>
      <c r="DA118" s="105">
        <f>-DA132*CF!DA29</f>
        <v>0</v>
      </c>
      <c r="DB118" s="105">
        <f>-DB132*CF!DB29</f>
        <v>0</v>
      </c>
      <c r="DC118" s="107">
        <f>SUM(CY118:DB118)</f>
        <v>0</v>
      </c>
      <c r="DE118" s="284">
        <f>-DE132*CF!DE29</f>
        <v>0</v>
      </c>
      <c r="DF118" s="105">
        <f>-DF132*CF!DF29</f>
        <v>0</v>
      </c>
      <c r="DG118" s="105">
        <f>-DG132*CF!DG29</f>
        <v>0</v>
      </c>
      <c r="DH118" s="105">
        <f>-DH132*CF!DH29</f>
        <v>0</v>
      </c>
      <c r="DI118" s="107">
        <f>SUM(DE118:DH118)</f>
        <v>0</v>
      </c>
    </row>
    <row r="119" spans="1:113" ht="11.25" hidden="1" customHeight="1" outlineLevel="1">
      <c r="A119" s="139" t="s">
        <v>11</v>
      </c>
      <c r="B119" s="105"/>
      <c r="C119" s="107"/>
      <c r="D119" s="105"/>
      <c r="E119" s="1171">
        <f>-CF!E14</f>
        <v>-0.16999999999999993</v>
      </c>
      <c r="F119" s="1172"/>
      <c r="G119" s="1171">
        <f>-CF!G14</f>
        <v>-0.9449999999999994</v>
      </c>
      <c r="H119" s="1172"/>
      <c r="I119" s="1171">
        <f>-CF!I14</f>
        <v>-1.8</v>
      </c>
      <c r="J119" s="1172"/>
      <c r="K119" s="1171">
        <f>-CF!K14</f>
        <v>0</v>
      </c>
      <c r="L119" s="105"/>
      <c r="M119" s="1171">
        <f>-CF!M14</f>
        <v>-0.2</v>
      </c>
      <c r="N119" s="1172"/>
      <c r="O119" s="1171">
        <f>-CF!O14</f>
        <v>-0.5</v>
      </c>
      <c r="P119" s="1172"/>
      <c r="Q119" s="1171">
        <f>-CF!Q14</f>
        <v>-0.5</v>
      </c>
      <c r="R119" s="1172"/>
      <c r="S119" s="1173">
        <f>-CF!S14</f>
        <v>-0.1</v>
      </c>
      <c r="T119" s="1172">
        <f>-CF!T14</f>
        <v>-0.1</v>
      </c>
      <c r="U119" s="1172">
        <f>-CF!U14</f>
        <v>-0.3</v>
      </c>
      <c r="V119" s="1172">
        <f>-CF!V14</f>
        <v>-0.7</v>
      </c>
      <c r="W119" s="107">
        <f>SUM(S119:V119)</f>
        <v>-1.2</v>
      </c>
      <c r="X119" s="105"/>
      <c r="Y119" s="1173">
        <f>-CF!Y14</f>
        <v>-0.7</v>
      </c>
      <c r="Z119" s="1172">
        <f>-CF!Z14</f>
        <v>-0.7</v>
      </c>
      <c r="AA119" s="1172">
        <f>-CF!AA14</f>
        <v>-0.4</v>
      </c>
      <c r="AB119" s="1172">
        <f>-CF!AB14</f>
        <v>-0.20000000000000007</v>
      </c>
      <c r="AC119" s="107">
        <f>SUM(Y119:AB119)</f>
        <v>-2</v>
      </c>
      <c r="AD119" s="105"/>
      <c r="AE119" s="1173">
        <f>-CF!AE14</f>
        <v>-0.4</v>
      </c>
      <c r="AF119" s="1172">
        <f>-CF!AF14</f>
        <v>-0.3</v>
      </c>
      <c r="AG119" s="1172">
        <f>-CF!AG14</f>
        <v>-0.4</v>
      </c>
      <c r="AH119" s="1172">
        <f>-CF!AH14</f>
        <v>-0.7</v>
      </c>
      <c r="AI119" s="107">
        <f>SUM(AE119:AH119)</f>
        <v>-1.8</v>
      </c>
      <c r="AJ119" s="105"/>
      <c r="AK119" s="1173">
        <f>-CF!AK14</f>
        <v>-0.4</v>
      </c>
      <c r="AL119" s="1172">
        <f>-CF!AL14</f>
        <v>-0.5</v>
      </c>
      <c r="AM119" s="1172">
        <f>-CF!AM14</f>
        <v>-0.4</v>
      </c>
      <c r="AN119" s="1172">
        <f>-CF!AN14</f>
        <v>-0.49999999999999989</v>
      </c>
      <c r="AO119" s="107">
        <f>SUM(AK119:AN119)</f>
        <v>-1.7999999999999998</v>
      </c>
      <c r="AP119" s="105"/>
      <c r="AQ119" s="1173">
        <f>-CF!AQ14</f>
        <v>-0.5</v>
      </c>
      <c r="AR119" s="1172">
        <f>-CF!AR14</f>
        <v>-0.60000000000000009</v>
      </c>
      <c r="AS119" s="1172">
        <f>-CF!AS14</f>
        <v>-1</v>
      </c>
      <c r="AT119" s="1172">
        <f>-CF!AT14</f>
        <v>-3.6999999999999993</v>
      </c>
      <c r="AU119" s="107">
        <f>SUM(AQ119:AT119)</f>
        <v>-5.7999999999999989</v>
      </c>
      <c r="AV119" s="105"/>
      <c r="AW119" s="1173">
        <f>-CF!AW14</f>
        <v>-3.9</v>
      </c>
      <c r="AX119" s="1172">
        <f>-CF!AX14</f>
        <v>-4.1999999999999993</v>
      </c>
      <c r="AY119" s="1172">
        <f>-CF!AY14</f>
        <v>-5</v>
      </c>
      <c r="AZ119" s="1172">
        <f>-CF!AZ14</f>
        <v>-5.0000000000000018</v>
      </c>
      <c r="BA119" s="107">
        <f>SUM(AW119:AZ119)</f>
        <v>-18.100000000000001</v>
      </c>
      <c r="BB119" s="105"/>
      <c r="BC119" s="1173">
        <f>-CF!BC14</f>
        <v>-5.0999999999999996</v>
      </c>
      <c r="BD119" s="1172">
        <f>-CF!BD14</f>
        <v>-5.6</v>
      </c>
      <c r="BE119" s="1172">
        <f>-CF!BE14</f>
        <v>-5.5</v>
      </c>
      <c r="BF119" s="1172">
        <f>-CF!BF14</f>
        <v>-5.8000000000000007</v>
      </c>
      <c r="BG119" s="107">
        <f>SUM(BC119:BF119)</f>
        <v>-22</v>
      </c>
      <c r="BH119" s="105"/>
      <c r="BI119" s="1173">
        <f>-CF!BI14</f>
        <v>-5.0999999999999996</v>
      </c>
      <c r="BJ119" s="1172">
        <f>-CF!BJ14</f>
        <v>-5.0999999999999996</v>
      </c>
      <c r="BK119" s="1172">
        <f>-CF!BK14</f>
        <v>-5.0999999999999996</v>
      </c>
      <c r="BL119" s="1172">
        <f>-CF!BL14</f>
        <v>-5.4</v>
      </c>
      <c r="BM119" s="107">
        <f>SUM(BI119:BL119)</f>
        <v>-20.7</v>
      </c>
      <c r="BN119" s="332"/>
      <c r="BO119" s="1173">
        <f>-CF!BO14</f>
        <v>-5.2</v>
      </c>
      <c r="BP119" s="1172">
        <f>-CF!BP14</f>
        <v>-4.8</v>
      </c>
      <c r="BQ119" s="1172">
        <f>-CF!BQ14</f>
        <v>-5.0999999999999996</v>
      </c>
      <c r="BR119" s="1172">
        <f>-CF!BR14</f>
        <v>-5.0999999999999996</v>
      </c>
      <c r="BS119" s="107">
        <f>SUM(BO119:BR119)</f>
        <v>-20.2</v>
      </c>
      <c r="BT119" s="105"/>
      <c r="BU119" s="1173">
        <f>-CF!BU14</f>
        <v>-5.2</v>
      </c>
      <c r="BV119" s="1172">
        <f>-CF!BV14</f>
        <v>-5.2</v>
      </c>
      <c r="BW119" s="1172">
        <f>-CF!BW14</f>
        <v>-5.0999999999999996</v>
      </c>
      <c r="BX119" s="1172">
        <f>-CF!BX14</f>
        <v>-5.1999999999999993</v>
      </c>
      <c r="BY119" s="107">
        <f>SUM(BU119:BX119)</f>
        <v>-20.7</v>
      </c>
      <c r="BZ119" s="105"/>
      <c r="CA119" s="1173">
        <f>-CF!CA14</f>
        <v>-5.4</v>
      </c>
      <c r="CB119" s="1172">
        <f>-CF!CB14</f>
        <v>-5.4</v>
      </c>
      <c r="CC119" s="1172">
        <f>-CF!CC14</f>
        <v>-5.3999999999999986</v>
      </c>
      <c r="CD119" s="1172">
        <f>-CF!CD14</f>
        <v>-5.5</v>
      </c>
      <c r="CE119" s="107">
        <f>SUM(CA119:CD119)</f>
        <v>-21.7</v>
      </c>
      <c r="CF119" s="105"/>
      <c r="CG119" s="1173">
        <f>-CF!CG14</f>
        <v>-6.9</v>
      </c>
      <c r="CH119" s="1172">
        <f>-CF!CH14</f>
        <v>-7.5</v>
      </c>
      <c r="CI119" s="1172">
        <f>-CF!CI14</f>
        <v>-8.2000000000000011</v>
      </c>
      <c r="CJ119" s="1172">
        <f>-CF!CJ14</f>
        <v>-7</v>
      </c>
      <c r="CK119" s="107">
        <f>SUM(CG119:CJ119)</f>
        <v>-29.6</v>
      </c>
      <c r="CL119" s="105"/>
      <c r="CM119" s="284">
        <f>CQ119/4</f>
        <v>-3.375</v>
      </c>
      <c r="CN119" s="105">
        <f>(CQ119-CM119)/3</f>
        <v>-3.375</v>
      </c>
      <c r="CO119" s="105">
        <f>(CQ119-CM119-CN119)/2</f>
        <v>-3.375</v>
      </c>
      <c r="CP119" s="105">
        <f>CQ119-SUM(CM119:CO119)</f>
        <v>-3.375</v>
      </c>
      <c r="CQ119" s="1189">
        <v>-13.5</v>
      </c>
      <c r="CR119" s="105"/>
      <c r="CS119" s="284">
        <f>CW119/4</f>
        <v>-3.375</v>
      </c>
      <c r="CT119" s="105">
        <f>(CW119-CS119)/3</f>
        <v>-3.375</v>
      </c>
      <c r="CU119" s="105">
        <f>(CW119-CS119-CT119)/2</f>
        <v>-3.375</v>
      </c>
      <c r="CV119" s="105">
        <f>CW119-SUM(CS119:CU119)</f>
        <v>-3.375</v>
      </c>
      <c r="CW119" s="1189">
        <v>-13.5</v>
      </c>
      <c r="CY119" s="284">
        <f>DC119/4</f>
        <v>-3.375</v>
      </c>
      <c r="CZ119" s="105">
        <f>(DC119-CY119)/3</f>
        <v>-3.375</v>
      </c>
      <c r="DA119" s="105">
        <f>(DC119-CY119-CZ119)/2</f>
        <v>-3.375</v>
      </c>
      <c r="DB119" s="105">
        <f>DC119-SUM(CY119:DA119)</f>
        <v>-3.375</v>
      </c>
      <c r="DC119" s="1189">
        <v>-13.5</v>
      </c>
      <c r="DE119" s="284">
        <f>DI119/4</f>
        <v>-3.375</v>
      </c>
      <c r="DF119" s="105">
        <f>(DI119-DE119)/3</f>
        <v>-3.375</v>
      </c>
      <c r="DG119" s="105">
        <f>(DI119-DE119-DF119)/2</f>
        <v>-3.375</v>
      </c>
      <c r="DH119" s="105">
        <f>DI119-SUM(DE119:DG119)</f>
        <v>-3.375</v>
      </c>
      <c r="DI119" s="1189">
        <v>-13.5</v>
      </c>
    </row>
    <row r="120" spans="1:113" ht="11.25" hidden="1" customHeight="1" outlineLevel="1">
      <c r="A120" s="153" t="s">
        <v>142</v>
      </c>
      <c r="B120" s="95"/>
      <c r="C120" s="99"/>
      <c r="D120" s="95"/>
      <c r="E120" s="99">
        <f>-E119/E117</f>
        <v>0.70008689313791272</v>
      </c>
      <c r="F120" s="95"/>
      <c r="G120" s="99">
        <f>-G119/G117</f>
        <v>2.4481865284974078</v>
      </c>
      <c r="H120" s="95"/>
      <c r="I120" s="99">
        <f>-I119/I117</f>
        <v>0.77087794432548185</v>
      </c>
      <c r="J120" s="95"/>
      <c r="K120" s="99">
        <f>-K119/K117</f>
        <v>0</v>
      </c>
      <c r="L120" s="95"/>
      <c r="M120" s="99">
        <f>-M119/M117</f>
        <v>0.8</v>
      </c>
      <c r="N120" s="95"/>
      <c r="O120" s="99">
        <f>-O119/O117</f>
        <v>0.26260504201680673</v>
      </c>
      <c r="P120" s="95"/>
      <c r="Q120" s="99">
        <f>-Q119/Q117</f>
        <v>0.34940600978336828</v>
      </c>
      <c r="R120" s="95"/>
      <c r="S120" s="328">
        <f>-(S119*4)/S117</f>
        <v>0.26092628832354864</v>
      </c>
      <c r="T120" s="162">
        <f>-(T119*4)/T117</f>
        <v>0.31152647975077885</v>
      </c>
      <c r="U120" s="162">
        <f>-(U119*4)/U117</f>
        <v>0.625</v>
      </c>
      <c r="V120" s="162">
        <f>-(V119*4)/V117</f>
        <v>0.68392769907181228</v>
      </c>
      <c r="W120" s="99">
        <f>-W119/W117</f>
        <v>0.78277886497064586</v>
      </c>
      <c r="X120" s="95"/>
      <c r="Y120" s="328">
        <f>-(Y119*4)/Y117</f>
        <v>0.50188205771643668</v>
      </c>
      <c r="Z120" s="162">
        <f>-(Z119*4)/Z117</f>
        <v>0.54253051734160052</v>
      </c>
      <c r="AA120" s="162">
        <f>-(AA119*4)/AA117</f>
        <v>0.33826638477801269</v>
      </c>
      <c r="AB120" s="162">
        <f>-(AB119*4)/AB117</f>
        <v>0.18132366273798736</v>
      </c>
      <c r="AC120" s="99">
        <f>-AC119/AC117</f>
        <v>0.35848718408316904</v>
      </c>
      <c r="AD120" s="95"/>
      <c r="AE120" s="328">
        <f>-(AE119*4)/AE117</f>
        <v>0.25806451612903225</v>
      </c>
      <c r="AF120" s="162">
        <f>-(AF119*4)/AF117</f>
        <v>0.18368284096127352</v>
      </c>
      <c r="AG120" s="162">
        <f>-(AG119*4)/AG117</f>
        <v>0.25789813023855579</v>
      </c>
      <c r="AH120" s="162">
        <f>-(AH119*4)/AH117</f>
        <v>0.46658890184969165</v>
      </c>
      <c r="AI120" s="99">
        <f>-AI119/AI117</f>
        <v>0.29032258064516131</v>
      </c>
      <c r="AJ120" s="95"/>
      <c r="AK120" s="328">
        <f>-(AK119*4)/AK117</f>
        <v>0.26666666666666666</v>
      </c>
      <c r="AL120" s="162">
        <f>-(AL119*4)/AL117</f>
        <v>0.35714285714285715</v>
      </c>
      <c r="AM120" s="162">
        <f>-(AM119*4)/AM117</f>
        <v>0.31372549019607848</v>
      </c>
      <c r="AN120" s="162">
        <f>-(AN119*4)/AN117</f>
        <v>0.37735849056603765</v>
      </c>
      <c r="AO120" s="99">
        <f>-AO119/AO117</f>
        <v>0.3</v>
      </c>
      <c r="AP120" s="95"/>
      <c r="AQ120" s="328">
        <f>-(AQ119*4)/AQ117</f>
        <v>0.4081632653061224</v>
      </c>
      <c r="AR120" s="162">
        <f>-(AR119*4)/AR117</f>
        <v>0.54545454545454553</v>
      </c>
      <c r="AS120" s="162">
        <f>-(AS119*4)/AS117</f>
        <v>0.31007751937984496</v>
      </c>
      <c r="AT120" s="162">
        <f>-(AT119*4)/AT117</f>
        <v>0.5991902834008096</v>
      </c>
      <c r="AU120" s="99">
        <f>-AU119/AU117</f>
        <v>1.1836734693877549</v>
      </c>
      <c r="AV120" s="95"/>
      <c r="AW120" s="328">
        <f>-(AW119*4)/AW117</f>
        <v>0.11462160176340926</v>
      </c>
      <c r="AX120" s="162">
        <f>-(AX119*4)/AX117</f>
        <v>0.12325752017608214</v>
      </c>
      <c r="AY120" s="162">
        <f>-(AY119*4)/AY117</f>
        <v>0.14534883720930233</v>
      </c>
      <c r="AZ120" s="162">
        <f>-(AZ119*4)/AZ117</f>
        <v>0.15026296018031562</v>
      </c>
      <c r="BA120" s="99">
        <f>-BA119/BA117</f>
        <v>0.13299044819985306</v>
      </c>
      <c r="BB120" s="95"/>
      <c r="BC120" s="328">
        <f>-(BC119*4)/BC117</f>
        <v>0.14956011730205276</v>
      </c>
      <c r="BD120" s="162">
        <f>-(BD119*4)/BD117</f>
        <v>0.15227736233854519</v>
      </c>
      <c r="BE120" s="162">
        <f>-(BE119*4)/BE117</f>
        <v>0.1588447653429603</v>
      </c>
      <c r="BF120" s="162">
        <f>-(BF119*4)/BF117</f>
        <v>0.17339312406576982</v>
      </c>
      <c r="BG120" s="99">
        <f>-BG119/BG117</f>
        <v>0.16129032258064516</v>
      </c>
      <c r="BH120" s="95"/>
      <c r="BI120" s="328">
        <f>-(BI119*4)/BI117</f>
        <v>0.17435897435897435</v>
      </c>
      <c r="BJ120" s="162">
        <f>-(BJ119*4)/BJ117</f>
        <v>0.1836183618361836</v>
      </c>
      <c r="BK120" s="162">
        <f>-(BK119*4)/BK117</f>
        <v>0.19227144203581525</v>
      </c>
      <c r="BL120" s="162">
        <f>-(BL119*4)/BL117</f>
        <v>0.19926199261992619</v>
      </c>
      <c r="BM120" s="99">
        <f>-BM119/BM117</f>
        <v>0.17692307692307691</v>
      </c>
      <c r="BN120" s="95"/>
      <c r="BO120" s="328">
        <f>-(BO119*4)/BO117</f>
        <v>0.19696969696969702</v>
      </c>
      <c r="BP120" s="162">
        <f>-(BP119*4)/BP117</f>
        <v>0.19104477611940299</v>
      </c>
      <c r="BQ120" s="162">
        <f>-(BQ119*4)/BQ117</f>
        <v>0.21338912133891214</v>
      </c>
      <c r="BR120" s="162">
        <f>-(BR119*4)/BR117</f>
        <v>0.23024830699774265</v>
      </c>
      <c r="BS120" s="99">
        <f>-BS119/BS117</f>
        <v>0.19128787878787881</v>
      </c>
      <c r="BT120" s="95"/>
      <c r="BU120" s="328">
        <f>-(BU119*4)/BU117</f>
        <v>0.24821002386634847</v>
      </c>
      <c r="BV120" s="162">
        <f>-(BV119*4)/BV117</f>
        <v>0.26666666666666666</v>
      </c>
      <c r="BW120" s="162">
        <f>-(BW119*4)/BW117</f>
        <v>0.27717391304347827</v>
      </c>
      <c r="BX120" s="162">
        <f>-(BX119*4)/BX117</f>
        <v>0.31419939577039269</v>
      </c>
      <c r="BY120" s="99">
        <f>-BY119/BY117</f>
        <v>0.24701670644391407</v>
      </c>
      <c r="BZ120" s="95"/>
      <c r="CA120" s="328">
        <f>-(CA119*4)/CA117</f>
        <v>0.28915662650602408</v>
      </c>
      <c r="CB120" s="162">
        <f>-(CB119*4)/CB117</f>
        <v>0.30725462304409679</v>
      </c>
      <c r="CC120" s="162">
        <f>-(CC119*4)/CC117</f>
        <v>0.32826747720364735</v>
      </c>
      <c r="CD120" s="162">
        <f>-(CD119*4)/CD117</f>
        <v>0.36243822075782534</v>
      </c>
      <c r="CE120" s="99">
        <f>-CE119/CE117</f>
        <v>0.29049531459170014</v>
      </c>
      <c r="CF120" s="95"/>
      <c r="CG120" s="328">
        <f>-(CG119*4)/CG117</f>
        <v>0.39598278335724535</v>
      </c>
      <c r="CH120" s="162">
        <f>-(CH119*4)/CH117</f>
        <v>0.34924330616996507</v>
      </c>
      <c r="CI120" s="162">
        <f>-(CI119*4)/CI117</f>
        <v>0.35574837310195229</v>
      </c>
      <c r="CJ120" s="162">
        <f>-(CJ119*4)/CJ117</f>
        <v>0.3146067415730337</v>
      </c>
      <c r="CK120" s="99">
        <f>-CK119/CK117</f>
        <v>0.42467718794835008</v>
      </c>
      <c r="CL120" s="95"/>
      <c r="CM120" s="328">
        <f>-(CM119*4)/CM117</f>
        <v>0.16383495145631066</v>
      </c>
      <c r="CN120" s="162">
        <f>-(CN119*4)/CN117</f>
        <v>0.17083201518506799</v>
      </c>
      <c r="CO120" s="162">
        <f>-(CO119*4)/CO117</f>
        <v>0.17845340383344346</v>
      </c>
      <c r="CP120" s="162">
        <f>-(CP119*4)/CP117</f>
        <v>0.18678657903839502</v>
      </c>
      <c r="CQ120" s="99">
        <f>-CQ119/CQ117</f>
        <v>0.16383495145631066</v>
      </c>
      <c r="CR120" s="95"/>
      <c r="CS120" s="328">
        <f>-(CS119*4)/CS117</f>
        <v>0.19593613933236573</v>
      </c>
      <c r="CT120" s="162">
        <f>-(CT119*4)/CT117</f>
        <v>0.20602823349866461</v>
      </c>
      <c r="CU120" s="162">
        <f>-(CU119*4)/CU117</f>
        <v>0.21721641190667737</v>
      </c>
      <c r="CV120" s="162">
        <f>-(CV119*4)/CV117</f>
        <v>0.22968949383241172</v>
      </c>
      <c r="CW120" s="99">
        <f>-CW119/CW117</f>
        <v>0.19593613933236573</v>
      </c>
      <c r="CY120" s="328">
        <f>-(CY119*4)/CY117</f>
        <v>0.24368231046931405</v>
      </c>
      <c r="CZ120" s="162">
        <f>-(CZ119*4)/CZ117</f>
        <v>0.25949062950504564</v>
      </c>
      <c r="DA120" s="162">
        <f>-(DA119*4)/DA117</f>
        <v>0.27749229188078106</v>
      </c>
      <c r="DB120" s="162">
        <f>-(DB119*4)/DB117</f>
        <v>0.29817780231916063</v>
      </c>
      <c r="DC120" s="99">
        <f>-DC119/DC117</f>
        <v>0.24368231046931405</v>
      </c>
      <c r="DE120" s="328">
        <f>-(DE119*4)/DE117</f>
        <v>0.32219570405727921</v>
      </c>
      <c r="DF120" s="162">
        <f>-(DF119*4)/DF117</f>
        <v>0.35042180402336143</v>
      </c>
      <c r="DG120" s="162">
        <f>-(DG119*4)/DG117</f>
        <v>0.38406827880512084</v>
      </c>
      <c r="DH120" s="162">
        <f>-(DH119*4)/DH117</f>
        <v>0.42486231313926037</v>
      </c>
      <c r="DI120" s="99">
        <f>-DI119/DI117</f>
        <v>0.32219570405727921</v>
      </c>
    </row>
    <row r="121" spans="1:113" ht="11.25" hidden="1" customHeight="1" outlineLevel="1">
      <c r="A121" s="139" t="s">
        <v>132</v>
      </c>
      <c r="B121" s="105"/>
      <c r="C121" s="107"/>
      <c r="D121" s="105"/>
      <c r="E121" s="107">
        <f>E122-E117-E118-E119</f>
        <v>0.31317299999999992</v>
      </c>
      <c r="F121" s="105"/>
      <c r="G121" s="107">
        <f>G122-G117-G118-G119</f>
        <v>2.8939999999999992</v>
      </c>
      <c r="H121" s="105"/>
      <c r="I121" s="107">
        <f>I122-I117-I118-I119</f>
        <v>1.06</v>
      </c>
      <c r="J121" s="105"/>
      <c r="K121" s="107">
        <f>K122-K117-K118-K119</f>
        <v>-1.345</v>
      </c>
      <c r="L121" s="105"/>
      <c r="M121" s="107">
        <f>M122-M117-M118-M119</f>
        <v>1.8539999999999999</v>
      </c>
      <c r="N121" s="105"/>
      <c r="O121" s="107">
        <f>O122-O117-O118-O119</f>
        <v>2.7000000000000135E-2</v>
      </c>
      <c r="P121" s="105"/>
      <c r="Q121" s="107">
        <f>Q122-Q117-Q118-Q119</f>
        <v>-3.9979999999999993</v>
      </c>
      <c r="R121" s="105"/>
      <c r="S121" s="284">
        <f>S122-S117-S118-S119</f>
        <v>-0.14899999999999988</v>
      </c>
      <c r="T121" s="105">
        <f>T122-T117-T118-T119</f>
        <v>0.73599999999999988</v>
      </c>
      <c r="U121" s="105">
        <f>U122-U117-U118-U119</f>
        <v>2.4740000000000002</v>
      </c>
      <c r="V121" s="105">
        <f>V122-V117-V118-V119</f>
        <v>2.1849999999999996</v>
      </c>
      <c r="W121" s="107">
        <f>SUM(S121:V121)</f>
        <v>5.2459999999999996</v>
      </c>
      <c r="X121" s="105"/>
      <c r="Y121" s="284">
        <f>Y122-Y117-Y118-Y119</f>
        <v>0.28199999999999981</v>
      </c>
      <c r="Z121" s="105">
        <f>Z122-Z117-Z118-Z119</f>
        <v>0.26900000000000079</v>
      </c>
      <c r="AA121" s="105">
        <f>AA122-AA117-AA118-AA119</f>
        <v>8.1999999999999518E-2</v>
      </c>
      <c r="AB121" s="105">
        <f>AB122-AB117-AB118-AB119</f>
        <v>1.9880000000000004</v>
      </c>
      <c r="AC121" s="107">
        <f>SUM(Y121:AB121)</f>
        <v>2.6210000000000004</v>
      </c>
      <c r="AD121" s="105"/>
      <c r="AE121" s="284">
        <f>AE122-AE117-AE118-AE119</f>
        <v>0.73300000000000021</v>
      </c>
      <c r="AF121" s="105">
        <f>AF122-AF117-AF118-AF119</f>
        <v>-2.9000000000000636E-2</v>
      </c>
      <c r="AG121" s="105">
        <f>AG122-AG117-AG118-AG119</f>
        <v>0.19700000000000062</v>
      </c>
      <c r="AH121" s="105">
        <f>AH122-AH117-AH118-AH119</f>
        <v>0.69899999999999962</v>
      </c>
      <c r="AI121" s="107">
        <f>SUM(AE121:AH121)</f>
        <v>1.5999999999999996</v>
      </c>
      <c r="AJ121" s="105"/>
      <c r="AK121" s="284">
        <f>AK122-AK117-AK118-AK119</f>
        <v>0</v>
      </c>
      <c r="AL121" s="105">
        <f>AL122-AL117-AL118-AL119</f>
        <v>0</v>
      </c>
      <c r="AM121" s="105">
        <f>AM122-AM117-AM118-AM119</f>
        <v>0.6000000000000002</v>
      </c>
      <c r="AN121" s="105">
        <f>AN122-AN117-AN118-AN119</f>
        <v>0.10000000000000042</v>
      </c>
      <c r="AO121" s="107">
        <f>SUM(AK121:AN121)</f>
        <v>0.70000000000000062</v>
      </c>
      <c r="AP121" s="105"/>
      <c r="AQ121" s="284">
        <f>AQ122-AQ117-AQ118-AQ119</f>
        <v>0</v>
      </c>
      <c r="AR121" s="105">
        <f>AR122-AR117-AR118-AR119</f>
        <v>-13.799999999999999</v>
      </c>
      <c r="AS121" s="105">
        <f>AS122-AS117-AS118-AS119</f>
        <v>12.799999999999999</v>
      </c>
      <c r="AT121" s="105">
        <f>AT122-AT117-AT118-AT119</f>
        <v>4.5999999999999908</v>
      </c>
      <c r="AU121" s="107">
        <f>SUM(AQ121:AT121)</f>
        <v>3.5999999999999908</v>
      </c>
      <c r="AV121" s="105"/>
      <c r="AW121" s="284">
        <f>AW122-AW117-AW118-AW119</f>
        <v>4.1000000000000174</v>
      </c>
      <c r="AX121" s="105">
        <f>AX122-AX117-AX118-AX119</f>
        <v>2.5999999999999823</v>
      </c>
      <c r="AY121" s="105">
        <f>AY122-AY117-AY118-AY119</f>
        <v>0.5</v>
      </c>
      <c r="AZ121" s="105">
        <f>AZ122-AZ117-AZ118-AZ119</f>
        <v>-4.3999999999999861</v>
      </c>
      <c r="BA121" s="107">
        <f>SUM(AW121:AZ121)</f>
        <v>2.8000000000000131</v>
      </c>
      <c r="BB121" s="105"/>
      <c r="BC121" s="284">
        <f>BC122-BC117-BC118-BC119</f>
        <v>2.1999999999999869</v>
      </c>
      <c r="BD121" s="105">
        <f>BD122-BD117-BD118-BD119</f>
        <v>-2.9999999999999947</v>
      </c>
      <c r="BE121" s="105">
        <f>BE122-BE117-BE118-BE119</f>
        <v>0.80000000000001137</v>
      </c>
      <c r="BF121" s="105">
        <f>BF122-BF117-BF118-BF119</f>
        <v>-11.000000000000011</v>
      </c>
      <c r="BG121" s="182">
        <f>SUM(BC121:BF121)</f>
        <v>-11.000000000000007</v>
      </c>
      <c r="BH121" s="105"/>
      <c r="BI121" s="284">
        <f>BI122-BI117-BI118-BI119</f>
        <v>-14.400000000000007</v>
      </c>
      <c r="BJ121" s="105">
        <f>BJ122-BJ117-BJ118-BJ119</f>
        <v>9.9999999999999645E-2</v>
      </c>
      <c r="BK121" s="105">
        <f>BK122-BK117-BK118-BK119</f>
        <v>7.400000000000011</v>
      </c>
      <c r="BL121" s="105">
        <f>BL122-BL117-BL118-BL119</f>
        <v>2.599999999999989</v>
      </c>
      <c r="BM121" s="107">
        <f>SUM(BI121:BL121)</f>
        <v>-4.3000000000000078</v>
      </c>
      <c r="BN121" s="105"/>
      <c r="BO121" s="284">
        <f>BO122-BO117-BO118-BO119</f>
        <v>0.10000000000002007</v>
      </c>
      <c r="BP121" s="105">
        <f>BP122-BP117-BP118-BP119</f>
        <v>-0.10000000000000586</v>
      </c>
      <c r="BQ121" s="105">
        <f>BQ122-BQ117-BQ118-BQ119</f>
        <v>-1.9000000000000004</v>
      </c>
      <c r="BR121" s="105">
        <f>BR122-BR117-BR118-BR119</f>
        <v>0.30000000000000249</v>
      </c>
      <c r="BS121" s="107">
        <f>SUM(BO121:BR121)</f>
        <v>-1.5999999999999837</v>
      </c>
      <c r="BT121" s="105"/>
      <c r="BU121" s="284">
        <f>BU122-BU117-BU118-BU119</f>
        <v>-0.59999999999999698</v>
      </c>
      <c r="BV121" s="105">
        <f>BV122-BV117-BV118-BV119</f>
        <v>0.79999999999999449</v>
      </c>
      <c r="BW121" s="105">
        <f>BW122-BW117-BW118-BW119</f>
        <v>-2.2999999999999918</v>
      </c>
      <c r="BX121" s="105">
        <f>BX122-BX117-BX118-BX119</f>
        <v>13.7</v>
      </c>
      <c r="BY121" s="107">
        <f>SUM(BU121:BX121)</f>
        <v>11.600000000000005</v>
      </c>
      <c r="BZ121" s="105"/>
      <c r="CA121" s="284">
        <f>CA122-CA117-CA118-CA119</f>
        <v>0.99999999999999467</v>
      </c>
      <c r="CB121" s="105">
        <f>CB122-CB117-CB118-CB119</f>
        <v>0.90000000000000036</v>
      </c>
      <c r="CC121" s="105">
        <f>CC122-CC117-CC118-CC119</f>
        <v>0.30000000000000426</v>
      </c>
      <c r="CD121" s="105">
        <f>CD122-CD117-CD118-CD119</f>
        <v>14.5</v>
      </c>
      <c r="CE121" s="107">
        <f>SUM(CA121:CD121)</f>
        <v>16.7</v>
      </c>
      <c r="CF121" s="105"/>
      <c r="CG121" s="284">
        <f>CG122-CG117-CG118-CG119</f>
        <v>23.1</v>
      </c>
      <c r="CH121" s="105">
        <f>CH122-CH117-CH118-CH119</f>
        <v>13.799999999999997</v>
      </c>
      <c r="CI121" s="105">
        <f>CI122-CI117-CI118-CI119</f>
        <v>4.9999999999999982</v>
      </c>
      <c r="CJ121" s="105">
        <f>CJ122-CJ117-CJ118-CJ119</f>
        <v>0.40000000000000568</v>
      </c>
      <c r="CK121" s="107">
        <f>SUM(CG121:CJ121)</f>
        <v>42.300000000000004</v>
      </c>
      <c r="CL121" s="105"/>
      <c r="CM121" s="1190">
        <v>0</v>
      </c>
      <c r="CN121" s="1191">
        <v>0</v>
      </c>
      <c r="CO121" s="1191">
        <v>0</v>
      </c>
      <c r="CP121" s="1191">
        <v>0</v>
      </c>
      <c r="CQ121" s="107">
        <f>SUM(CM121:CP121)</f>
        <v>0</v>
      </c>
      <c r="CR121" s="105"/>
      <c r="CS121" s="1190">
        <v>0</v>
      </c>
      <c r="CT121" s="1191">
        <v>0</v>
      </c>
      <c r="CU121" s="1191">
        <v>0</v>
      </c>
      <c r="CV121" s="1191">
        <v>0</v>
      </c>
      <c r="CW121" s="107">
        <f>SUM(CS121:CV121)</f>
        <v>0</v>
      </c>
      <c r="CY121" s="1190">
        <v>0</v>
      </c>
      <c r="CZ121" s="1191">
        <v>0</v>
      </c>
      <c r="DA121" s="1191">
        <v>0</v>
      </c>
      <c r="DB121" s="1191">
        <v>0</v>
      </c>
      <c r="DC121" s="107">
        <f>SUM(CY121:DB121)</f>
        <v>0</v>
      </c>
      <c r="DE121" s="1190">
        <v>0</v>
      </c>
      <c r="DF121" s="1191">
        <v>0</v>
      </c>
      <c r="DG121" s="1191">
        <v>0</v>
      </c>
      <c r="DH121" s="1191">
        <v>0</v>
      </c>
      <c r="DI121" s="107">
        <f>SUM(DE121:DH121)</f>
        <v>0</v>
      </c>
    </row>
    <row r="122" spans="1:113" ht="11.25" hidden="1" customHeight="1" outlineLevel="1">
      <c r="A122" s="142" t="s">
        <v>143</v>
      </c>
      <c r="B122" s="143"/>
      <c r="C122" s="144">
        <f>C18</f>
        <v>0.24282699999999999</v>
      </c>
      <c r="D122" s="143"/>
      <c r="E122" s="144">
        <f>E18</f>
        <v>0.38600000000000001</v>
      </c>
      <c r="F122" s="143"/>
      <c r="G122" s="144">
        <f>G18</f>
        <v>2.335</v>
      </c>
      <c r="H122" s="143"/>
      <c r="I122" s="144">
        <f>I18</f>
        <v>1.595</v>
      </c>
      <c r="J122" s="143"/>
      <c r="K122" s="144">
        <f>K18</f>
        <v>0.25</v>
      </c>
      <c r="L122" s="143"/>
      <c r="M122" s="144">
        <f>M18</f>
        <v>1.9039999999999999</v>
      </c>
      <c r="N122" s="143"/>
      <c r="O122" s="144">
        <f>O18</f>
        <v>1.431</v>
      </c>
      <c r="P122" s="143"/>
      <c r="Q122" s="144">
        <f>Q18</f>
        <v>1.5329999999999999</v>
      </c>
      <c r="R122" s="143"/>
      <c r="S122" s="325">
        <f>S18</f>
        <v>1.284</v>
      </c>
      <c r="T122" s="143">
        <f>T18</f>
        <v>1.92</v>
      </c>
      <c r="U122" s="143">
        <f>U18</f>
        <v>4.0940000000000003</v>
      </c>
      <c r="V122" s="143">
        <f>V18</f>
        <v>5.5789999999999997</v>
      </c>
      <c r="W122" s="144">
        <f>W117+W118+W119+W121</f>
        <v>5.5789999999999997</v>
      </c>
      <c r="X122" s="143"/>
      <c r="Y122" s="325">
        <f>Y18</f>
        <v>5.1609999999999996</v>
      </c>
      <c r="Z122" s="143">
        <f>Z18</f>
        <v>4.7300000000000004</v>
      </c>
      <c r="AA122" s="143">
        <f>AA18</f>
        <v>4.4119999999999999</v>
      </c>
      <c r="AB122" s="143">
        <f>AB18</f>
        <v>6.2</v>
      </c>
      <c r="AC122" s="144">
        <f>AC117+AC118+AC119+AC121</f>
        <v>6.2</v>
      </c>
      <c r="AD122" s="143"/>
      <c r="AE122" s="325">
        <f>AE18</f>
        <v>6.5330000000000004</v>
      </c>
      <c r="AF122" s="143">
        <f>AF18</f>
        <v>6.2039999999999997</v>
      </c>
      <c r="AG122" s="143">
        <f>AG18</f>
        <v>6.0010000000000003</v>
      </c>
      <c r="AH122" s="143">
        <f>AH18</f>
        <v>6</v>
      </c>
      <c r="AI122" s="144">
        <f>AI117+AI118+AI119+AI121</f>
        <v>6</v>
      </c>
      <c r="AJ122" s="143"/>
      <c r="AK122" s="325">
        <f>AK18</f>
        <v>5.6</v>
      </c>
      <c r="AL122" s="143">
        <f>AL18</f>
        <v>5.0999999999999996</v>
      </c>
      <c r="AM122" s="143">
        <f>AM18</f>
        <v>5.3</v>
      </c>
      <c r="AN122" s="143">
        <f>AN18</f>
        <v>4.9000000000000004</v>
      </c>
      <c r="AO122" s="144">
        <f>AO117+AO118+AO119+AO121</f>
        <v>4.9000000000000004</v>
      </c>
      <c r="AP122" s="143"/>
      <c r="AQ122" s="325">
        <f>AQ18</f>
        <v>4.4000000000000004</v>
      </c>
      <c r="AR122" s="143">
        <f>AR18</f>
        <v>12.9</v>
      </c>
      <c r="AS122" s="143">
        <f>AS18</f>
        <v>24.7</v>
      </c>
      <c r="AT122" s="143">
        <f>AT18</f>
        <v>136.1</v>
      </c>
      <c r="AU122" s="144">
        <f>AU117+AU118+AU119+AU121</f>
        <v>136.1</v>
      </c>
      <c r="AV122" s="143"/>
      <c r="AW122" s="325">
        <f>AW18</f>
        <v>136.30000000000001</v>
      </c>
      <c r="AX122" s="143">
        <f>AX18</f>
        <v>137.6</v>
      </c>
      <c r="AY122" s="143">
        <f>AY18</f>
        <v>133.1</v>
      </c>
      <c r="AZ122" s="143">
        <f>AZ18</f>
        <v>136.4</v>
      </c>
      <c r="BA122" s="144">
        <f>BA117+BA118+BA119+BA121</f>
        <v>136.4</v>
      </c>
      <c r="BB122" s="143"/>
      <c r="BC122" s="325">
        <f>BC18</f>
        <v>147.1</v>
      </c>
      <c r="BD122" s="143">
        <f>BD18</f>
        <v>138.5</v>
      </c>
      <c r="BE122" s="143">
        <f>BE18</f>
        <v>133.80000000000001</v>
      </c>
      <c r="BF122" s="143">
        <f>BF18</f>
        <v>117</v>
      </c>
      <c r="BG122" s="720">
        <f>BG117+BG118+BG119+BG121</f>
        <v>117</v>
      </c>
      <c r="BH122" s="143"/>
      <c r="BI122" s="325">
        <f>BI18</f>
        <v>111.1</v>
      </c>
      <c r="BJ122" s="143">
        <f>BJ18</f>
        <v>106.1</v>
      </c>
      <c r="BK122" s="143">
        <f>BK18</f>
        <v>108.4</v>
      </c>
      <c r="BL122" s="143">
        <f>BL18</f>
        <v>105.6</v>
      </c>
      <c r="BM122" s="144">
        <f>BM117+BM118+BM119+BM121</f>
        <v>105.59999999999998</v>
      </c>
      <c r="BN122" s="143"/>
      <c r="BO122" s="325">
        <f>BO18</f>
        <v>100.5</v>
      </c>
      <c r="BP122" s="143">
        <f>BP18</f>
        <v>95.6</v>
      </c>
      <c r="BQ122" s="143">
        <f>BQ18</f>
        <v>88.6</v>
      </c>
      <c r="BR122" s="143">
        <f>BR18</f>
        <v>83.8</v>
      </c>
      <c r="BS122" s="144">
        <f>BS117+BS118+BS119+BS121</f>
        <v>83.8</v>
      </c>
      <c r="BT122" s="143"/>
      <c r="BU122" s="325">
        <f>BU18</f>
        <v>78</v>
      </c>
      <c r="BV122" s="143">
        <f>BV18</f>
        <v>73.599999999999994</v>
      </c>
      <c r="BW122" s="143">
        <f>BW18</f>
        <v>66.2</v>
      </c>
      <c r="BX122" s="143">
        <f>BX18</f>
        <v>74.7</v>
      </c>
      <c r="BY122" s="144">
        <f>BY117+BY118+BY119+BY121</f>
        <v>74.7</v>
      </c>
      <c r="BZ122" s="143"/>
      <c r="CA122" s="325">
        <f>CA18</f>
        <v>70.3</v>
      </c>
      <c r="CB122" s="143">
        <f>CB18</f>
        <v>65.8</v>
      </c>
      <c r="CC122" s="143">
        <f>CC18</f>
        <v>60.7</v>
      </c>
      <c r="CD122" s="143">
        <f>CD18</f>
        <v>69.7</v>
      </c>
      <c r="CE122" s="144">
        <f>CE117+CE118+CE119+CE121</f>
        <v>69.7</v>
      </c>
      <c r="CF122" s="143"/>
      <c r="CG122" s="325">
        <f>CG18</f>
        <v>85.9</v>
      </c>
      <c r="CH122" s="143">
        <f>CH18</f>
        <v>92.2</v>
      </c>
      <c r="CI122" s="143">
        <f>CI18</f>
        <v>89</v>
      </c>
      <c r="CJ122" s="143">
        <f>CJ18</f>
        <v>82.4</v>
      </c>
      <c r="CK122" s="144">
        <f>CK117+CK118+CK119+CK121</f>
        <v>82.4</v>
      </c>
      <c r="CL122" s="143"/>
      <c r="CM122" s="325">
        <f>CM117+CM118+CM119+CM121</f>
        <v>79.025000000000006</v>
      </c>
      <c r="CN122" s="143">
        <f>CN117+CN118+CN119+CN121</f>
        <v>75.650000000000006</v>
      </c>
      <c r="CO122" s="143">
        <f>CO117+CO118+CO119+CO121</f>
        <v>72.275000000000006</v>
      </c>
      <c r="CP122" s="143">
        <f>CP117+CP118+CP119+CP121</f>
        <v>68.900000000000006</v>
      </c>
      <c r="CQ122" s="144">
        <f>CQ117+CQ118+CQ119+CQ121</f>
        <v>68.900000000000006</v>
      </c>
      <c r="CR122" s="143"/>
      <c r="CS122" s="325">
        <f>CS117+CS118+CS119+CS121</f>
        <v>65.525000000000006</v>
      </c>
      <c r="CT122" s="143">
        <f>CT117+CT118+CT119+CT121</f>
        <v>62.150000000000006</v>
      </c>
      <c r="CU122" s="143">
        <f>CU117+CU118+CU119+CU121</f>
        <v>58.775000000000006</v>
      </c>
      <c r="CV122" s="143">
        <f>CV117+CV118+CV119+CV121</f>
        <v>55.400000000000006</v>
      </c>
      <c r="CW122" s="144">
        <f>CW117+CW118+CW119+CW121</f>
        <v>55.400000000000006</v>
      </c>
      <c r="CY122" s="325">
        <f>CY117+CY118+CY119+CY121</f>
        <v>52.025000000000006</v>
      </c>
      <c r="CZ122" s="143">
        <f>CZ117+CZ118+CZ119+CZ121</f>
        <v>48.650000000000006</v>
      </c>
      <c r="DA122" s="143">
        <f>DA117+DA118+DA119+DA121</f>
        <v>45.275000000000006</v>
      </c>
      <c r="DB122" s="143">
        <f>DB117+DB118+DB119+DB121</f>
        <v>41.900000000000006</v>
      </c>
      <c r="DC122" s="144">
        <f>DC117+DC118+DC119+DC121</f>
        <v>41.900000000000006</v>
      </c>
      <c r="DE122" s="325">
        <f>DE117+DE118+DE119+DE121</f>
        <v>38.525000000000006</v>
      </c>
      <c r="DF122" s="143">
        <f>DF117+DF118+DF119+DF121</f>
        <v>35.150000000000006</v>
      </c>
      <c r="DG122" s="143">
        <f>DG117+DG118+DG119+DG121</f>
        <v>31.775000000000006</v>
      </c>
      <c r="DH122" s="143">
        <f>DH117+DH118+DH119+DH121</f>
        <v>28.400000000000006</v>
      </c>
      <c r="DI122" s="144">
        <f>DI117+DI118+DI119+DI121</f>
        <v>28.400000000000006</v>
      </c>
    </row>
    <row r="123" spans="1:113" ht="11.25" hidden="1" customHeight="1" outlineLevel="1">
      <c r="A123" s="150" t="s">
        <v>78</v>
      </c>
      <c r="B123" s="149"/>
      <c r="C123" s="151"/>
      <c r="D123" s="149"/>
      <c r="E123" s="151"/>
      <c r="F123" s="149"/>
      <c r="G123" s="151"/>
      <c r="H123" s="149"/>
      <c r="I123" s="151"/>
      <c r="J123" s="149"/>
      <c r="K123" s="151"/>
      <c r="L123" s="149"/>
      <c r="M123" s="151"/>
      <c r="N123" s="149"/>
      <c r="O123" s="151"/>
      <c r="P123" s="149"/>
      <c r="Q123" s="151"/>
      <c r="R123" s="149"/>
      <c r="S123" s="326"/>
      <c r="T123" s="149"/>
      <c r="U123" s="149"/>
      <c r="V123" s="149"/>
      <c r="W123" s="152"/>
      <c r="X123" s="149"/>
      <c r="Y123" s="326"/>
      <c r="Z123" s="149"/>
      <c r="AA123" s="149"/>
      <c r="AB123" s="149"/>
      <c r="AC123" s="152"/>
      <c r="AD123" s="149"/>
      <c r="AE123" s="326"/>
      <c r="AF123" s="149"/>
      <c r="AG123" s="149"/>
      <c r="AH123" s="149"/>
      <c r="AI123" s="152"/>
      <c r="AJ123" s="149"/>
      <c r="AK123" s="326"/>
      <c r="AL123" s="149"/>
      <c r="AM123" s="149"/>
      <c r="AN123" s="149"/>
      <c r="AO123" s="152"/>
      <c r="AP123" s="149"/>
      <c r="AQ123" s="326"/>
      <c r="AR123" s="149"/>
      <c r="AS123" s="149"/>
      <c r="AT123" s="149"/>
      <c r="AU123" s="152"/>
      <c r="AV123" s="149"/>
      <c r="AW123" s="326"/>
      <c r="AX123" s="149"/>
      <c r="AY123" s="149"/>
      <c r="AZ123" s="149"/>
      <c r="BA123" s="152"/>
      <c r="BB123" s="149"/>
      <c r="BC123" s="326"/>
      <c r="BD123" s="149"/>
      <c r="BE123" s="149"/>
      <c r="BF123" s="149"/>
      <c r="BG123" s="152"/>
      <c r="BH123" s="149"/>
      <c r="BI123" s="326"/>
      <c r="BJ123" s="149"/>
      <c r="BK123" s="149"/>
      <c r="BL123" s="149"/>
      <c r="BM123" s="152"/>
      <c r="BN123" s="149"/>
      <c r="BO123" s="326"/>
      <c r="BP123" s="149"/>
      <c r="BQ123" s="149"/>
      <c r="BR123" s="149"/>
      <c r="BS123" s="152"/>
      <c r="BT123" s="149"/>
      <c r="BU123" s="326"/>
      <c r="BV123" s="149"/>
      <c r="BW123" s="149"/>
      <c r="BX123" s="149"/>
      <c r="BY123" s="152"/>
      <c r="BZ123" s="149"/>
      <c r="CA123" s="326"/>
      <c r="CB123" s="149"/>
      <c r="CC123" s="149"/>
      <c r="CD123" s="149"/>
      <c r="CE123" s="152"/>
      <c r="CF123" s="149"/>
      <c r="CG123" s="326"/>
      <c r="CH123" s="149"/>
      <c r="CI123" s="149"/>
      <c r="CJ123" s="149"/>
      <c r="CK123" s="152"/>
      <c r="CL123" s="149"/>
      <c r="CM123" s="326"/>
      <c r="CN123" s="149"/>
      <c r="CO123" s="149"/>
      <c r="CP123" s="149"/>
      <c r="CQ123" s="152"/>
      <c r="CR123" s="149"/>
      <c r="CS123" s="326"/>
      <c r="CT123" s="149"/>
      <c r="CU123" s="149"/>
      <c r="CV123" s="149"/>
      <c r="CW123" s="152"/>
      <c r="CY123" s="326"/>
      <c r="CZ123" s="149"/>
      <c r="DA123" s="149"/>
      <c r="DB123" s="149"/>
      <c r="DC123" s="152"/>
      <c r="DE123" s="326"/>
      <c r="DF123" s="149"/>
      <c r="DG123" s="149"/>
      <c r="DH123" s="149"/>
      <c r="DI123" s="152"/>
    </row>
    <row r="124" spans="1:113" ht="11.25" hidden="1" customHeight="1" outlineLevel="1">
      <c r="A124" s="104" t="s">
        <v>144</v>
      </c>
      <c r="B124" s="105"/>
      <c r="C124" s="158"/>
      <c r="D124" s="156"/>
      <c r="E124" s="158">
        <f>C127</f>
        <v>0</v>
      </c>
      <c r="F124" s="156"/>
      <c r="G124" s="158">
        <f>E127</f>
        <v>0</v>
      </c>
      <c r="H124" s="156"/>
      <c r="I124" s="158">
        <f>G127</f>
        <v>0</v>
      </c>
      <c r="J124" s="156"/>
      <c r="K124" s="158">
        <f>I127</f>
        <v>0</v>
      </c>
      <c r="L124" s="156"/>
      <c r="M124" s="158">
        <f>K127</f>
        <v>3.093</v>
      </c>
      <c r="N124" s="156"/>
      <c r="O124" s="158">
        <f>M127</f>
        <v>10.739000000000001</v>
      </c>
      <c r="P124" s="156"/>
      <c r="Q124" s="158">
        <f>O127</f>
        <v>10.739000000000001</v>
      </c>
      <c r="R124" s="156"/>
      <c r="S124" s="298">
        <f>Q127</f>
        <v>17.515999999999998</v>
      </c>
      <c r="T124" s="156">
        <f>S127</f>
        <v>21.5</v>
      </c>
      <c r="U124" s="156">
        <f>T127</f>
        <v>21.5</v>
      </c>
      <c r="V124" s="156">
        <f>U127</f>
        <v>40.6</v>
      </c>
      <c r="W124" s="158">
        <f>Q127</f>
        <v>17.515999999999998</v>
      </c>
      <c r="X124" s="156"/>
      <c r="Y124" s="298">
        <f>W127</f>
        <v>39.777000000000001</v>
      </c>
      <c r="Z124" s="156">
        <f>Y127</f>
        <v>41.1</v>
      </c>
      <c r="AA124" s="156">
        <f>Z127</f>
        <v>39.6</v>
      </c>
      <c r="AB124" s="156">
        <f>AA127</f>
        <v>39.799999999999997</v>
      </c>
      <c r="AC124" s="158">
        <f>W127</f>
        <v>39.777000000000001</v>
      </c>
      <c r="AD124" s="156"/>
      <c r="AE124" s="298">
        <f>AC127</f>
        <v>40.799999999999997</v>
      </c>
      <c r="AF124" s="156">
        <f>AE127</f>
        <v>43</v>
      </c>
      <c r="AG124" s="156">
        <f>AF127</f>
        <v>43</v>
      </c>
      <c r="AH124" s="156">
        <f>AG127</f>
        <v>48.1</v>
      </c>
      <c r="AI124" s="158">
        <f>AC127</f>
        <v>40.799999999999997</v>
      </c>
      <c r="AJ124" s="156"/>
      <c r="AK124" s="298">
        <f>AI127</f>
        <v>46.4</v>
      </c>
      <c r="AL124" s="156">
        <f>AK127</f>
        <v>45.6</v>
      </c>
      <c r="AM124" s="156">
        <f>AL127</f>
        <v>46.9</v>
      </c>
      <c r="AN124" s="156">
        <f>AM127</f>
        <v>47.9</v>
      </c>
      <c r="AO124" s="158">
        <f>AI127</f>
        <v>46.4</v>
      </c>
      <c r="AP124" s="156"/>
      <c r="AQ124" s="298">
        <f>AO127</f>
        <v>47.5</v>
      </c>
      <c r="AR124" s="156">
        <f>AQ127</f>
        <v>46.2</v>
      </c>
      <c r="AS124" s="156">
        <f>AR127</f>
        <v>66.2</v>
      </c>
      <c r="AT124" s="156">
        <f>AS127</f>
        <v>48.4</v>
      </c>
      <c r="AU124" s="158">
        <f>AO127</f>
        <v>47.5</v>
      </c>
      <c r="AV124" s="156"/>
      <c r="AW124" s="298">
        <f>AU127</f>
        <v>98.3</v>
      </c>
      <c r="AX124" s="156">
        <f>AW127</f>
        <v>98.4</v>
      </c>
      <c r="AY124" s="156">
        <f>AX127</f>
        <v>100.1</v>
      </c>
      <c r="AZ124" s="156">
        <f>AY127</f>
        <v>96.4</v>
      </c>
      <c r="BA124" s="158">
        <f>AU127</f>
        <v>98.3</v>
      </c>
      <c r="BB124" s="156"/>
      <c r="BC124" s="298">
        <f>BA127</f>
        <v>100.2</v>
      </c>
      <c r="BD124" s="156">
        <f>BC127</f>
        <v>110.7</v>
      </c>
      <c r="BE124" s="156">
        <f>BD127</f>
        <v>109.8</v>
      </c>
      <c r="BF124" s="156">
        <f>BE127</f>
        <v>116.4</v>
      </c>
      <c r="BG124" s="158">
        <f>BA127</f>
        <v>100.2</v>
      </c>
      <c r="BH124" s="156"/>
      <c r="BI124" s="298">
        <f>BG127</f>
        <v>115.9</v>
      </c>
      <c r="BJ124" s="156">
        <f>BI127</f>
        <v>115.2</v>
      </c>
      <c r="BK124" s="156">
        <f>BJ127</f>
        <v>115.6</v>
      </c>
      <c r="BL124" s="156">
        <f>BK127</f>
        <v>126.6</v>
      </c>
      <c r="BM124" s="158">
        <f>BG127</f>
        <v>115.9</v>
      </c>
      <c r="BN124" s="156"/>
      <c r="BO124" s="298">
        <f>BM127</f>
        <v>127.4</v>
      </c>
      <c r="BP124" s="156">
        <f>BO127</f>
        <v>127.4</v>
      </c>
      <c r="BQ124" s="156">
        <f>BP127</f>
        <v>126.9</v>
      </c>
      <c r="BR124" s="156">
        <f>BQ127</f>
        <v>135.1</v>
      </c>
      <c r="BS124" s="158">
        <f>BM127</f>
        <v>127.4</v>
      </c>
      <c r="BT124" s="156"/>
      <c r="BU124" s="298">
        <f>BS127</f>
        <v>127.8</v>
      </c>
      <c r="BV124" s="156">
        <f>BU127</f>
        <v>124.7</v>
      </c>
      <c r="BW124" s="156">
        <f>BV127</f>
        <v>125.7</v>
      </c>
      <c r="BX124" s="156">
        <f>BW127</f>
        <v>125.1</v>
      </c>
      <c r="BY124" s="158">
        <f>BS127</f>
        <v>127.8</v>
      </c>
      <c r="BZ124" s="156"/>
      <c r="CA124" s="298">
        <f>BY127</f>
        <v>130.6</v>
      </c>
      <c r="CB124" s="156">
        <f>CA127</f>
        <v>131.9</v>
      </c>
      <c r="CC124" s="156">
        <f>CB127</f>
        <v>131</v>
      </c>
      <c r="CD124" s="156">
        <f>CC127</f>
        <v>131.4</v>
      </c>
      <c r="CE124" s="158">
        <f>BY127</f>
        <v>130.6</v>
      </c>
      <c r="CF124" s="156"/>
      <c r="CG124" s="298">
        <f>CE127</f>
        <v>130.6</v>
      </c>
      <c r="CH124" s="156">
        <f>CG127</f>
        <v>151.6</v>
      </c>
      <c r="CI124" s="156">
        <f>CH127</f>
        <v>165.4</v>
      </c>
      <c r="CJ124" s="156">
        <f>CI127</f>
        <v>168.6</v>
      </c>
      <c r="CK124" s="158">
        <f>CE127</f>
        <v>130.6</v>
      </c>
      <c r="CL124" s="156"/>
      <c r="CM124" s="298">
        <f>CK127</f>
        <v>169.8</v>
      </c>
      <c r="CN124" s="156">
        <f>CM127</f>
        <v>169.8</v>
      </c>
      <c r="CO124" s="156">
        <f>CN127</f>
        <v>169.8</v>
      </c>
      <c r="CP124" s="156">
        <f>CO127</f>
        <v>169.8</v>
      </c>
      <c r="CQ124" s="158">
        <f>CK127</f>
        <v>169.8</v>
      </c>
      <c r="CR124" s="156"/>
      <c r="CS124" s="298">
        <f>CQ127</f>
        <v>169.8</v>
      </c>
      <c r="CT124" s="156">
        <f>CS127</f>
        <v>169.8</v>
      </c>
      <c r="CU124" s="156">
        <f>CT127</f>
        <v>169.8</v>
      </c>
      <c r="CV124" s="156">
        <f>CU127</f>
        <v>169.8</v>
      </c>
      <c r="CW124" s="158">
        <f>CQ127</f>
        <v>169.8</v>
      </c>
      <c r="CY124" s="298">
        <f>CW127</f>
        <v>169.8</v>
      </c>
      <c r="CZ124" s="156">
        <f>CY127</f>
        <v>169.8</v>
      </c>
      <c r="DA124" s="156">
        <f>CZ127</f>
        <v>169.8</v>
      </c>
      <c r="DB124" s="156">
        <f>DA127</f>
        <v>169.8</v>
      </c>
      <c r="DC124" s="158">
        <f>CW127</f>
        <v>169.8</v>
      </c>
      <c r="DE124" s="298">
        <f>DC127</f>
        <v>169.8</v>
      </c>
      <c r="DF124" s="156">
        <f>DE127</f>
        <v>169.8</v>
      </c>
      <c r="DG124" s="156">
        <f>DF127</f>
        <v>169.8</v>
      </c>
      <c r="DH124" s="156">
        <f>DG127</f>
        <v>169.8</v>
      </c>
      <c r="DI124" s="158">
        <f>DC127</f>
        <v>169.8</v>
      </c>
    </row>
    <row r="125" spans="1:113" ht="11.25" hidden="1" customHeight="1" outlineLevel="1">
      <c r="A125" s="139" t="s">
        <v>145</v>
      </c>
      <c r="B125" s="105"/>
      <c r="C125" s="107"/>
      <c r="D125" s="105"/>
      <c r="E125" s="1171">
        <f>-CF!E29-BS!E102-BS!E118</f>
        <v>0.2</v>
      </c>
      <c r="F125" s="1172"/>
      <c r="G125" s="1171">
        <f>-CF!G29-BS!G102-BS!G118</f>
        <v>-2.1999999999999999E-2</v>
      </c>
      <c r="H125" s="1172"/>
      <c r="I125" s="1171">
        <f>-CF!I29-BS!I102-BS!I118</f>
        <v>0</v>
      </c>
      <c r="J125" s="1172"/>
      <c r="K125" s="1171">
        <f>-CF!K29-BS!K102-BS!K118</f>
        <v>0.86699999999999999</v>
      </c>
      <c r="L125" s="105"/>
      <c r="M125" s="1171">
        <f>-CF!M29-BS!M102-BS!M118</f>
        <v>5.4989999999999997</v>
      </c>
      <c r="N125" s="1172"/>
      <c r="O125" s="1171">
        <f>-CF!O29-BS!O102-BS!O118</f>
        <v>0</v>
      </c>
      <c r="P125" s="1172"/>
      <c r="Q125" s="1171">
        <f>-CF!Q29-BS!Q102-BS!Q118</f>
        <v>1.0050000000000008</v>
      </c>
      <c r="R125" s="1172"/>
      <c r="S125" s="1173">
        <f>-CF!S29-BS!S102-BS!S118</f>
        <v>2.7010000000000001</v>
      </c>
      <c r="T125" s="1172">
        <f>-CF!T29-BS!T102-BS!T118</f>
        <v>1.2690000000000001</v>
      </c>
      <c r="U125" s="1172">
        <f>-CF!U29-BS!U102-BS!U118</f>
        <v>23.671999999999997</v>
      </c>
      <c r="V125" s="1172">
        <f>-CF!V29-BS!V102-BS!V118</f>
        <v>-1.1929999999999978</v>
      </c>
      <c r="W125" s="107">
        <f>SUM(S125:V125)</f>
        <v>26.448999999999998</v>
      </c>
      <c r="X125" s="105"/>
      <c r="Y125" s="1173">
        <f>-CF!Y29-BS!Y102-BS!Y118</f>
        <v>1.9159999999999999</v>
      </c>
      <c r="Z125" s="1172">
        <f>-CF!Z29-BS!Z102-BS!Z118</f>
        <v>0.55200000000000005</v>
      </c>
      <c r="AA125" s="1172">
        <f>-CF!AA29-BS!AA102-BS!AA118</f>
        <v>0.38700000000000001</v>
      </c>
      <c r="AB125" s="1172">
        <f>-CF!AB29-BS!AB102-BS!AB118</f>
        <v>0.64500000000000002</v>
      </c>
      <c r="AC125" s="107">
        <f>SUM(Y125:AB125)</f>
        <v>3.5</v>
      </c>
      <c r="AD125" s="105"/>
      <c r="AE125" s="1173">
        <f>-CF!AE29-BS!AE102-BS!AE118</f>
        <v>2.2000000000000002</v>
      </c>
      <c r="AF125" s="1172">
        <f>-CF!AF29-BS!AF102-BS!AF118</f>
        <v>-0.10000000000000009</v>
      </c>
      <c r="AG125" s="1172">
        <f>-CF!AG29-BS!AG102-BS!AG118</f>
        <v>1.9999999999999996</v>
      </c>
      <c r="AH125" s="1172">
        <f>-CF!AH29-BS!AH102-BS!AH118</f>
        <v>7.2999999999999989</v>
      </c>
      <c r="AI125" s="107">
        <f>SUM(AE125:AH125)</f>
        <v>11.399999999999999</v>
      </c>
      <c r="AJ125" s="105"/>
      <c r="AK125" s="1173">
        <f>-CF!AK29-BS!AK102-BS!AK118</f>
        <v>0.7</v>
      </c>
      <c r="AL125" s="1172">
        <f>-CF!AL29-BS!AL102-BS!AL118</f>
        <v>-4.5</v>
      </c>
      <c r="AM125" s="1172">
        <f>-CF!AM29-BS!AM102-BS!AM118</f>
        <v>0.5</v>
      </c>
      <c r="AN125" s="1172">
        <f>-CF!AN29-BS!AN102-BS!AN118</f>
        <v>0.29999999999999982</v>
      </c>
      <c r="AO125" s="107">
        <f>SUM(AK125:AN125)</f>
        <v>-3</v>
      </c>
      <c r="AP125" s="105"/>
      <c r="AQ125" s="1173">
        <f>-CF!AQ29-BS!AQ102-BS!AQ118</f>
        <v>0</v>
      </c>
      <c r="AR125" s="1172">
        <f>-CF!AR29-BS!AR102-BS!AR118</f>
        <v>12.5</v>
      </c>
      <c r="AS125" s="1172">
        <f>-CF!AS29-BS!AS102-BS!AS118</f>
        <v>0</v>
      </c>
      <c r="AT125" s="1172">
        <f>-CF!AT29-BS!AT102-BS!AT118</f>
        <v>103.5</v>
      </c>
      <c r="AU125" s="107">
        <f>SUM(AQ125:AT125)</f>
        <v>116</v>
      </c>
      <c r="AV125" s="105"/>
      <c r="AW125" s="1173">
        <f>-CF!AW29-BS!AW102-BS!AW118</f>
        <v>0.2</v>
      </c>
      <c r="AX125" s="1172">
        <f>-CF!AX29-BS!AX102-BS!AX118</f>
        <v>-1.9999999999999998</v>
      </c>
      <c r="AY125" s="1172">
        <f>-CF!AY29-BS!AY102-BS!AY118</f>
        <v>0</v>
      </c>
      <c r="AZ125" s="1172">
        <f>-CF!AZ29-BS!AZ102-BS!AZ118</f>
        <v>0.30000000000000071</v>
      </c>
      <c r="BA125" s="107">
        <f>SUM(AW125:AZ125)</f>
        <v>-1.4999999999999991</v>
      </c>
      <c r="BB125" s="105"/>
      <c r="BC125" s="1173">
        <f>-CF!BC29-BS!BC102-BS!BC118</f>
        <v>5.6999999999999993</v>
      </c>
      <c r="BD125" s="1172">
        <f>-CF!BD29-BS!BD102-BS!BD118</f>
        <v>0</v>
      </c>
      <c r="BE125" s="1172">
        <f>-CF!BE29-BS!BE102-BS!BE118</f>
        <v>-3.3000000000000007</v>
      </c>
      <c r="BF125" s="1172">
        <f>-CF!BF29-BS!BF102-BS!BF118</f>
        <v>8.6000000000000014</v>
      </c>
      <c r="BG125" s="107">
        <f>SUM(BC125:BF125)</f>
        <v>11</v>
      </c>
      <c r="BH125" s="105"/>
      <c r="BI125" s="1173">
        <f>-CF!BI29-BS!BI102-BS!BI118</f>
        <v>-15.100000000000001</v>
      </c>
      <c r="BJ125" s="1172">
        <f>-CF!BJ29-BS!BJ102-BS!BJ118</f>
        <v>1.3</v>
      </c>
      <c r="BK125" s="1172">
        <f>-CF!BK29-BS!BK102-BS!BK118</f>
        <v>9.5</v>
      </c>
      <c r="BL125" s="1172">
        <f>-CF!BL29-BS!BL102-BS!BL118</f>
        <v>0</v>
      </c>
      <c r="BM125" s="107">
        <f>SUM(BI125:BL125)</f>
        <v>-4.3000000000000007</v>
      </c>
      <c r="BN125" s="105"/>
      <c r="BO125" s="1173">
        <f>-CF!BO29-BS!BO102-BS!BO118</f>
        <v>0</v>
      </c>
      <c r="BP125" s="1172">
        <f>-CF!BP29-BS!BP102-BS!BP118</f>
        <v>0</v>
      </c>
      <c r="BQ125" s="1172">
        <f>-CF!BQ29-BS!BQ102-BS!BQ118</f>
        <v>3.9</v>
      </c>
      <c r="BR125" s="1172">
        <f>-CF!BR29-BS!BR102-BS!BR118</f>
        <v>0</v>
      </c>
      <c r="BS125" s="107">
        <f>SUM(BO125:BR125)</f>
        <v>3.9</v>
      </c>
      <c r="BT125" s="105"/>
      <c r="BU125" s="1173">
        <f>-CF!BU29-BS!BU102-BS!BU118</f>
        <v>0</v>
      </c>
      <c r="BV125" s="1172">
        <f>-CF!BV29-BS!BV102-BS!BV118</f>
        <v>0</v>
      </c>
      <c r="BW125" s="1172">
        <f>-CF!BW29-BS!BW102-BS!BW118</f>
        <v>0</v>
      </c>
      <c r="BX125" s="1172">
        <f>-CF!BX29-BS!BX102-BS!BX118</f>
        <v>28.6</v>
      </c>
      <c r="BY125" s="107">
        <f>SUM(BU125:BX125)</f>
        <v>28.6</v>
      </c>
      <c r="BZ125" s="105"/>
      <c r="CA125" s="1173">
        <f>-CF!CA29-BS!CA102-BS!CA118</f>
        <v>0</v>
      </c>
      <c r="CB125" s="1172">
        <f>-CF!CB29-BS!CB102-BS!CB118</f>
        <v>1.2</v>
      </c>
      <c r="CC125" s="1172">
        <f>-CF!CC29-BS!CC102-BS!CC118</f>
        <v>0</v>
      </c>
      <c r="CD125" s="1172">
        <f>-CF!CD29-BS!CD102-BS!CD118</f>
        <v>23.1</v>
      </c>
      <c r="CE125" s="107">
        <f>SUM(CA125:CD125)</f>
        <v>24.3</v>
      </c>
      <c r="CF125" s="105"/>
      <c r="CG125" s="1173">
        <f>-CF!CG29-BS!CG102-BS!CG118</f>
        <v>39.799999999999997</v>
      </c>
      <c r="CH125" s="1172">
        <f>-CF!CH29-BS!CH102-BS!CH118</f>
        <v>18.900000000000006</v>
      </c>
      <c r="CI125" s="1172">
        <f>-CF!CI29-BS!CI102-BS!CI118</f>
        <v>7.0999999999999943</v>
      </c>
      <c r="CJ125" s="1172">
        <f>-CF!CJ29-BS!CJ102-BS!CJ118</f>
        <v>0.5</v>
      </c>
      <c r="CK125" s="107">
        <f>SUM(CG125:CJ125)</f>
        <v>66.3</v>
      </c>
      <c r="CL125" s="105"/>
      <c r="CM125" s="284">
        <f>-CM131*CF!CM29</f>
        <v>0</v>
      </c>
      <c r="CN125" s="105">
        <f>-CN131*CF!CN29</f>
        <v>0</v>
      </c>
      <c r="CO125" s="105">
        <f>-CO131*CF!CO29</f>
        <v>0</v>
      </c>
      <c r="CP125" s="105">
        <f>-CP131*CF!CP29</f>
        <v>0</v>
      </c>
      <c r="CQ125" s="107">
        <f>SUM(CM125:CP125)</f>
        <v>0</v>
      </c>
      <c r="CR125" s="105"/>
      <c r="CS125" s="284">
        <f>-CS131*CF!CS29</f>
        <v>0</v>
      </c>
      <c r="CT125" s="105">
        <f>-CT131*CF!CT29</f>
        <v>0</v>
      </c>
      <c r="CU125" s="105">
        <f>-CU131*CF!CU29</f>
        <v>0</v>
      </c>
      <c r="CV125" s="105">
        <f>-CV131*CF!CV29</f>
        <v>0</v>
      </c>
      <c r="CW125" s="107">
        <f>SUM(CS125:CV125)</f>
        <v>0</v>
      </c>
      <c r="CY125" s="284">
        <f>-CY131*CF!CY29</f>
        <v>0</v>
      </c>
      <c r="CZ125" s="105">
        <f>-CZ131*CF!CZ29</f>
        <v>0</v>
      </c>
      <c r="DA125" s="105">
        <f>-DA131*CF!DA29</f>
        <v>0</v>
      </c>
      <c r="DB125" s="105">
        <f>-DB131*CF!DB29</f>
        <v>0</v>
      </c>
      <c r="DC125" s="107">
        <f>SUM(CY125:DB125)</f>
        <v>0</v>
      </c>
      <c r="DE125" s="284">
        <f>-DE131*CF!DE29</f>
        <v>0</v>
      </c>
      <c r="DF125" s="105">
        <f>-DF131*CF!DF29</f>
        <v>0</v>
      </c>
      <c r="DG125" s="105">
        <f>-DG131*CF!DG29</f>
        <v>0</v>
      </c>
      <c r="DH125" s="105">
        <f>-DH131*CF!DH29</f>
        <v>0</v>
      </c>
      <c r="DI125" s="107">
        <f>SUM(DE125:DH125)</f>
        <v>0</v>
      </c>
    </row>
    <row r="126" spans="1:113" ht="11.25" hidden="1" customHeight="1" outlineLevel="1">
      <c r="A126" s="139" t="s">
        <v>56</v>
      </c>
      <c r="B126" s="105"/>
      <c r="C126" s="107"/>
      <c r="D126" s="105"/>
      <c r="E126" s="107">
        <f>E127-E124-E125</f>
        <v>-0.2</v>
      </c>
      <c r="F126" s="105"/>
      <c r="G126" s="107">
        <f>G127-G124-G125</f>
        <v>2.1999999999999999E-2</v>
      </c>
      <c r="H126" s="105"/>
      <c r="I126" s="107">
        <f>I127-I124-I125</f>
        <v>0</v>
      </c>
      <c r="J126" s="105"/>
      <c r="K126" s="107">
        <f>K127-K124-K125</f>
        <v>2.226</v>
      </c>
      <c r="L126" s="105"/>
      <c r="M126" s="107">
        <f>M127-M124-M125</f>
        <v>2.1470000000000011</v>
      </c>
      <c r="N126" s="105"/>
      <c r="O126" s="107">
        <f>O127-O124-O125</f>
        <v>0</v>
      </c>
      <c r="P126" s="105"/>
      <c r="Q126" s="107">
        <f>Q127-Q124-Q125</f>
        <v>5.7719999999999967</v>
      </c>
      <c r="R126" s="105"/>
      <c r="S126" s="284">
        <f>S127-S124-S125</f>
        <v>1.2830000000000017</v>
      </c>
      <c r="T126" s="105">
        <f>T127-T124-T125</f>
        <v>-1.2690000000000001</v>
      </c>
      <c r="U126" s="105">
        <f>U127-U124-U125</f>
        <v>-4.5719999999999956</v>
      </c>
      <c r="V126" s="105">
        <f>V127-V124-V125</f>
        <v>0.36999999999999744</v>
      </c>
      <c r="W126" s="107">
        <f>SUM(S126:V126)</f>
        <v>-4.1879999999999971</v>
      </c>
      <c r="X126" s="105"/>
      <c r="Y126" s="284">
        <f>Y127-Y124-Y125</f>
        <v>-0.59299999999999953</v>
      </c>
      <c r="Z126" s="105">
        <f>Z127-Z124-Z125</f>
        <v>-2.052</v>
      </c>
      <c r="AA126" s="105">
        <f>AA127-AA124-AA125</f>
        <v>-0.18700000000000427</v>
      </c>
      <c r="AB126" s="105">
        <f>AB127-AB124-AB125</f>
        <v>0.35499999999999998</v>
      </c>
      <c r="AC126" s="107">
        <f>SUM(Y126:AB126)</f>
        <v>-2.4770000000000039</v>
      </c>
      <c r="AD126" s="105"/>
      <c r="AE126" s="284">
        <f>AE127-AE124-AE125</f>
        <v>0</v>
      </c>
      <c r="AF126" s="105">
        <f>AF127-AF124-AF125</f>
        <v>0.10000000000000009</v>
      </c>
      <c r="AG126" s="105">
        <f>AG127-AG124-AG125</f>
        <v>3.1000000000000019</v>
      </c>
      <c r="AH126" s="105">
        <f>AH127-AH124-AH125</f>
        <v>-9.0000000000000018</v>
      </c>
      <c r="AI126" s="107">
        <f>SUM(AE126:AH126)</f>
        <v>-5.8</v>
      </c>
      <c r="AJ126" s="105"/>
      <c r="AK126" s="284">
        <f>AK127-AK124-AK125</f>
        <v>-1.4999999999999971</v>
      </c>
      <c r="AL126" s="105">
        <f>AL127-AL124-AL125</f>
        <v>5.7999999999999972</v>
      </c>
      <c r="AM126" s="105">
        <f>AM127-AM124-AM125</f>
        <v>0.5</v>
      </c>
      <c r="AN126" s="105">
        <f>AN127-AN124-AN125</f>
        <v>-0.6999999999999984</v>
      </c>
      <c r="AO126" s="107">
        <f>SUM(AK126:AN126)</f>
        <v>4.1000000000000014</v>
      </c>
      <c r="AP126" s="105"/>
      <c r="AQ126" s="284">
        <f>AQ127-AQ124-AQ125</f>
        <v>-1.2999999999999972</v>
      </c>
      <c r="AR126" s="105">
        <f>AR127-AR124-AR125</f>
        <v>7.5</v>
      </c>
      <c r="AS126" s="105">
        <f>AS127-AS124-AS125</f>
        <v>-17.800000000000004</v>
      </c>
      <c r="AT126" s="105">
        <f>AT127-AT124-AT125</f>
        <v>-53.6</v>
      </c>
      <c r="AU126" s="107">
        <f>SUM(AQ126:AT126)</f>
        <v>-65.2</v>
      </c>
      <c r="AV126" s="105"/>
      <c r="AW126" s="284">
        <f>AW127-AW124-AW125</f>
        <v>-9.9999999999991485E-2</v>
      </c>
      <c r="AX126" s="105">
        <f>AX127-AX124-AX125</f>
        <v>3.6999999999999886</v>
      </c>
      <c r="AY126" s="105">
        <f>AY127-AY124-AY125</f>
        <v>-3.6999999999999886</v>
      </c>
      <c r="AZ126" s="105">
        <f>AZ127-AZ124-AZ125</f>
        <v>3.4999999999999964</v>
      </c>
      <c r="BA126" s="107">
        <f>SUM(AW126:AZ126)</f>
        <v>3.4000000000000048</v>
      </c>
      <c r="BB126" s="105"/>
      <c r="BC126" s="284">
        <f>BC127-BC124-BC125</f>
        <v>4.8000000000000007</v>
      </c>
      <c r="BD126" s="105">
        <f>BD127-BD124-BD125</f>
        <v>-0.90000000000000568</v>
      </c>
      <c r="BE126" s="105">
        <f>BE127-BE124-BE125</f>
        <v>9.9000000000000092</v>
      </c>
      <c r="BF126" s="105">
        <f>BF127-BF124-BF125</f>
        <v>-9.1000000000000014</v>
      </c>
      <c r="BG126" s="107">
        <f>SUM(BC126:BF126)</f>
        <v>4.7000000000000028</v>
      </c>
      <c r="BH126" s="105"/>
      <c r="BI126" s="284">
        <f>BI127-BI124-BI125</f>
        <v>14.399999999999999</v>
      </c>
      <c r="BJ126" s="105">
        <f>BJ127-BJ124-BJ125</f>
        <v>-0.90000000000000857</v>
      </c>
      <c r="BK126" s="105">
        <f>BK127-BK124-BK125</f>
        <v>1.5</v>
      </c>
      <c r="BL126" s="105">
        <f>BL127-BL124-BL125</f>
        <v>0.80000000000001137</v>
      </c>
      <c r="BM126" s="107">
        <f>SUM(BI126:BL126)</f>
        <v>15.8</v>
      </c>
      <c r="BN126" s="105"/>
      <c r="BO126" s="284">
        <f>BO127-BO124-BO125</f>
        <v>0</v>
      </c>
      <c r="BP126" s="105">
        <f>BP127-BP124-BP125</f>
        <v>-0.5</v>
      </c>
      <c r="BQ126" s="105">
        <f>BQ127-BQ124-BQ125</f>
        <v>4.2999999999999883</v>
      </c>
      <c r="BR126" s="105">
        <f>BR127-BR124-BR125</f>
        <v>-7.2999999999999972</v>
      </c>
      <c r="BS126" s="107">
        <f>SUM(BO126:BR126)</f>
        <v>-3.5000000000000089</v>
      </c>
      <c r="BT126" s="105"/>
      <c r="BU126" s="284">
        <f>BU127-BU124-BU125</f>
        <v>-3.0999999999999943</v>
      </c>
      <c r="BV126" s="105">
        <f>BV127-BV124-BV125</f>
        <v>1</v>
      </c>
      <c r="BW126" s="105">
        <f>BW127-BW124-BW125</f>
        <v>-0.60000000000000853</v>
      </c>
      <c r="BX126" s="105">
        <f>BX127-BX124-BX125</f>
        <v>-23.1</v>
      </c>
      <c r="BY126" s="107">
        <f>SUM(BU126:BX126)</f>
        <v>-25.800000000000004</v>
      </c>
      <c r="BZ126" s="105"/>
      <c r="CA126" s="284">
        <f>CA127-CA124-CA125</f>
        <v>1.3000000000000114</v>
      </c>
      <c r="CB126" s="105">
        <f>CB127-CB124-CB125</f>
        <v>-2.1000000000000059</v>
      </c>
      <c r="CC126" s="105">
        <f>CC127-CC124-CC125</f>
        <v>0.40000000000000568</v>
      </c>
      <c r="CD126" s="105">
        <f>CD127-CD124-CD125</f>
        <v>-23.900000000000013</v>
      </c>
      <c r="CE126" s="107">
        <f>SUM(CA126:CD126)</f>
        <v>-24.3</v>
      </c>
      <c r="CF126" s="105"/>
      <c r="CG126" s="284">
        <f>CG127-CG124-CG125</f>
        <v>-18.799999999999997</v>
      </c>
      <c r="CH126" s="105">
        <f>CH127-CH124-CH125</f>
        <v>-5.0999999999999943</v>
      </c>
      <c r="CI126" s="105">
        <f>CI127-CI124-CI125</f>
        <v>-3.9000000000000057</v>
      </c>
      <c r="CJ126" s="105">
        <f>CJ127-CJ124-CJ125</f>
        <v>0.70000000000001705</v>
      </c>
      <c r="CK126" s="107">
        <f>SUM(CG126:CJ126)</f>
        <v>-27.09999999999998</v>
      </c>
      <c r="CL126" s="105"/>
      <c r="CM126" s="1190">
        <v>0</v>
      </c>
      <c r="CN126" s="1191">
        <v>0</v>
      </c>
      <c r="CO126" s="1191">
        <v>0</v>
      </c>
      <c r="CP126" s="1191">
        <v>0</v>
      </c>
      <c r="CQ126" s="107">
        <f>SUM(CM126:CP126)</f>
        <v>0</v>
      </c>
      <c r="CR126" s="105"/>
      <c r="CS126" s="1190">
        <v>0</v>
      </c>
      <c r="CT126" s="1191">
        <v>0</v>
      </c>
      <c r="CU126" s="1191">
        <v>0</v>
      </c>
      <c r="CV126" s="1191">
        <v>0</v>
      </c>
      <c r="CW126" s="107">
        <f>SUM(CS126:CV126)</f>
        <v>0</v>
      </c>
      <c r="CY126" s="1190">
        <v>0</v>
      </c>
      <c r="CZ126" s="1191">
        <v>0</v>
      </c>
      <c r="DA126" s="1191">
        <v>0</v>
      </c>
      <c r="DB126" s="1191">
        <v>0</v>
      </c>
      <c r="DC126" s="107">
        <f>SUM(CY126:DB126)</f>
        <v>0</v>
      </c>
      <c r="DE126" s="1190">
        <v>0</v>
      </c>
      <c r="DF126" s="1191">
        <v>0</v>
      </c>
      <c r="DG126" s="1191">
        <v>0</v>
      </c>
      <c r="DH126" s="1191">
        <v>0</v>
      </c>
      <c r="DI126" s="107">
        <f>SUM(DE126:DH126)</f>
        <v>0</v>
      </c>
    </row>
    <row r="127" spans="1:113" ht="11.25" hidden="1" customHeight="1" outlineLevel="1">
      <c r="A127" s="142" t="s">
        <v>146</v>
      </c>
      <c r="B127" s="143"/>
      <c r="C127" s="144">
        <f>C17</f>
        <v>0</v>
      </c>
      <c r="D127" s="143"/>
      <c r="E127" s="144">
        <f>E17</f>
        <v>0</v>
      </c>
      <c r="F127" s="143"/>
      <c r="G127" s="144">
        <f>G17</f>
        <v>0</v>
      </c>
      <c r="H127" s="143"/>
      <c r="I127" s="144">
        <f>I17</f>
        <v>0</v>
      </c>
      <c r="J127" s="143"/>
      <c r="K127" s="144">
        <f>K17</f>
        <v>3.093</v>
      </c>
      <c r="L127" s="143"/>
      <c r="M127" s="144">
        <f>M17</f>
        <v>10.739000000000001</v>
      </c>
      <c r="N127" s="143"/>
      <c r="O127" s="144">
        <f>O17</f>
        <v>10.739000000000001</v>
      </c>
      <c r="P127" s="143"/>
      <c r="Q127" s="144">
        <f>Q17</f>
        <v>17.515999999999998</v>
      </c>
      <c r="R127" s="143"/>
      <c r="S127" s="325">
        <f>S17</f>
        <v>21.5</v>
      </c>
      <c r="T127" s="143">
        <f>T17</f>
        <v>21.5</v>
      </c>
      <c r="U127" s="143">
        <f>U17</f>
        <v>40.6</v>
      </c>
      <c r="V127" s="143">
        <f>V17</f>
        <v>39.777000000000001</v>
      </c>
      <c r="W127" s="144">
        <f>W124+W125+W126</f>
        <v>39.777000000000001</v>
      </c>
      <c r="X127" s="143"/>
      <c r="Y127" s="325">
        <f>Y17</f>
        <v>41.1</v>
      </c>
      <c r="Z127" s="143">
        <f>Z17</f>
        <v>39.6</v>
      </c>
      <c r="AA127" s="143">
        <f>AA17</f>
        <v>39.799999999999997</v>
      </c>
      <c r="AB127" s="143">
        <f>AB17</f>
        <v>40.799999999999997</v>
      </c>
      <c r="AC127" s="144">
        <f>AC124+AC125+AC126</f>
        <v>40.799999999999997</v>
      </c>
      <c r="AD127" s="143"/>
      <c r="AE127" s="325">
        <f>AE17</f>
        <v>43</v>
      </c>
      <c r="AF127" s="143">
        <f>AF17</f>
        <v>43</v>
      </c>
      <c r="AG127" s="143">
        <f>AG17</f>
        <v>48.1</v>
      </c>
      <c r="AH127" s="143">
        <f>AH17</f>
        <v>46.4</v>
      </c>
      <c r="AI127" s="144">
        <f>AI124+AI125+AI126</f>
        <v>46.4</v>
      </c>
      <c r="AJ127" s="143"/>
      <c r="AK127" s="325">
        <f>AK17</f>
        <v>45.6</v>
      </c>
      <c r="AL127" s="143">
        <f>AL17</f>
        <v>46.9</v>
      </c>
      <c r="AM127" s="143">
        <f>AM17</f>
        <v>47.9</v>
      </c>
      <c r="AN127" s="143">
        <f>AN17</f>
        <v>47.5</v>
      </c>
      <c r="AO127" s="144">
        <f>AO124+AO125+AO126</f>
        <v>47.5</v>
      </c>
      <c r="AP127" s="143"/>
      <c r="AQ127" s="325">
        <f>AQ17</f>
        <v>46.2</v>
      </c>
      <c r="AR127" s="143">
        <f>AR17</f>
        <v>66.2</v>
      </c>
      <c r="AS127" s="143">
        <f>AS17</f>
        <v>48.4</v>
      </c>
      <c r="AT127" s="143">
        <f>AT17</f>
        <v>98.3</v>
      </c>
      <c r="AU127" s="144">
        <f>AU124+AU125+AU126</f>
        <v>98.3</v>
      </c>
      <c r="AV127" s="143"/>
      <c r="AW127" s="325">
        <f>AW17</f>
        <v>98.4</v>
      </c>
      <c r="AX127" s="143">
        <f>AX17</f>
        <v>100.1</v>
      </c>
      <c r="AY127" s="143">
        <f>AY17</f>
        <v>96.4</v>
      </c>
      <c r="AZ127" s="143">
        <f>AZ17</f>
        <v>100.2</v>
      </c>
      <c r="BA127" s="144">
        <f>BA124+BA125+BA126</f>
        <v>100.2</v>
      </c>
      <c r="BB127" s="143"/>
      <c r="BC127" s="325">
        <f>BC17</f>
        <v>110.7</v>
      </c>
      <c r="BD127" s="143">
        <f>BD17</f>
        <v>109.8</v>
      </c>
      <c r="BE127" s="143">
        <f>BE17</f>
        <v>116.4</v>
      </c>
      <c r="BF127" s="143">
        <f>BF17</f>
        <v>115.9</v>
      </c>
      <c r="BG127" s="144">
        <f>BG124+BG125+BG126</f>
        <v>115.9</v>
      </c>
      <c r="BH127" s="143"/>
      <c r="BI127" s="325">
        <f>BI17</f>
        <v>115.2</v>
      </c>
      <c r="BJ127" s="143">
        <f>BJ17</f>
        <v>115.6</v>
      </c>
      <c r="BK127" s="143">
        <f>BK17</f>
        <v>126.6</v>
      </c>
      <c r="BL127" s="143">
        <f>BL17</f>
        <v>127.4</v>
      </c>
      <c r="BM127" s="144">
        <f>BM124+BM125+BM126</f>
        <v>127.4</v>
      </c>
      <c r="BN127" s="143"/>
      <c r="BO127" s="325">
        <f>BO17</f>
        <v>127.4</v>
      </c>
      <c r="BP127" s="143">
        <f>BP17</f>
        <v>126.9</v>
      </c>
      <c r="BQ127" s="143">
        <f>BQ17</f>
        <v>135.1</v>
      </c>
      <c r="BR127" s="143">
        <f>BR17</f>
        <v>127.8</v>
      </c>
      <c r="BS127" s="144">
        <f>BS124+BS125+BS126</f>
        <v>127.8</v>
      </c>
      <c r="BT127" s="143"/>
      <c r="BU127" s="325">
        <f>BU17</f>
        <v>124.7</v>
      </c>
      <c r="BV127" s="143">
        <f>BV17</f>
        <v>125.7</v>
      </c>
      <c r="BW127" s="143">
        <f>BW17</f>
        <v>125.1</v>
      </c>
      <c r="BX127" s="143">
        <f>BX17</f>
        <v>130.6</v>
      </c>
      <c r="BY127" s="144">
        <f>BY124+BY125+BY126</f>
        <v>130.6</v>
      </c>
      <c r="BZ127" s="143"/>
      <c r="CA127" s="325">
        <f>CA17</f>
        <v>131.9</v>
      </c>
      <c r="CB127" s="143">
        <f>CB17</f>
        <v>131</v>
      </c>
      <c r="CC127" s="143">
        <f>CC17</f>
        <v>131.4</v>
      </c>
      <c r="CD127" s="143">
        <f>CD17</f>
        <v>130.6</v>
      </c>
      <c r="CE127" s="144">
        <f>CE124+CE125+CE126</f>
        <v>130.6</v>
      </c>
      <c r="CF127" s="143"/>
      <c r="CG127" s="325">
        <f>CG17</f>
        <v>151.6</v>
      </c>
      <c r="CH127" s="143">
        <f>CH17</f>
        <v>165.4</v>
      </c>
      <c r="CI127" s="143">
        <f>CI17</f>
        <v>168.6</v>
      </c>
      <c r="CJ127" s="143">
        <f>CJ17</f>
        <v>169.8</v>
      </c>
      <c r="CK127" s="144">
        <f>CK124+CK125+CK126</f>
        <v>169.8</v>
      </c>
      <c r="CL127" s="143"/>
      <c r="CM127" s="325">
        <f>CM124+CM125+CM126</f>
        <v>169.8</v>
      </c>
      <c r="CN127" s="143">
        <f>CN124+CN125+CN126</f>
        <v>169.8</v>
      </c>
      <c r="CO127" s="143">
        <f>CO124+CO125+CO126</f>
        <v>169.8</v>
      </c>
      <c r="CP127" s="143">
        <f>CP124+CP125+CP126</f>
        <v>169.8</v>
      </c>
      <c r="CQ127" s="144">
        <f>CQ124+CQ125+CQ126</f>
        <v>169.8</v>
      </c>
      <c r="CR127" s="143"/>
      <c r="CS127" s="325">
        <f>CS124+CS125+CS126</f>
        <v>169.8</v>
      </c>
      <c r="CT127" s="143">
        <f>CT124+CT125+CT126</f>
        <v>169.8</v>
      </c>
      <c r="CU127" s="143">
        <f>CU124+CU125+CU126</f>
        <v>169.8</v>
      </c>
      <c r="CV127" s="143">
        <f>CV124+CV125+CV126</f>
        <v>169.8</v>
      </c>
      <c r="CW127" s="144">
        <f>CW124+CW125+CW126</f>
        <v>169.8</v>
      </c>
      <c r="CY127" s="325">
        <f>CY124+CY125+CY126</f>
        <v>169.8</v>
      </c>
      <c r="CZ127" s="143">
        <f>CZ124+CZ125+CZ126</f>
        <v>169.8</v>
      </c>
      <c r="DA127" s="143">
        <f>DA124+DA125+DA126</f>
        <v>169.8</v>
      </c>
      <c r="DB127" s="143">
        <f>DB124+DB125+DB126</f>
        <v>169.8</v>
      </c>
      <c r="DC127" s="144">
        <f>DC124+DC125+DC126</f>
        <v>169.8</v>
      </c>
      <c r="DE127" s="325">
        <f>DE124+DE125+DE126</f>
        <v>169.8</v>
      </c>
      <c r="DF127" s="143">
        <f>DF124+DF125+DF126</f>
        <v>169.8</v>
      </c>
      <c r="DG127" s="143">
        <f>DG124+DG125+DG126</f>
        <v>169.8</v>
      </c>
      <c r="DH127" s="143">
        <f>DH124+DH125+DH126</f>
        <v>169.8</v>
      </c>
      <c r="DI127" s="144">
        <f>DI124+DI125+DI126</f>
        <v>169.8</v>
      </c>
    </row>
    <row r="128" spans="1:113" ht="11.25" customHeight="1" collapsed="1">
      <c r="A128" s="163"/>
      <c r="B128" s="164"/>
      <c r="C128" s="165"/>
      <c r="D128" s="164"/>
      <c r="E128" s="165"/>
      <c r="F128" s="164"/>
      <c r="G128" s="165"/>
      <c r="H128" s="164"/>
      <c r="I128" s="165"/>
      <c r="J128" s="164"/>
      <c r="K128" s="165"/>
      <c r="L128" s="164"/>
      <c r="M128" s="165"/>
      <c r="N128" s="164"/>
      <c r="O128" s="165"/>
      <c r="P128" s="164"/>
      <c r="Q128" s="165"/>
      <c r="R128" s="164"/>
      <c r="S128" s="164"/>
      <c r="T128" s="164"/>
      <c r="U128" s="164"/>
      <c r="V128" s="164"/>
      <c r="W128" s="164"/>
      <c r="X128" s="164"/>
      <c r="Y128" s="164"/>
      <c r="Z128" s="164"/>
      <c r="AA128" s="164"/>
      <c r="AB128" s="164"/>
      <c r="AC128" s="164"/>
      <c r="AD128" s="164"/>
      <c r="AE128" s="164"/>
      <c r="AF128" s="164"/>
      <c r="AG128" s="164"/>
      <c r="AH128" s="164"/>
      <c r="AI128" s="164"/>
      <c r="AJ128" s="164"/>
      <c r="AK128" s="164"/>
      <c r="AL128" s="164"/>
      <c r="AM128" s="164"/>
      <c r="AN128" s="164"/>
      <c r="AO128" s="164"/>
      <c r="AP128" s="164"/>
      <c r="AQ128" s="164"/>
      <c r="AR128" s="164"/>
      <c r="AS128" s="164"/>
      <c r="AT128" s="164"/>
      <c r="AU128" s="164"/>
      <c r="AV128" s="164"/>
      <c r="AW128" s="164"/>
      <c r="AX128" s="164"/>
      <c r="AY128" s="164"/>
      <c r="AZ128" s="164"/>
      <c r="BA128" s="164"/>
      <c r="BB128" s="164"/>
      <c r="BC128" s="164"/>
      <c r="BD128" s="164"/>
      <c r="BE128" s="164"/>
      <c r="BF128" s="164"/>
      <c r="BG128" s="164"/>
      <c r="BH128" s="164"/>
      <c r="BI128" s="164"/>
      <c r="BJ128" s="164"/>
      <c r="BK128" s="164"/>
      <c r="BL128" s="166"/>
      <c r="BM128" s="164"/>
      <c r="BN128" s="164"/>
      <c r="BO128" s="164"/>
      <c r="BP128" s="164"/>
      <c r="BQ128" s="164"/>
      <c r="BR128" s="164"/>
      <c r="BS128" s="164"/>
      <c r="BT128" s="164"/>
      <c r="BU128" s="164"/>
      <c r="BV128" s="164"/>
      <c r="BW128" s="164"/>
      <c r="BX128" s="164"/>
      <c r="BY128" s="164"/>
      <c r="BZ128" s="164"/>
      <c r="CA128" s="164"/>
      <c r="CB128" s="164"/>
      <c r="CC128" s="164"/>
      <c r="CD128" s="164"/>
      <c r="CE128" s="2016"/>
      <c r="CF128" s="164"/>
      <c r="CG128" s="164"/>
      <c r="CH128" s="164"/>
      <c r="CI128" s="164"/>
      <c r="CJ128" s="164"/>
      <c r="CK128" s="164"/>
      <c r="CL128" s="164"/>
      <c r="CM128" s="164"/>
      <c r="CN128" s="164"/>
      <c r="CO128" s="164"/>
      <c r="CP128" s="164"/>
      <c r="CQ128" s="164"/>
      <c r="CR128" s="164"/>
      <c r="CS128" s="164"/>
      <c r="CT128" s="164"/>
      <c r="CU128" s="164"/>
      <c r="CV128" s="164"/>
      <c r="CW128" s="164"/>
      <c r="CY128" s="164"/>
      <c r="CZ128" s="164"/>
      <c r="DA128" s="164"/>
      <c r="DB128" s="164"/>
      <c r="DC128" s="164"/>
      <c r="DE128" s="164"/>
      <c r="DF128" s="164"/>
      <c r="DG128" s="164"/>
      <c r="DH128" s="164"/>
      <c r="DI128" s="164"/>
    </row>
    <row r="129" spans="1:113" ht="11.25" customHeight="1">
      <c r="A129" s="73" t="s">
        <v>147</v>
      </c>
      <c r="B129" s="74"/>
      <c r="C129" s="75"/>
      <c r="D129" s="74"/>
      <c r="E129" s="75"/>
      <c r="F129" s="74"/>
      <c r="G129" s="75"/>
      <c r="H129" s="74"/>
      <c r="I129" s="75"/>
      <c r="J129" s="74"/>
      <c r="K129" s="75"/>
      <c r="L129" s="74"/>
      <c r="M129" s="75"/>
      <c r="N129" s="74"/>
      <c r="O129" s="75"/>
      <c r="P129" s="74"/>
      <c r="Q129" s="75"/>
      <c r="R129" s="74"/>
      <c r="S129" s="74"/>
      <c r="T129" s="74"/>
      <c r="U129" s="74"/>
      <c r="V129" s="74"/>
      <c r="W129" s="74"/>
      <c r="X129" s="74"/>
      <c r="Y129" s="74"/>
      <c r="Z129" s="74"/>
      <c r="AA129" s="74"/>
      <c r="AB129" s="74"/>
      <c r="AC129" s="74"/>
      <c r="AD129" s="74"/>
      <c r="AE129" s="74"/>
      <c r="AF129" s="74"/>
      <c r="AG129" s="74"/>
      <c r="AH129" s="74"/>
      <c r="AI129" s="74"/>
      <c r="AJ129" s="74"/>
      <c r="AK129" s="74"/>
      <c r="AL129" s="74"/>
      <c r="AM129" s="74"/>
      <c r="AN129" s="74"/>
      <c r="AO129" s="74"/>
      <c r="AP129" s="74"/>
      <c r="AQ129" s="74"/>
      <c r="AR129" s="74"/>
      <c r="AS129" s="74"/>
      <c r="AT129" s="74"/>
      <c r="AU129" s="74"/>
      <c r="AV129" s="74"/>
      <c r="AW129" s="74"/>
      <c r="AX129" s="74"/>
      <c r="AY129" s="74"/>
      <c r="AZ129" s="74"/>
      <c r="BA129" s="74"/>
      <c r="BB129" s="74"/>
      <c r="BC129" s="74"/>
      <c r="BD129" s="74"/>
      <c r="BE129" s="74"/>
      <c r="BF129" s="74"/>
      <c r="BG129" s="74"/>
      <c r="BH129" s="74"/>
      <c r="BI129" s="74"/>
      <c r="BJ129" s="74"/>
      <c r="BK129" s="74"/>
      <c r="BL129" s="74"/>
      <c r="BM129" s="74"/>
      <c r="BN129" s="74"/>
      <c r="BO129" s="74"/>
      <c r="BP129" s="74"/>
      <c r="BQ129" s="74"/>
      <c r="BR129" s="74"/>
      <c r="BS129" s="167"/>
      <c r="BT129" s="74"/>
      <c r="BU129" s="74"/>
      <c r="BV129" s="74"/>
      <c r="BW129" s="74"/>
      <c r="BX129" s="74"/>
      <c r="BY129" s="167"/>
      <c r="BZ129" s="74"/>
      <c r="CA129" s="74"/>
      <c r="CB129" s="74"/>
      <c r="CC129" s="74"/>
      <c r="CD129" s="74"/>
      <c r="CE129" s="167"/>
      <c r="CF129" s="74"/>
      <c r="CG129" s="74"/>
      <c r="CH129" s="74"/>
      <c r="CI129" s="74"/>
      <c r="CJ129" s="74"/>
      <c r="CK129" s="167"/>
      <c r="CL129" s="74"/>
      <c r="CM129" s="74"/>
      <c r="CN129" s="74"/>
      <c r="CO129" s="74"/>
      <c r="CP129" s="74"/>
      <c r="CQ129" s="167"/>
      <c r="CR129" s="74"/>
      <c r="CS129" s="74"/>
      <c r="CT129" s="74"/>
      <c r="CU129" s="74"/>
      <c r="CV129" s="74"/>
      <c r="CW129" s="167"/>
      <c r="CY129" s="74"/>
      <c r="CZ129" s="74"/>
      <c r="DA129" s="74"/>
      <c r="DB129" s="74"/>
      <c r="DC129" s="167"/>
      <c r="DE129" s="74"/>
      <c r="DF129" s="74"/>
      <c r="DG129" s="74"/>
      <c r="DH129" s="74"/>
      <c r="DI129" s="167"/>
    </row>
    <row r="130" spans="1:113" ht="11.25" hidden="1" customHeight="1" outlineLevel="1">
      <c r="A130" s="77" t="s">
        <v>148</v>
      </c>
      <c r="B130" s="105"/>
      <c r="C130" s="106"/>
      <c r="D130" s="105"/>
      <c r="E130" s="106"/>
      <c r="F130" s="105"/>
      <c r="G130" s="106"/>
      <c r="H130" s="105"/>
      <c r="I130" s="106"/>
      <c r="J130" s="105"/>
      <c r="K130" s="106"/>
      <c r="L130" s="105"/>
      <c r="M130" s="106"/>
      <c r="N130" s="105"/>
      <c r="O130" s="106"/>
      <c r="P130" s="105"/>
      <c r="Q130" s="106"/>
      <c r="R130" s="105"/>
      <c r="S130" s="317"/>
      <c r="T130" s="105"/>
      <c r="U130" s="105"/>
      <c r="V130" s="105"/>
      <c r="W130" s="106"/>
      <c r="X130" s="105"/>
      <c r="Y130" s="317"/>
      <c r="Z130" s="105"/>
      <c r="AA130" s="105"/>
      <c r="AB130" s="105"/>
      <c r="AC130" s="106"/>
      <c r="AD130" s="105"/>
      <c r="AE130" s="317"/>
      <c r="AF130" s="105"/>
      <c r="AG130" s="105"/>
      <c r="AH130" s="105"/>
      <c r="AI130" s="106"/>
      <c r="AJ130" s="105"/>
      <c r="AK130" s="317"/>
      <c r="AL130" s="105"/>
      <c r="AM130" s="105"/>
      <c r="AN130" s="105"/>
      <c r="AO130" s="106"/>
      <c r="AP130" s="105"/>
      <c r="AQ130" s="317"/>
      <c r="AR130" s="105"/>
      <c r="AS130" s="105"/>
      <c r="AT130" s="105"/>
      <c r="AU130" s="106"/>
      <c r="AV130" s="105"/>
      <c r="AW130" s="317"/>
      <c r="AX130" s="105"/>
      <c r="AY130" s="105"/>
      <c r="AZ130" s="105"/>
      <c r="BA130" s="106"/>
      <c r="BB130" s="105"/>
      <c r="BC130" s="317"/>
      <c r="BD130" s="105"/>
      <c r="BE130" s="105"/>
      <c r="BF130" s="105"/>
      <c r="BG130" s="106"/>
      <c r="BH130" s="105"/>
      <c r="BI130" s="317"/>
      <c r="BJ130" s="105"/>
      <c r="BK130" s="105"/>
      <c r="BL130" s="105"/>
      <c r="BM130" s="106"/>
      <c r="BN130" s="105"/>
      <c r="BO130" s="317"/>
      <c r="BP130" s="105"/>
      <c r="BQ130" s="105"/>
      <c r="BR130" s="105"/>
      <c r="BS130" s="106"/>
      <c r="BT130" s="105"/>
      <c r="BU130" s="317"/>
      <c r="BV130" s="105"/>
      <c r="BW130" s="105"/>
      <c r="BX130" s="105"/>
      <c r="BY130" s="106"/>
      <c r="BZ130" s="105"/>
      <c r="CA130" s="317"/>
      <c r="CB130" s="105"/>
      <c r="CC130" s="105"/>
      <c r="CD130" s="105"/>
      <c r="CE130" s="106"/>
      <c r="CF130" s="105"/>
      <c r="CG130" s="317"/>
      <c r="CH130" s="105"/>
      <c r="CI130" s="105"/>
      <c r="CJ130" s="105"/>
      <c r="CK130" s="106"/>
      <c r="CL130" s="105"/>
      <c r="CM130" s="317"/>
      <c r="CN130" s="105"/>
      <c r="CO130" s="105"/>
      <c r="CP130" s="105"/>
      <c r="CQ130" s="106"/>
      <c r="CR130" s="105"/>
      <c r="CS130" s="317"/>
      <c r="CT130" s="105"/>
      <c r="CU130" s="105"/>
      <c r="CV130" s="105"/>
      <c r="CW130" s="106"/>
      <c r="CY130" s="317"/>
      <c r="CZ130" s="105"/>
      <c r="DA130" s="105"/>
      <c r="DB130" s="105"/>
      <c r="DC130" s="106"/>
      <c r="DE130" s="317"/>
      <c r="DF130" s="105"/>
      <c r="DG130" s="105"/>
      <c r="DH130" s="105"/>
      <c r="DI130" s="106"/>
    </row>
    <row r="131" spans="1:113" ht="11.25" hidden="1" customHeight="1" outlineLevel="1">
      <c r="A131" s="168" t="s">
        <v>78</v>
      </c>
      <c r="B131" s="149"/>
      <c r="C131" s="151"/>
      <c r="D131" s="149"/>
      <c r="E131" s="151"/>
      <c r="F131" s="149"/>
      <c r="G131" s="151"/>
      <c r="H131" s="149"/>
      <c r="I131" s="151"/>
      <c r="J131" s="149"/>
      <c r="K131" s="151"/>
      <c r="L131" s="149"/>
      <c r="M131" s="151"/>
      <c r="N131" s="149"/>
      <c r="O131" s="170"/>
      <c r="P131" s="171"/>
      <c r="Q131" s="170"/>
      <c r="R131" s="171"/>
      <c r="S131" s="329"/>
      <c r="T131" s="169"/>
      <c r="U131" s="169"/>
      <c r="V131" s="169"/>
      <c r="W131" s="170"/>
      <c r="X131" s="171"/>
      <c r="Y131" s="329"/>
      <c r="Z131" s="169"/>
      <c r="AA131" s="169"/>
      <c r="AB131" s="169"/>
      <c r="AC131" s="170"/>
      <c r="AD131" s="171"/>
      <c r="AE131" s="329"/>
      <c r="AF131" s="169"/>
      <c r="AG131" s="169"/>
      <c r="AH131" s="169"/>
      <c r="AI131" s="170"/>
      <c r="AJ131" s="171"/>
      <c r="AK131" s="329"/>
      <c r="AL131" s="169"/>
      <c r="AM131" s="169"/>
      <c r="AN131" s="169"/>
      <c r="AO131" s="170"/>
      <c r="AP131" s="149"/>
      <c r="AQ131" s="329"/>
      <c r="AR131" s="169"/>
      <c r="AS131" s="169"/>
      <c r="AT131" s="169"/>
      <c r="AU131" s="170"/>
      <c r="AV131" s="149"/>
      <c r="AW131" s="329"/>
      <c r="AX131" s="169"/>
      <c r="AY131" s="169"/>
      <c r="AZ131" s="169"/>
      <c r="BA131" s="172"/>
      <c r="BB131" s="149"/>
      <c r="BC131" s="329"/>
      <c r="BD131" s="169"/>
      <c r="BE131" s="169"/>
      <c r="BF131" s="600"/>
      <c r="BG131" s="152"/>
      <c r="BH131" s="149"/>
      <c r="BI131" s="599"/>
      <c r="BJ131" s="169"/>
      <c r="BK131" s="169"/>
      <c r="BL131" s="1197"/>
      <c r="BM131" s="152"/>
      <c r="BN131" s="149"/>
      <c r="BO131" s="1198"/>
      <c r="BP131" s="1197"/>
      <c r="BQ131" s="1197"/>
      <c r="BR131" s="1197"/>
      <c r="BS131" s="152"/>
      <c r="BT131" s="149"/>
      <c r="BU131" s="1198"/>
      <c r="BV131" s="1197"/>
      <c r="BW131" s="1197"/>
      <c r="BX131" s="1197"/>
      <c r="BY131" s="152"/>
      <c r="BZ131" s="149"/>
      <c r="CA131" s="1198"/>
      <c r="CB131" s="1197"/>
      <c r="CC131" s="1197"/>
      <c r="CD131" s="1197"/>
      <c r="CE131" s="152"/>
      <c r="CF131" s="149"/>
      <c r="CG131" s="1198"/>
      <c r="CH131" s="1197"/>
      <c r="CI131" s="1197"/>
      <c r="CJ131" s="1197">
        <v>0.75</v>
      </c>
      <c r="CK131" s="152"/>
      <c r="CL131" s="149"/>
      <c r="CM131" s="1198">
        <v>0.75</v>
      </c>
      <c r="CN131" s="1197">
        <v>0.75</v>
      </c>
      <c r="CO131" s="1197">
        <v>0.75</v>
      </c>
      <c r="CP131" s="1197">
        <v>0.75</v>
      </c>
      <c r="CQ131" s="152"/>
      <c r="CR131" s="149"/>
      <c r="CS131" s="1198">
        <v>0.75</v>
      </c>
      <c r="CT131" s="1197">
        <v>0.75</v>
      </c>
      <c r="CU131" s="1197">
        <v>0.75</v>
      </c>
      <c r="CV131" s="1197">
        <v>0.75</v>
      </c>
      <c r="CW131" s="152"/>
      <c r="CY131" s="1198">
        <v>0.75</v>
      </c>
      <c r="CZ131" s="1197">
        <v>0.75</v>
      </c>
      <c r="DA131" s="1197">
        <v>0.75</v>
      </c>
      <c r="DB131" s="1197">
        <v>0.75</v>
      </c>
      <c r="DC131" s="152"/>
      <c r="DE131" s="1198">
        <v>0.75</v>
      </c>
      <c r="DF131" s="1197">
        <v>0.75</v>
      </c>
      <c r="DG131" s="1197">
        <v>0.75</v>
      </c>
      <c r="DH131" s="1197">
        <v>0.75</v>
      </c>
      <c r="DI131" s="152"/>
    </row>
    <row r="132" spans="1:113" ht="11.25" hidden="1" customHeight="1" outlineLevel="1">
      <c r="A132" s="168" t="s">
        <v>140</v>
      </c>
      <c r="B132" s="149"/>
      <c r="C132" s="151"/>
      <c r="D132" s="149"/>
      <c r="E132" s="151"/>
      <c r="F132" s="149"/>
      <c r="G132" s="151"/>
      <c r="H132" s="149"/>
      <c r="I132" s="151"/>
      <c r="J132" s="149"/>
      <c r="K132" s="151"/>
      <c r="L132" s="149"/>
      <c r="M132" s="151"/>
      <c r="N132" s="149"/>
      <c r="O132" s="170"/>
      <c r="P132" s="171"/>
      <c r="Q132" s="170"/>
      <c r="R132" s="171"/>
      <c r="S132" s="329"/>
      <c r="T132" s="169"/>
      <c r="U132" s="169"/>
      <c r="V132" s="169"/>
      <c r="W132" s="170"/>
      <c r="X132" s="171"/>
      <c r="Y132" s="329"/>
      <c r="Z132" s="169"/>
      <c r="AA132" s="169"/>
      <c r="AB132" s="169"/>
      <c r="AC132" s="170"/>
      <c r="AD132" s="171"/>
      <c r="AE132" s="329"/>
      <c r="AF132" s="169"/>
      <c r="AG132" s="169"/>
      <c r="AH132" s="169"/>
      <c r="AI132" s="170"/>
      <c r="AJ132" s="171"/>
      <c r="AK132" s="329"/>
      <c r="AL132" s="169"/>
      <c r="AM132" s="169"/>
      <c r="AN132" s="169"/>
      <c r="AO132" s="170"/>
      <c r="AP132" s="149"/>
      <c r="AQ132" s="329"/>
      <c r="AR132" s="169"/>
      <c r="AS132" s="169"/>
      <c r="AT132" s="169"/>
      <c r="AU132" s="170"/>
      <c r="AV132" s="149"/>
      <c r="AW132" s="329"/>
      <c r="AX132" s="169"/>
      <c r="AY132" s="169"/>
      <c r="AZ132" s="169"/>
      <c r="BA132" s="172"/>
      <c r="BB132" s="149"/>
      <c r="BC132" s="329"/>
      <c r="BD132" s="169"/>
      <c r="BE132" s="169"/>
      <c r="BF132" s="600"/>
      <c r="BG132" s="152"/>
      <c r="BH132" s="149"/>
      <c r="BI132" s="599"/>
      <c r="BJ132" s="169"/>
      <c r="BK132" s="169"/>
      <c r="BL132" s="1197"/>
      <c r="BM132" s="152"/>
      <c r="BN132" s="149"/>
      <c r="BO132" s="1198"/>
      <c r="BP132" s="1197"/>
      <c r="BQ132" s="1197"/>
      <c r="BR132" s="1197"/>
      <c r="BS132" s="152"/>
      <c r="BT132" s="149"/>
      <c r="BU132" s="1198"/>
      <c r="BV132" s="1197"/>
      <c r="BW132" s="1197"/>
      <c r="BX132" s="1197"/>
      <c r="BY132" s="152"/>
      <c r="BZ132" s="149"/>
      <c r="CA132" s="1198"/>
      <c r="CB132" s="1197"/>
      <c r="CC132" s="1197"/>
      <c r="CD132" s="1197"/>
      <c r="CE132" s="152"/>
      <c r="CF132" s="149"/>
      <c r="CG132" s="1198"/>
      <c r="CH132" s="1197"/>
      <c r="CI132" s="1197"/>
      <c r="CJ132" s="1197">
        <v>0.15</v>
      </c>
      <c r="CK132" s="152"/>
      <c r="CL132" s="149"/>
      <c r="CM132" s="1198">
        <v>0.15</v>
      </c>
      <c r="CN132" s="1197">
        <v>0.15</v>
      </c>
      <c r="CO132" s="1197">
        <v>0.15</v>
      </c>
      <c r="CP132" s="1197">
        <v>0.15</v>
      </c>
      <c r="CQ132" s="152"/>
      <c r="CR132" s="149"/>
      <c r="CS132" s="1198">
        <v>0.15</v>
      </c>
      <c r="CT132" s="1197">
        <v>0.15</v>
      </c>
      <c r="CU132" s="1197">
        <v>0.15</v>
      </c>
      <c r="CV132" s="1197">
        <v>0.15</v>
      </c>
      <c r="CW132" s="152"/>
      <c r="CY132" s="1198">
        <v>0.15</v>
      </c>
      <c r="CZ132" s="1197">
        <v>0.15</v>
      </c>
      <c r="DA132" s="1197">
        <v>0.15</v>
      </c>
      <c r="DB132" s="1197">
        <v>0.15</v>
      </c>
      <c r="DC132" s="152"/>
      <c r="DE132" s="1198">
        <v>0.15</v>
      </c>
      <c r="DF132" s="1197">
        <v>0.15</v>
      </c>
      <c r="DG132" s="1197">
        <v>0.15</v>
      </c>
      <c r="DH132" s="1197">
        <v>0.15</v>
      </c>
      <c r="DI132" s="152"/>
    </row>
    <row r="133" spans="1:113" ht="11.25" hidden="1" customHeight="1" outlineLevel="1">
      <c r="A133" s="173" t="s">
        <v>127</v>
      </c>
      <c r="B133" s="174"/>
      <c r="C133" s="175"/>
      <c r="D133" s="174"/>
      <c r="E133" s="175"/>
      <c r="F133" s="174"/>
      <c r="G133" s="175"/>
      <c r="H133" s="174"/>
      <c r="I133" s="175"/>
      <c r="J133" s="174"/>
      <c r="K133" s="175"/>
      <c r="L133" s="174"/>
      <c r="M133" s="175"/>
      <c r="N133" s="174"/>
      <c r="O133" s="177"/>
      <c r="P133" s="178"/>
      <c r="Q133" s="177"/>
      <c r="R133" s="178"/>
      <c r="S133" s="330"/>
      <c r="T133" s="176"/>
      <c r="U133" s="176"/>
      <c r="V133" s="176"/>
      <c r="W133" s="177"/>
      <c r="X133" s="178"/>
      <c r="Y133" s="330"/>
      <c r="Z133" s="176"/>
      <c r="AA133" s="176"/>
      <c r="AB133" s="176"/>
      <c r="AC133" s="177"/>
      <c r="AD133" s="178"/>
      <c r="AE133" s="330"/>
      <c r="AF133" s="176"/>
      <c r="AG133" s="176"/>
      <c r="AH133" s="176"/>
      <c r="AI133" s="177"/>
      <c r="AJ133" s="178"/>
      <c r="AK133" s="330"/>
      <c r="AL133" s="176"/>
      <c r="AM133" s="176"/>
      <c r="AN133" s="176"/>
      <c r="AO133" s="177"/>
      <c r="AP133" s="174"/>
      <c r="AQ133" s="330"/>
      <c r="AR133" s="176"/>
      <c r="AS133" s="176"/>
      <c r="AT133" s="176"/>
      <c r="AU133" s="177"/>
      <c r="AV133" s="174"/>
      <c r="AW133" s="330"/>
      <c r="AX133" s="176"/>
      <c r="AY133" s="176"/>
      <c r="AZ133" s="176"/>
      <c r="BA133" s="111"/>
      <c r="BB133" s="174"/>
      <c r="BC133" s="330"/>
      <c r="BD133" s="176"/>
      <c r="BE133" s="176"/>
      <c r="BF133" s="602"/>
      <c r="BG133" s="179"/>
      <c r="BH133" s="174"/>
      <c r="BI133" s="601"/>
      <c r="BJ133" s="176"/>
      <c r="BK133" s="176"/>
      <c r="BL133" s="1248"/>
      <c r="BM133" s="1246"/>
      <c r="BN133" s="1247"/>
      <c r="BO133" s="1249"/>
      <c r="BP133" s="1248"/>
      <c r="BQ133" s="1248"/>
      <c r="BR133" s="1248"/>
      <c r="BS133" s="1246"/>
      <c r="BT133" s="1247"/>
      <c r="BU133" s="1249"/>
      <c r="BV133" s="1248"/>
      <c r="BW133" s="1248"/>
      <c r="BX133" s="1248"/>
      <c r="BY133" s="1246"/>
      <c r="BZ133" s="1247"/>
      <c r="CA133" s="1249"/>
      <c r="CB133" s="1248"/>
      <c r="CC133" s="1248"/>
      <c r="CD133" s="1248"/>
      <c r="CE133" s="1246"/>
      <c r="CF133" s="1247"/>
      <c r="CG133" s="1249"/>
      <c r="CH133" s="1248"/>
      <c r="CI133" s="1248"/>
      <c r="CJ133" s="1248">
        <f>1-CJ132-CJ131</f>
        <v>9.9999999999999978E-2</v>
      </c>
      <c r="CK133" s="1246"/>
      <c r="CL133" s="1247"/>
      <c r="CM133" s="1249">
        <f>1-CM132-CM131</f>
        <v>9.9999999999999978E-2</v>
      </c>
      <c r="CN133" s="1248">
        <f>1-CN132-CN131</f>
        <v>9.9999999999999978E-2</v>
      </c>
      <c r="CO133" s="1248">
        <f>1-CO132-CO131</f>
        <v>9.9999999999999978E-2</v>
      </c>
      <c r="CP133" s="1248">
        <f>1-CP132-CP131</f>
        <v>9.9999999999999978E-2</v>
      </c>
      <c r="CQ133" s="1246"/>
      <c r="CR133" s="1247"/>
      <c r="CS133" s="1249">
        <f>1-CS132-CS131</f>
        <v>9.9999999999999978E-2</v>
      </c>
      <c r="CT133" s="1248">
        <f>1-CT132-CT131</f>
        <v>9.9999999999999978E-2</v>
      </c>
      <c r="CU133" s="1248">
        <f>1-CU132-CU131</f>
        <v>9.9999999999999978E-2</v>
      </c>
      <c r="CV133" s="1248">
        <f>1-CV132-CV131</f>
        <v>9.9999999999999978E-2</v>
      </c>
      <c r="CW133" s="1246"/>
      <c r="CY133" s="1249">
        <f>1-CY132-CY131</f>
        <v>9.9999999999999978E-2</v>
      </c>
      <c r="CZ133" s="1248">
        <f>1-CZ132-CZ131</f>
        <v>9.9999999999999978E-2</v>
      </c>
      <c r="DA133" s="1248">
        <f>1-DA132-DA131</f>
        <v>9.9999999999999978E-2</v>
      </c>
      <c r="DB133" s="1248">
        <f>1-DB132-DB131</f>
        <v>9.9999999999999978E-2</v>
      </c>
      <c r="DC133" s="1246"/>
      <c r="DE133" s="1249">
        <f>1-DE132-DE131</f>
        <v>9.9999999999999978E-2</v>
      </c>
      <c r="DF133" s="1248">
        <f>1-DF132-DF131</f>
        <v>9.9999999999999978E-2</v>
      </c>
      <c r="DG133" s="1248">
        <f>1-DG132-DG131</f>
        <v>9.9999999999999978E-2</v>
      </c>
      <c r="DH133" s="1248">
        <f>1-DH132-DH131</f>
        <v>9.9999999999999978E-2</v>
      </c>
      <c r="DI133" s="1246"/>
    </row>
    <row r="134" spans="1:113" ht="11.25" customHeight="1" collapsed="1">
      <c r="A134" s="72"/>
      <c r="B134" s="180"/>
      <c r="C134" s="180"/>
      <c r="D134" s="180"/>
      <c r="E134" s="180"/>
      <c r="F134" s="180"/>
      <c r="G134" s="180"/>
      <c r="H134" s="180"/>
      <c r="I134" s="180"/>
      <c r="J134" s="180"/>
      <c r="K134" s="180"/>
      <c r="L134" s="180"/>
      <c r="M134" s="180"/>
      <c r="N134" s="180"/>
      <c r="O134" s="180"/>
      <c r="P134" s="180"/>
      <c r="Q134" s="180"/>
      <c r="R134" s="180"/>
      <c r="S134" s="180"/>
      <c r="T134" s="180"/>
      <c r="U134" s="180"/>
      <c r="V134" s="180"/>
      <c r="W134" s="180"/>
      <c r="X134" s="180"/>
      <c r="Y134" s="180"/>
      <c r="Z134" s="180"/>
      <c r="AA134" s="180"/>
      <c r="AB134" s="180"/>
      <c r="AC134" s="180"/>
      <c r="AD134" s="180"/>
      <c r="AE134" s="180"/>
      <c r="AF134" s="180"/>
      <c r="AG134" s="180"/>
      <c r="AH134" s="180"/>
      <c r="AI134" s="180"/>
      <c r="AJ134" s="180"/>
      <c r="AK134" s="180"/>
      <c r="AL134" s="180"/>
      <c r="AM134" s="180"/>
      <c r="AN134" s="180"/>
      <c r="AO134" s="180"/>
      <c r="AP134" s="180"/>
      <c r="AQ134" s="180"/>
      <c r="AR134" s="180"/>
      <c r="AS134" s="180"/>
      <c r="AT134" s="180"/>
      <c r="AU134" s="180"/>
      <c r="AV134" s="180"/>
      <c r="AW134" s="180"/>
      <c r="AX134" s="180"/>
      <c r="AY134" s="180"/>
      <c r="AZ134" s="180"/>
      <c r="BA134" s="180"/>
      <c r="BB134" s="180"/>
      <c r="BC134" s="180"/>
      <c r="BD134" s="180"/>
      <c r="BE134" s="180"/>
      <c r="BF134" s="180"/>
      <c r="BG134" s="180"/>
      <c r="BH134" s="180"/>
      <c r="BI134" s="180"/>
      <c r="BJ134" s="180"/>
      <c r="BK134" s="180"/>
      <c r="BL134" s="180"/>
      <c r="BM134" s="180"/>
      <c r="BN134" s="180"/>
      <c r="BO134" s="180"/>
      <c r="BP134" s="180"/>
      <c r="BQ134" s="180"/>
      <c r="BR134" s="180"/>
      <c r="BS134" s="90"/>
      <c r="BT134" s="180"/>
      <c r="BU134" s="180"/>
      <c r="BV134" s="180"/>
      <c r="BW134" s="180"/>
      <c r="BX134" s="180"/>
      <c r="BY134" s="90"/>
      <c r="BZ134" s="180"/>
      <c r="CA134" s="180"/>
      <c r="CB134" s="180"/>
      <c r="CC134" s="180"/>
      <c r="CD134" s="180"/>
      <c r="CE134" s="90"/>
      <c r="CF134" s="180"/>
      <c r="CG134" s="180"/>
      <c r="CH134" s="180"/>
      <c r="CI134" s="180"/>
      <c r="CJ134" s="180"/>
      <c r="CK134" s="90"/>
      <c r="CL134" s="180"/>
      <c r="CM134" s="180"/>
      <c r="CN134" s="180"/>
      <c r="CO134" s="180"/>
      <c r="CP134" s="180"/>
      <c r="CQ134" s="90"/>
      <c r="CR134" s="180"/>
      <c r="CS134" s="180"/>
      <c r="CT134" s="180"/>
      <c r="CU134" s="180"/>
      <c r="CV134" s="180"/>
      <c r="CW134" s="90"/>
      <c r="CY134" s="180"/>
      <c r="CZ134" s="180"/>
      <c r="DA134" s="180"/>
      <c r="DB134" s="180"/>
      <c r="DC134" s="90"/>
      <c r="DE134" s="180"/>
      <c r="DF134" s="180"/>
      <c r="DG134" s="180"/>
      <c r="DH134" s="180"/>
      <c r="DI134" s="90"/>
    </row>
    <row r="135" spans="1:113" ht="11.25" hidden="1" customHeight="1" outlineLevel="1">
      <c r="A135" s="2349" t="s">
        <v>573</v>
      </c>
      <c r="B135" s="2351"/>
      <c r="C135" s="2352"/>
      <c r="D135" s="2351"/>
      <c r="E135" s="2352"/>
      <c r="F135" s="2351"/>
      <c r="G135" s="2352"/>
      <c r="H135" s="2351"/>
      <c r="I135" s="2352"/>
      <c r="J135" s="2351"/>
      <c r="K135" s="2352"/>
      <c r="L135" s="2351"/>
      <c r="M135" s="2352"/>
      <c r="N135" s="2351"/>
      <c r="O135" s="2352"/>
      <c r="P135" s="2351"/>
      <c r="Q135" s="2352"/>
      <c r="R135" s="2351"/>
      <c r="S135" s="2353"/>
      <c r="T135" s="2351"/>
      <c r="U135" s="2351"/>
      <c r="V135" s="2351"/>
      <c r="W135" s="2352"/>
      <c r="X135" s="2351"/>
      <c r="Y135" s="2353"/>
      <c r="Z135" s="2351"/>
      <c r="AA135" s="2351"/>
      <c r="AB135" s="2351"/>
      <c r="AC135" s="2352"/>
      <c r="AD135" s="2351"/>
      <c r="AE135" s="2353"/>
      <c r="AF135" s="2351"/>
      <c r="AG135" s="2351"/>
      <c r="AH135" s="2351"/>
      <c r="AI135" s="2352"/>
      <c r="AJ135" s="2351"/>
      <c r="AK135" s="2353"/>
      <c r="AL135" s="2351"/>
      <c r="AM135" s="2351"/>
      <c r="AN135" s="2351"/>
      <c r="AO135" s="2352"/>
      <c r="AP135" s="2351"/>
      <c r="AQ135" s="2353"/>
      <c r="AR135" s="2351"/>
      <c r="AS135" s="2351"/>
      <c r="AT135" s="2351"/>
      <c r="AU135" s="2352"/>
      <c r="AV135" s="2351"/>
      <c r="AW135" s="2353"/>
      <c r="AX135" s="2351"/>
      <c r="AY135" s="2351"/>
      <c r="AZ135" s="2351"/>
      <c r="BA135" s="2352"/>
      <c r="BB135" s="2351"/>
      <c r="BC135" s="2353"/>
      <c r="BD135" s="2351"/>
      <c r="BE135" s="2351"/>
      <c r="BF135" s="2351"/>
      <c r="BG135" s="2352"/>
      <c r="BH135" s="2351"/>
      <c r="BI135" s="2353"/>
      <c r="BJ135" s="2351"/>
      <c r="BK135" s="2351"/>
      <c r="BL135" s="2351"/>
      <c r="BM135" s="2352"/>
      <c r="BN135" s="2351"/>
      <c r="BO135" s="2353"/>
      <c r="BP135" s="2351"/>
      <c r="BQ135" s="2351"/>
      <c r="BR135" s="2351"/>
      <c r="BS135" s="2352"/>
      <c r="BT135" s="2351"/>
      <c r="BU135" s="2353"/>
      <c r="BV135" s="2351"/>
      <c r="BW135" s="2351"/>
      <c r="BX135" s="2351"/>
      <c r="BY135" s="2352"/>
      <c r="BZ135" s="2351"/>
      <c r="CA135" s="2353"/>
      <c r="CB135" s="2351"/>
      <c r="CC135" s="2351"/>
      <c r="CD135" s="2351"/>
      <c r="CE135" s="2352"/>
      <c r="CF135" s="2351"/>
      <c r="CG135" s="2353"/>
      <c r="CH135" s="2351"/>
      <c r="CI135" s="2351"/>
      <c r="CJ135" s="2351"/>
      <c r="CK135" s="2352"/>
      <c r="CL135" s="2351"/>
      <c r="CM135" s="2353"/>
      <c r="CN135" s="2351"/>
      <c r="CO135" s="2351"/>
      <c r="CP135" s="2351"/>
      <c r="CQ135" s="2352"/>
      <c r="CR135" s="2351"/>
      <c r="CS135" s="2353"/>
      <c r="CT135" s="2351"/>
      <c r="CU135" s="2351"/>
      <c r="CV135" s="2351"/>
      <c r="CW135" s="2352"/>
      <c r="CX135" s="1959"/>
      <c r="CY135" s="2353"/>
      <c r="CZ135" s="2351"/>
      <c r="DA135" s="2351"/>
      <c r="DB135" s="2351"/>
      <c r="DC135" s="2352"/>
      <c r="DD135" s="1959"/>
      <c r="DE135" s="2353"/>
      <c r="DF135" s="2351"/>
      <c r="DG135" s="2351"/>
      <c r="DH135" s="2351"/>
      <c r="DI135" s="2352"/>
    </row>
    <row r="136" spans="1:113" ht="11.25" hidden="1" customHeight="1" outlineLevel="1">
      <c r="A136" s="2350" t="s">
        <v>574</v>
      </c>
      <c r="B136" s="184"/>
      <c r="C136" s="185"/>
      <c r="D136" s="184"/>
      <c r="E136" s="185">
        <f>E142*E158</f>
        <v>8.7741022948472289E-2</v>
      </c>
      <c r="F136" s="184"/>
      <c r="G136" s="185">
        <f>G142*G158</f>
        <v>6.0925288608146361E-2</v>
      </c>
      <c r="H136" s="184"/>
      <c r="I136" s="185">
        <f>I142*I158</f>
        <v>5.0931746031746196E-2</v>
      </c>
      <c r="J136" s="184"/>
      <c r="K136" s="185">
        <f>K142*K158</f>
        <v>7.2818076668869622E-2</v>
      </c>
      <c r="L136" s="184"/>
      <c r="M136" s="185">
        <f>M142*M158</f>
        <v>2.1707641196013459E-2</v>
      </c>
      <c r="N136" s="184"/>
      <c r="O136" s="185">
        <f>O142*O158</f>
        <v>-4.2609205511580008E-3</v>
      </c>
      <c r="P136" s="184"/>
      <c r="Q136" s="185">
        <f>Q142*Q158</f>
        <v>7.5051361165567598E-2</v>
      </c>
      <c r="R136" s="184"/>
      <c r="S136" s="334">
        <f>S142*S158</f>
        <v>8.5918885089360547E-2</v>
      </c>
      <c r="T136" s="184">
        <f>T142*T158</f>
        <v>9.828420073213287E-2</v>
      </c>
      <c r="U136" s="184">
        <f>U142*U158</f>
        <v>0.11440467790408999</v>
      </c>
      <c r="V136" s="184">
        <f>V142*V158</f>
        <v>0.18490947917273853</v>
      </c>
      <c r="W136" s="185">
        <f>W142*W158</f>
        <v>0.12935470675527444</v>
      </c>
      <c r="X136" s="184"/>
      <c r="Y136" s="334">
        <f>Y142*Y158</f>
        <v>0.29361637479012609</v>
      </c>
      <c r="Z136" s="184">
        <f>Z142*Z158</f>
        <v>0.30862021327786632</v>
      </c>
      <c r="AA136" s="184">
        <f>AA142*AA158</f>
        <v>0.39256559273260694</v>
      </c>
      <c r="AB136" s="184">
        <f>AB142*AB158</f>
        <v>0.83270299617936983</v>
      </c>
      <c r="AC136" s="185">
        <f>AC142*AC158</f>
        <v>0.5378512163182807</v>
      </c>
      <c r="AD136" s="184"/>
      <c r="AE136" s="334">
        <f>AE142*AE158</f>
        <v>0.19060968320382551</v>
      </c>
      <c r="AF136" s="184">
        <f>AF142*AF158</f>
        <v>0.21835573134640876</v>
      </c>
      <c r="AG136" s="184">
        <f>AG142*AG158</f>
        <v>0.11169161455629588</v>
      </c>
      <c r="AH136" s="184">
        <f>AH142*AH158</f>
        <v>0.35665920643350218</v>
      </c>
      <c r="AI136" s="185">
        <f>AI142*AI158</f>
        <v>0.25898983861326941</v>
      </c>
      <c r="AJ136" s="184"/>
      <c r="AK136" s="334">
        <f>AK142*AK158</f>
        <v>0.12152060737527101</v>
      </c>
      <c r="AL136" s="184">
        <f>AL142*AL158</f>
        <v>0.16634310099573249</v>
      </c>
      <c r="AM136" s="184">
        <f>AM142*AM158</f>
        <v>0.22203230376877256</v>
      </c>
      <c r="AN136" s="184">
        <f>AN142*AN158</f>
        <v>0.56299225220411397</v>
      </c>
      <c r="AO136" s="185">
        <f>AO142*AO158</f>
        <v>0.26597722342733154</v>
      </c>
      <c r="AP136" s="184"/>
      <c r="AQ136" s="334">
        <f>AQ142*AQ158</f>
        <v>0.24014392630972958</v>
      </c>
      <c r="AR136" s="184">
        <f>AR142*AR158</f>
        <v>0.34806153846153803</v>
      </c>
      <c r="AS136" s="184">
        <f>AS142*AS158</f>
        <v>0.39439747995418112</v>
      </c>
      <c r="AT136" s="184">
        <f>AT142*AT158</f>
        <v>0.44593080724876416</v>
      </c>
      <c r="AU136" s="185">
        <f>AU142*AU158</f>
        <v>0.38178814047207849</v>
      </c>
      <c r="AV136" s="184"/>
      <c r="AW136" s="334">
        <f>AW142*AW158</f>
        <v>0.18525155436061164</v>
      </c>
      <c r="AX136" s="184">
        <f>AX142*AX158</f>
        <v>0.22822904861318272</v>
      </c>
      <c r="AY136" s="184">
        <f>AY142*AY158</f>
        <v>0.20529899396378262</v>
      </c>
      <c r="AZ136" s="184">
        <f>AZ142*AZ158</f>
        <v>0.25686237250244437</v>
      </c>
      <c r="BA136" s="185">
        <f>BA142*BA158</f>
        <v>0.2521342631490503</v>
      </c>
      <c r="BB136" s="184"/>
      <c r="BC136" s="334">
        <f>BC142*BC158</f>
        <v>0.18804824948514248</v>
      </c>
      <c r="BD136" s="184">
        <f>BD142*BD158</f>
        <v>0.12924926529521788</v>
      </c>
      <c r="BE136" s="184">
        <f>BE142*BE158</f>
        <v>0.28175131542509013</v>
      </c>
      <c r="BF136" s="184">
        <f>BF142*BF158</f>
        <v>0.27076027830487071</v>
      </c>
      <c r="BG136" s="185">
        <f>BG142*BG158</f>
        <v>0.23613857016769646</v>
      </c>
      <c r="BH136" s="184"/>
      <c r="BI136" s="334">
        <f>BI142*BI158</f>
        <v>9.3976911584952014E-2</v>
      </c>
      <c r="BJ136" s="184">
        <f>BJ142*BJ158</f>
        <v>0.19323147239704222</v>
      </c>
      <c r="BK136" s="184">
        <f>BK142*BK158</f>
        <v>0.18736709920955044</v>
      </c>
      <c r="BL136" s="184">
        <f>BL142*BL158</f>
        <v>0.27987983590915005</v>
      </c>
      <c r="BM136" s="185">
        <f>BM142*BM158</f>
        <v>0.20368726111926796</v>
      </c>
      <c r="BN136" s="184"/>
      <c r="BO136" s="334">
        <f>BO142*BO158</f>
        <v>0.12454622832990232</v>
      </c>
      <c r="BP136" s="184">
        <f>BP142*BP158</f>
        <v>0.19196938082648629</v>
      </c>
      <c r="BQ136" s="184">
        <f>BQ142*BQ158</f>
        <v>0.13378907322578618</v>
      </c>
      <c r="BR136" s="184">
        <f>BR142*BR158</f>
        <v>0.28066063560758192</v>
      </c>
      <c r="BS136" s="185">
        <f>BS142*BS158</f>
        <v>0.18015464071766721</v>
      </c>
      <c r="BT136" s="184"/>
      <c r="BU136" s="334">
        <f>BU142*BU158</f>
        <v>0.16558448587719635</v>
      </c>
      <c r="BV136" s="184">
        <f>BV142*BV158</f>
        <v>0.26362126268976316</v>
      </c>
      <c r="BW136" s="184">
        <f>BW142*BW158</f>
        <v>0.22440561871866455</v>
      </c>
      <c r="BX136" s="184">
        <f>BX142*BX158</f>
        <v>0.4463988096031738</v>
      </c>
      <c r="BY136" s="185">
        <f>BY142*BY158</f>
        <v>0.26693947979642568</v>
      </c>
      <c r="BZ136" s="184"/>
      <c r="CA136" s="334">
        <f>CA142*CA158</f>
        <v>0.29291349529072414</v>
      </c>
      <c r="CB136" s="184">
        <f>CB142*CB158</f>
        <v>0.23823402691537654</v>
      </c>
      <c r="CC136" s="184">
        <f>CC142*CC158</f>
        <v>0.37044029536695294</v>
      </c>
      <c r="CD136" s="184">
        <f>CD142*CD158</f>
        <v>0.4613166746756362</v>
      </c>
      <c r="CE136" s="185">
        <f>CE142*CE158</f>
        <v>0.37760406333082019</v>
      </c>
      <c r="CF136" s="184"/>
      <c r="CG136" s="334">
        <f>CG142*CG158</f>
        <v>0.2260821615660325</v>
      </c>
      <c r="CH136" s="184">
        <f>CH142*CH158</f>
        <v>0.24054163354669567</v>
      </c>
      <c r="CI136" s="184">
        <f>CI142*CI158</f>
        <v>0.26424041792379011</v>
      </c>
      <c r="CJ136" s="184">
        <f>CJ142*CJ158</f>
        <v>0.42302236084690636</v>
      </c>
      <c r="CK136" s="185">
        <f>CK142*CK158</f>
        <v>0.34246752091973265</v>
      </c>
      <c r="CL136" s="184"/>
      <c r="CM136" s="334">
        <f>CM142*CM158</f>
        <v>0.23017658478540184</v>
      </c>
      <c r="CN136" s="184">
        <f>CN142*CN158</f>
        <v>0.23612595614598883</v>
      </c>
      <c r="CO136" s="184">
        <f>CO142*CO158</f>
        <v>0.30560145539703976</v>
      </c>
      <c r="CP136" s="184">
        <f>CP142*CP158</f>
        <v>0.47391898132901944</v>
      </c>
      <c r="CQ136" s="185">
        <f>CQ142*CQ158</f>
        <v>0.32572494959520876</v>
      </c>
      <c r="CR136" s="184"/>
      <c r="CS136" s="334">
        <f>CS142*CS158</f>
        <v>0.29567443698367901</v>
      </c>
      <c r="CT136" s="184">
        <f>CT142*CT158</f>
        <v>0.35108748637407289</v>
      </c>
      <c r="CU136" s="184">
        <f>CU142*CU158</f>
        <v>0.32709807085018433</v>
      </c>
      <c r="CV136" s="184">
        <f>CV142*CV158</f>
        <v>0.41128663452360947</v>
      </c>
      <c r="CW136" s="185">
        <f>CW142*CW158</f>
        <v>0.33160461377909534</v>
      </c>
      <c r="CY136" s="334">
        <f>CY142*CY158</f>
        <v>0.30205974628775345</v>
      </c>
      <c r="CZ136" s="184">
        <f>CZ142*CZ158</f>
        <v>0.35828581858073089</v>
      </c>
      <c r="DA136" s="184">
        <f>DA142*DA158</f>
        <v>0.34601762192902114</v>
      </c>
      <c r="DB136" s="184">
        <f>DB142*DB158</f>
        <v>0.42042703398256048</v>
      </c>
      <c r="DC136" s="185">
        <f>DC142*DC158</f>
        <v>0.33705185061688836</v>
      </c>
      <c r="DE136" s="334">
        <f>DE142*DE158</f>
        <v>0.30646044480182749</v>
      </c>
      <c r="DF136" s="184">
        <f>DF142*DF158</f>
        <v>0.38578713790896746</v>
      </c>
      <c r="DG136" s="184">
        <f>DG142*DG158</f>
        <v>0.36155839303152099</v>
      </c>
      <c r="DH136" s="184">
        <f>DH142*DH158</f>
        <v>0.44971951053807663</v>
      </c>
      <c r="DI136" s="185">
        <f>DI142*DI158</f>
        <v>0.3442826738682106</v>
      </c>
    </row>
    <row r="137" spans="1:113" ht="11.25" hidden="1" customHeight="1" outlineLevel="1">
      <c r="A137" s="77" t="s">
        <v>149</v>
      </c>
      <c r="B137" s="181"/>
      <c r="C137" s="1200">
        <f>IS!C9</f>
        <v>42.206999999999994</v>
      </c>
      <c r="D137" s="1199"/>
      <c r="E137" s="1200">
        <f>IS!E9</f>
        <v>64.69</v>
      </c>
      <c r="F137" s="1199"/>
      <c r="G137" s="1200">
        <f>IS!G9</f>
        <v>76.602000000000004</v>
      </c>
      <c r="H137" s="1199"/>
      <c r="I137" s="1200">
        <f>IS!I9</f>
        <v>92.691000000000003</v>
      </c>
      <c r="J137" s="1199"/>
      <c r="K137" s="1200">
        <f>IS!K9</f>
        <v>220.65799999999999</v>
      </c>
      <c r="L137" s="181"/>
      <c r="M137" s="1200">
        <f>IS!M9</f>
        <v>260.67900000000003</v>
      </c>
      <c r="N137" s="1199"/>
      <c r="O137" s="1200">
        <f>IS!O9</f>
        <v>284.416</v>
      </c>
      <c r="P137" s="1199"/>
      <c r="Q137" s="1200">
        <f>IS!Q9</f>
        <v>372.25299999999999</v>
      </c>
      <c r="R137" s="1199"/>
      <c r="S137" s="1204">
        <f>IS!S9</f>
        <v>94.855999999999995</v>
      </c>
      <c r="T137" s="1199">
        <f>IS!T9</f>
        <v>100.48299999999999</v>
      </c>
      <c r="U137" s="1199">
        <f>IS!U9</f>
        <v>104.87</v>
      </c>
      <c r="V137" s="1199">
        <f>IS!V9</f>
        <v>135.62500000000003</v>
      </c>
      <c r="W137" s="1200">
        <f>IS!W9</f>
        <v>435.834</v>
      </c>
      <c r="X137" s="1199"/>
      <c r="Y137" s="1204">
        <f>IS!Y9</f>
        <v>207.536</v>
      </c>
      <c r="Z137" s="1199">
        <f>IS!Z9</f>
        <v>238.34199999999998</v>
      </c>
      <c r="AA137" s="1199">
        <f>IS!AA9</f>
        <v>241.76</v>
      </c>
      <c r="AB137" s="1199">
        <f>IS!AB9</f>
        <v>344.76200000000006</v>
      </c>
      <c r="AC137" s="1200">
        <f>IS!AC9</f>
        <v>1032.4000000000001</v>
      </c>
      <c r="AD137" s="1199"/>
      <c r="AE137" s="1204">
        <f>IS!AE9</f>
        <v>238.3</v>
      </c>
      <c r="AF137" s="1199">
        <f>IS!AF9</f>
        <v>311.5</v>
      </c>
      <c r="AG137" s="1199">
        <f>IS!AG9</f>
        <v>242.10000000000002</v>
      </c>
      <c r="AH137" s="1199">
        <f>IS!AH9</f>
        <v>315.19999999999993</v>
      </c>
      <c r="AI137" s="1200">
        <f>IS!AI9</f>
        <v>1107.0999999999999</v>
      </c>
      <c r="AJ137" s="1199"/>
      <c r="AK137" s="1204">
        <f>IS!AK9</f>
        <v>230.5</v>
      </c>
      <c r="AL137" s="1199">
        <f>IS!AL9</f>
        <v>252.5</v>
      </c>
      <c r="AM137" s="1199">
        <f>IS!AM9</f>
        <v>265.09999999999997</v>
      </c>
      <c r="AN137" s="1199">
        <f>IS!AN9</f>
        <v>366.40000000000003</v>
      </c>
      <c r="AO137" s="1200">
        <f>IS!AO9</f>
        <v>1114.5</v>
      </c>
      <c r="AP137" s="1199"/>
      <c r="AQ137" s="1204">
        <f>IS!AQ9</f>
        <v>277.7</v>
      </c>
      <c r="AR137" s="1199">
        <f>IS!AR9</f>
        <v>300.89999999999998</v>
      </c>
      <c r="AS137" s="1199">
        <f>IS!AS9</f>
        <v>310.2</v>
      </c>
      <c r="AT137" s="1199">
        <f>IS!AT9</f>
        <v>416.1</v>
      </c>
      <c r="AU137" s="1200">
        <f>IS!AU9</f>
        <v>1304.9000000000001</v>
      </c>
      <c r="AV137" s="1199"/>
      <c r="AW137" s="1204">
        <f>IS!AW9</f>
        <v>357</v>
      </c>
      <c r="AX137" s="1199">
        <f>IS!AX9</f>
        <v>401.20000000000005</v>
      </c>
      <c r="AY137" s="1199">
        <f>IS!AY9</f>
        <v>418.4</v>
      </c>
      <c r="AZ137" s="1199">
        <f>IS!AZ9</f>
        <v>475.09999999999991</v>
      </c>
      <c r="BA137" s="1200">
        <f>IS!BA9</f>
        <v>1651.6999999999998</v>
      </c>
      <c r="BB137" s="181"/>
      <c r="BC137" s="1204">
        <f>IS!BC9</f>
        <v>405.6</v>
      </c>
      <c r="BD137" s="1199">
        <f>IS!BD9</f>
        <v>420.70000000000005</v>
      </c>
      <c r="BE137" s="1199">
        <f>IS!BE9</f>
        <v>447.8</v>
      </c>
      <c r="BF137" s="1199">
        <f>IS!BF9</f>
        <v>517.30000000000007</v>
      </c>
      <c r="BG137" s="1200">
        <f>IS!BG9</f>
        <v>1791.4</v>
      </c>
      <c r="BH137" s="181"/>
      <c r="BI137" s="1204">
        <f>IS!BI9</f>
        <v>393.40000000000003</v>
      </c>
      <c r="BJ137" s="1199">
        <f>IS!BJ9</f>
        <v>454.90000000000003</v>
      </c>
      <c r="BK137" s="1199">
        <f>IS!BK9</f>
        <v>439</v>
      </c>
      <c r="BL137" s="1199">
        <f>IS!BL9</f>
        <v>552.1</v>
      </c>
      <c r="BM137" s="1200">
        <f>IS!BM9</f>
        <v>1839.4</v>
      </c>
      <c r="BN137" s="1199"/>
      <c r="BO137" s="1204">
        <f>IS!BO9</f>
        <v>423.70000000000005</v>
      </c>
      <c r="BP137" s="1199">
        <f>IS!BP9</f>
        <v>457.4</v>
      </c>
      <c r="BQ137" s="1199">
        <f>IS!BQ9</f>
        <v>419.8</v>
      </c>
      <c r="BR137" s="1199">
        <f>IS!BR9</f>
        <v>508.00000000000006</v>
      </c>
      <c r="BS137" s="1200">
        <f>IS!BS9</f>
        <v>1808.9</v>
      </c>
      <c r="BT137" s="1199"/>
      <c r="BU137" s="1204">
        <f>IS!BU9</f>
        <v>353.5</v>
      </c>
      <c r="BV137" s="1199">
        <f>IS!BV9</f>
        <v>396</v>
      </c>
      <c r="BW137" s="1199">
        <f>IS!BW9</f>
        <v>396.1</v>
      </c>
      <c r="BX137" s="1199">
        <f>IS!BX9</f>
        <v>478.19999999999982</v>
      </c>
      <c r="BY137" s="1200">
        <f>IS!BY9</f>
        <v>1623.8</v>
      </c>
      <c r="BZ137" s="1199"/>
      <c r="CA137" s="1204">
        <f>IS!CA9</f>
        <v>375.40000000000003</v>
      </c>
      <c r="CB137" s="1199">
        <f>IS!CB9</f>
        <v>371.70000000000005</v>
      </c>
      <c r="CC137" s="1199">
        <f>IS!CC9</f>
        <v>393.9</v>
      </c>
      <c r="CD137" s="1199">
        <f>IS!CD9</f>
        <v>470.29999999999995</v>
      </c>
      <c r="CE137" s="1200">
        <f>IS!CE9</f>
        <v>1611.3000000000002</v>
      </c>
      <c r="CF137" s="1199"/>
      <c r="CG137" s="1204">
        <f>IS!CG9</f>
        <v>384.9</v>
      </c>
      <c r="CH137" s="1199">
        <f>IS!CH9</f>
        <v>414.9</v>
      </c>
      <c r="CI137" s="1199">
        <f>IS!CI9</f>
        <v>435.59999999999997</v>
      </c>
      <c r="CJ137" s="1199">
        <f>IS!CJ9</f>
        <v>530.50000000000023</v>
      </c>
      <c r="CK137" s="1200">
        <f>IS!CK9</f>
        <v>1765.9</v>
      </c>
      <c r="CL137" s="1199"/>
      <c r="CM137" s="1204">
        <f>IS!CM9</f>
        <v>423.67719212356712</v>
      </c>
      <c r="CN137" s="1199">
        <f>IS!CN9</f>
        <v>434.28431579916509</v>
      </c>
      <c r="CO137" s="1199">
        <f>IS!CO9</f>
        <v>450.99979220185833</v>
      </c>
      <c r="CP137" s="1199">
        <f>IS!CP9</f>
        <v>557.78771178427723</v>
      </c>
      <c r="CQ137" s="1200">
        <f>IS!CQ9</f>
        <v>1866.7490119088677</v>
      </c>
      <c r="CR137" s="1199"/>
      <c r="CS137" s="1204">
        <f>IS!CS9</f>
        <v>431.04260438906022</v>
      </c>
      <c r="CT137" s="1199">
        <f>IS!CT9</f>
        <v>449.4041565537683</v>
      </c>
      <c r="CU137" s="1199">
        <f>IS!CU9</f>
        <v>457.78929117749834</v>
      </c>
      <c r="CV137" s="1199">
        <f>IS!CV9</f>
        <v>584.88759699941534</v>
      </c>
      <c r="CW137" s="1200">
        <f>IS!CW9</f>
        <v>1923.1236491197421</v>
      </c>
      <c r="CY137" s="1204">
        <f>IS!CY9</f>
        <v>442.66440709619286</v>
      </c>
      <c r="CZ137" s="1199">
        <f>IS!CZ9</f>
        <v>453.8948027185067</v>
      </c>
      <c r="DA137" s="1199">
        <f>IS!DA9</f>
        <v>473.67666555024914</v>
      </c>
      <c r="DB137" s="1199">
        <f>IS!DB9</f>
        <v>596.03831619289554</v>
      </c>
      <c r="DC137" s="1200">
        <f>IS!DC9</f>
        <v>1966.2741915578442</v>
      </c>
      <c r="DE137" s="1204">
        <f>IS!DE9</f>
        <v>449.85713597755313</v>
      </c>
      <c r="DF137" s="1199">
        <f>IS!DF9</f>
        <v>468.52225147081901</v>
      </c>
      <c r="DG137" s="1199">
        <f>IS!DG9</f>
        <v>480.76509934093394</v>
      </c>
      <c r="DH137" s="1199">
        <f>IS!DH9</f>
        <v>612.82352954560815</v>
      </c>
      <c r="DI137" s="1200">
        <f>IS!DI9</f>
        <v>2011.9680163349142</v>
      </c>
    </row>
    <row r="138" spans="1:113" ht="11.25" hidden="1" customHeight="1" outlineLevel="1">
      <c r="A138" s="77" t="s">
        <v>10</v>
      </c>
      <c r="B138" s="181"/>
      <c r="C138" s="1200">
        <f>IS!C20</f>
        <v>-0.16100000000000492</v>
      </c>
      <c r="D138" s="1199"/>
      <c r="E138" s="1200">
        <f>IS!E20</f>
        <v>3.1780000000000044</v>
      </c>
      <c r="F138" s="1199"/>
      <c r="G138" s="1200">
        <f>IS!G20</f>
        <v>2.1189999999999998</v>
      </c>
      <c r="H138" s="1199"/>
      <c r="I138" s="1200">
        <f>IS!I20</f>
        <v>2.9170000000000087</v>
      </c>
      <c r="J138" s="1199"/>
      <c r="K138" s="1200">
        <f>IS!K20</f>
        <v>8.3149999999999835</v>
      </c>
      <c r="L138" s="181"/>
      <c r="M138" s="1200">
        <f>IS!M20</f>
        <v>3.2670000000000243</v>
      </c>
      <c r="N138" s="1200"/>
      <c r="O138" s="1200">
        <f>IS!O20</f>
        <v>-1.117999999999995</v>
      </c>
      <c r="P138" s="1203"/>
      <c r="Q138" s="1200">
        <f>IS!Q20</f>
        <v>22.421999999999997</v>
      </c>
      <c r="R138" s="1203"/>
      <c r="S138" s="1204">
        <f>IS!S20</f>
        <v>6.0419999999999945</v>
      </c>
      <c r="T138" s="1206">
        <f>IS!T20</f>
        <v>6.5659999999999883</v>
      </c>
      <c r="U138" s="1206">
        <f>IS!U20</f>
        <v>7.9450000000000074</v>
      </c>
      <c r="V138" s="1206">
        <f>IS!V20</f>
        <v>15.83300000000002</v>
      </c>
      <c r="W138" s="1200">
        <f>IS!W20</f>
        <v>36.385999999999967</v>
      </c>
      <c r="X138" s="1203"/>
      <c r="Y138" s="1204">
        <f>IS!Y20</f>
        <v>20.103000000000009</v>
      </c>
      <c r="Z138" s="1206">
        <f>IS!Z20</f>
        <v>22.189999999999984</v>
      </c>
      <c r="AA138" s="1206">
        <f>IS!AA20</f>
        <v>31.059999999999974</v>
      </c>
      <c r="AB138" s="1206">
        <f>IS!AB20</f>
        <v>73.947000000000088</v>
      </c>
      <c r="AC138" s="1200">
        <f>IS!AC20</f>
        <v>147.30000000000007</v>
      </c>
      <c r="AD138" s="1203"/>
      <c r="AE138" s="1204">
        <f>IS!AE20</f>
        <v>22.299999999999997</v>
      </c>
      <c r="AF138" s="1206">
        <f>IS!AF20</f>
        <v>29.900000000000006</v>
      </c>
      <c r="AG138" s="1206">
        <f>IS!AG20</f>
        <v>16.400000000000006</v>
      </c>
      <c r="AH138" s="1206">
        <f>IS!AH20</f>
        <v>52.599999999999909</v>
      </c>
      <c r="AI138" s="1200">
        <f>IS!AI20</f>
        <v>121.19999999999987</v>
      </c>
      <c r="AJ138" s="1199"/>
      <c r="AK138" s="1204">
        <f>IS!AK20</f>
        <v>15.09999999999998</v>
      </c>
      <c r="AL138" s="1206">
        <f>IS!AL20</f>
        <v>19.699999999999989</v>
      </c>
      <c r="AM138" s="1206">
        <f>IS!AM20</f>
        <v>26.399999999999949</v>
      </c>
      <c r="AN138" s="1206">
        <f>IS!AN20</f>
        <v>70.999999999999972</v>
      </c>
      <c r="AO138" s="1200">
        <f>IS!AO20</f>
        <v>132.19999999999982</v>
      </c>
      <c r="AP138" s="1199"/>
      <c r="AQ138" s="1204">
        <f>IS!AQ20</f>
        <v>29.500000000000014</v>
      </c>
      <c r="AR138" s="1206">
        <f>IS!AR20</f>
        <v>42.399999999999963</v>
      </c>
      <c r="AS138" s="1206">
        <f>IS!AS20</f>
        <v>48.7</v>
      </c>
      <c r="AT138" s="1206">
        <f>IS!AT20</f>
        <v>66.999999999999943</v>
      </c>
      <c r="AU138" s="1200">
        <f>IS!AU20</f>
        <v>187.60000000000008</v>
      </c>
      <c r="AV138" s="1199"/>
      <c r="AW138" s="1204">
        <f>IS!AW20</f>
        <v>37.599999999999994</v>
      </c>
      <c r="AX138" s="1206">
        <f>IS!AX20</f>
        <v>52.200000000000102</v>
      </c>
      <c r="AY138" s="1206">
        <f>IS!AY20</f>
        <v>52.199999999999989</v>
      </c>
      <c r="AZ138" s="1206">
        <f>IS!AZ20</f>
        <v>62.699999999999818</v>
      </c>
      <c r="BA138" s="1200">
        <f>IS!BA20</f>
        <v>204.69999999999982</v>
      </c>
      <c r="BB138" s="181"/>
      <c r="BC138" s="1204">
        <f>IS!BC20</f>
        <v>43.599999999999966</v>
      </c>
      <c r="BD138" s="1206">
        <f>IS!BD20</f>
        <v>33.000000000000028</v>
      </c>
      <c r="BE138" s="1206">
        <f>IS!BE20</f>
        <v>69.400000000000006</v>
      </c>
      <c r="BF138" s="1206">
        <f>IS!BF20</f>
        <v>73.000000000000114</v>
      </c>
      <c r="BG138" s="1200">
        <f>IS!BG20</f>
        <v>219.00000000000011</v>
      </c>
      <c r="BH138" s="181"/>
      <c r="BI138" s="1204">
        <f>IS!BI20</f>
        <v>23.600000000000051</v>
      </c>
      <c r="BJ138" s="1206">
        <f>IS!BJ20</f>
        <v>53.299999999999983</v>
      </c>
      <c r="BK138" s="1206">
        <f>IS!BK20</f>
        <v>47.299999999999955</v>
      </c>
      <c r="BL138" s="1206">
        <f>IS!BL20</f>
        <v>81.300000000000097</v>
      </c>
      <c r="BM138" s="1200">
        <f>IS!BM20</f>
        <v>205.5</v>
      </c>
      <c r="BN138" s="1199"/>
      <c r="BO138" s="1204">
        <f>IS!BO20</f>
        <v>32.100000000000051</v>
      </c>
      <c r="BP138" s="1206">
        <f>IS!BP20</f>
        <v>52.69999999999996</v>
      </c>
      <c r="BQ138" s="1206">
        <f>IS!BQ20</f>
        <v>35.899999999999977</v>
      </c>
      <c r="BR138" s="1206">
        <f>IS!BR20</f>
        <v>63.700000000000102</v>
      </c>
      <c r="BS138" s="1200">
        <f>IS!BS20</f>
        <v>184.40000000000009</v>
      </c>
      <c r="BT138" s="1199"/>
      <c r="BU138" s="1204">
        <f>IS!BU20</f>
        <v>35.800000000000011</v>
      </c>
      <c r="BV138" s="1206">
        <f>IS!BV20</f>
        <v>42.899999999999977</v>
      </c>
      <c r="BW138" s="1206">
        <f>IS!BW20</f>
        <v>52.800000000000011</v>
      </c>
      <c r="BX138" s="1206">
        <f>IS!BX20</f>
        <v>83.699999999999903</v>
      </c>
      <c r="BY138" s="1200">
        <f>IS!BY20</f>
        <v>215.20000000000005</v>
      </c>
      <c r="BZ138" s="1199"/>
      <c r="CA138" s="1204">
        <f>IS!CA20</f>
        <v>47.30000000000004</v>
      </c>
      <c r="CB138" s="1206">
        <f>IS!CB20</f>
        <v>40.000000000000057</v>
      </c>
      <c r="CC138" s="1206">
        <f>IS!CC20</f>
        <v>58.599999999999966</v>
      </c>
      <c r="CD138" s="1206">
        <f>IS!CD20</f>
        <v>91.999999999999943</v>
      </c>
      <c r="CE138" s="1200">
        <f>IS!CE20</f>
        <v>237.90000000000009</v>
      </c>
      <c r="CF138" s="1199"/>
      <c r="CG138" s="1204">
        <f>IS!CG20</f>
        <v>49.199999999999989</v>
      </c>
      <c r="CH138" s="1206">
        <f>IS!CH20</f>
        <v>51.699999999999989</v>
      </c>
      <c r="CI138" s="1206">
        <f>IS!CI20</f>
        <v>64.399999999999949</v>
      </c>
      <c r="CJ138" s="1206">
        <f>IS!CJ20</f>
        <v>110.80000000000021</v>
      </c>
      <c r="CK138" s="1200">
        <f>IS!CK20</f>
        <v>276.10000000000002</v>
      </c>
      <c r="CL138" s="1199"/>
      <c r="CM138" s="1204">
        <f>IS!CM20</f>
        <v>54.467452513052251</v>
      </c>
      <c r="CN138" s="1206">
        <f>IS!CN20</f>
        <v>55.931235580284778</v>
      </c>
      <c r="CO138" s="1206">
        <f>IS!CO20</f>
        <v>78.08196218073823</v>
      </c>
      <c r="CP138" s="1206">
        <f>IS!CP20</f>
        <v>119.82887201610956</v>
      </c>
      <c r="CQ138" s="1200">
        <f>IS!CQ20</f>
        <v>308.30952229018487</v>
      </c>
      <c r="CR138" s="1199"/>
      <c r="CS138" s="1204">
        <f>IS!CS20</f>
        <v>75.31183920758707</v>
      </c>
      <c r="CT138" s="1206">
        <f>IS!CT20</f>
        <v>78.690364805893353</v>
      </c>
      <c r="CU138" s="1206">
        <f>IS!CU20</f>
        <v>80.23322957665971</v>
      </c>
      <c r="CV138" s="1206">
        <f>IS!CV20</f>
        <v>103.61931784789238</v>
      </c>
      <c r="CW138" s="1200">
        <f>IS!CW20</f>
        <v>337.85475143803228</v>
      </c>
      <c r="CY138" s="1204">
        <f>IS!CY20</f>
        <v>82.319559383757593</v>
      </c>
      <c r="CZ138" s="1206">
        <f>IS!CZ20</f>
        <v>84.50948653010883</v>
      </c>
      <c r="DA138" s="1206">
        <f>IS!DA20</f>
        <v>88.366949782298576</v>
      </c>
      <c r="DB138" s="1206">
        <f>IS!DB20</f>
        <v>112.22747165761467</v>
      </c>
      <c r="DC138" s="1200">
        <f>IS!DC20</f>
        <v>367.42346735377964</v>
      </c>
      <c r="DE138" s="1204">
        <f>IS!DE20</f>
        <v>89.120427147353524</v>
      </c>
      <c r="DF138" s="1206">
        <f>IS!DF20</f>
        <v>92.984106054459573</v>
      </c>
      <c r="DG138" s="1206">
        <f>IS!DG20</f>
        <v>95.518375563573329</v>
      </c>
      <c r="DH138" s="1206">
        <f>IS!DH20</f>
        <v>122.8544706159409</v>
      </c>
      <c r="DI138" s="1200">
        <f>IS!DI20</f>
        <v>400.47737938132718</v>
      </c>
    </row>
    <row r="139" spans="1:113" ht="11.25" hidden="1" customHeight="1" outlineLevel="1">
      <c r="A139" s="496" t="s">
        <v>150</v>
      </c>
      <c r="B139" s="480"/>
      <c r="C139" s="1201">
        <f>IS!C115</f>
        <v>0.34</v>
      </c>
      <c r="D139" s="1202"/>
      <c r="E139" s="1201">
        <f>IS!E115</f>
        <v>0.251</v>
      </c>
      <c r="F139" s="1202"/>
      <c r="G139" s="1201">
        <f>IS!G115</f>
        <v>0.34</v>
      </c>
      <c r="H139" s="1202"/>
      <c r="I139" s="1201">
        <f>IS!I115</f>
        <v>0.27400000000000002</v>
      </c>
      <c r="J139" s="1202"/>
      <c r="K139" s="1201">
        <f>IS!K115</f>
        <v>0.36400000000000005</v>
      </c>
      <c r="L139" s="480"/>
      <c r="M139" s="1201">
        <f>IS!M115</f>
        <v>0.19200000000000006</v>
      </c>
      <c r="N139" s="1202"/>
      <c r="O139" s="1201">
        <f>IS!O115</f>
        <v>0.35</v>
      </c>
      <c r="P139" s="1202"/>
      <c r="Q139" s="1201">
        <f>IS!Q115</f>
        <v>0.39900000000000002</v>
      </c>
      <c r="R139" s="1202"/>
      <c r="S139" s="1205">
        <f>IS!S115</f>
        <v>0.44900000000000007</v>
      </c>
      <c r="T139" s="1202">
        <f>IS!T115</f>
        <v>0.44900000000000007</v>
      </c>
      <c r="U139" s="1202">
        <f>IS!U115</f>
        <v>0.44900000000000007</v>
      </c>
      <c r="V139" s="1202">
        <f>IS!V115</f>
        <v>0.44900000000000007</v>
      </c>
      <c r="W139" s="1201">
        <f>IS!W115</f>
        <v>0.44900000000000007</v>
      </c>
      <c r="X139" s="1202"/>
      <c r="Y139" s="1205">
        <f>IS!Y115</f>
        <v>0.32799999999999996</v>
      </c>
      <c r="Z139" s="1202">
        <f>IS!Z115</f>
        <v>0.32799999999999996</v>
      </c>
      <c r="AA139" s="1202">
        <f>IS!AA115</f>
        <v>0.32799999999999996</v>
      </c>
      <c r="AB139" s="1202">
        <f>IS!AB115</f>
        <v>0.32799999999999996</v>
      </c>
      <c r="AC139" s="1201">
        <f>IS!AC115</f>
        <v>0.32799999999999996</v>
      </c>
      <c r="AD139" s="1202"/>
      <c r="AE139" s="1205">
        <f>IS!AE115</f>
        <v>0.28499999999999998</v>
      </c>
      <c r="AF139" s="1202">
        <f>IS!AF115</f>
        <v>0.28499999999999998</v>
      </c>
      <c r="AG139" s="1202">
        <f>IS!AG115</f>
        <v>0.28499999999999998</v>
      </c>
      <c r="AH139" s="1202">
        <f>IS!AH115</f>
        <v>0.28499999999999998</v>
      </c>
      <c r="AI139" s="1201">
        <f>IS!AI115</f>
        <v>0.28499999999999998</v>
      </c>
      <c r="AJ139" s="1202"/>
      <c r="AK139" s="1205">
        <f>IS!AK115</f>
        <v>0.25800000000000001</v>
      </c>
      <c r="AL139" s="1202">
        <f>IS!AL115</f>
        <v>0.25800000000000001</v>
      </c>
      <c r="AM139" s="1202">
        <f>IS!AM115</f>
        <v>0.25800000000000001</v>
      </c>
      <c r="AN139" s="1202">
        <f>IS!AN115</f>
        <v>0.25800000000000001</v>
      </c>
      <c r="AO139" s="1201">
        <f>IS!AO115</f>
        <v>0.25800000000000001</v>
      </c>
      <c r="AP139" s="1202"/>
      <c r="AQ139" s="1205">
        <f>IS!AQ115</f>
        <v>0.29299999999999998</v>
      </c>
      <c r="AR139" s="1202">
        <f>IS!AR115</f>
        <v>0.29299999999999998</v>
      </c>
      <c r="AS139" s="1202">
        <f>IS!AS115</f>
        <v>0.29299999999999998</v>
      </c>
      <c r="AT139" s="1202">
        <f>IS!AT115</f>
        <v>0.29299999999999998</v>
      </c>
      <c r="AU139" s="1201">
        <f>IS!AU115</f>
        <v>0.29299999999999998</v>
      </c>
      <c r="AV139" s="1202"/>
      <c r="AW139" s="1205">
        <f>IS!AW115</f>
        <v>0.26699999999999996</v>
      </c>
      <c r="AX139" s="1202">
        <f>IS!AX115</f>
        <v>0.26699999999999996</v>
      </c>
      <c r="AY139" s="1202">
        <f>IS!AY115</f>
        <v>0.26699999999999996</v>
      </c>
      <c r="AZ139" s="1202">
        <f>IS!AZ115</f>
        <v>0.26699999999999996</v>
      </c>
      <c r="BA139" s="1201">
        <f>IS!BA115</f>
        <v>0.26699999999999996</v>
      </c>
      <c r="BB139" s="480"/>
      <c r="BC139" s="1205">
        <f>IS!BC115</f>
        <v>0.26699999999999996</v>
      </c>
      <c r="BD139" s="1202">
        <f>IS!BD115</f>
        <v>0.26699999999999996</v>
      </c>
      <c r="BE139" s="1202">
        <f>IS!BE115</f>
        <v>0.26699999999999996</v>
      </c>
      <c r="BF139" s="1202">
        <f>IS!BF115</f>
        <v>0.26699999999999996</v>
      </c>
      <c r="BG139" s="1201">
        <f>IS!BG115</f>
        <v>0.26699999999999996</v>
      </c>
      <c r="BH139" s="480"/>
      <c r="BI139" s="1205">
        <f>IS!BI115</f>
        <v>0.26699999999999996</v>
      </c>
      <c r="BJ139" s="1202">
        <f>IS!BJ115</f>
        <v>0.31136363636363651</v>
      </c>
      <c r="BK139" s="1202">
        <f>IS!BK115</f>
        <v>0.1995305164319251</v>
      </c>
      <c r="BL139" s="1202">
        <f>IS!BL115</f>
        <v>0.28609986504723317</v>
      </c>
      <c r="BM139" s="1201">
        <f>IS!BM115</f>
        <v>0.27019498607242337</v>
      </c>
      <c r="BN139" s="1202"/>
      <c r="BO139" s="1205">
        <f>IS!BO115</f>
        <v>0.25650557620817793</v>
      </c>
      <c r="BP139" s="1202">
        <f>IS!BP115</f>
        <v>0.29960317460317487</v>
      </c>
      <c r="BQ139" s="1202">
        <f>IS!BQ115</f>
        <v>0.27002967359050467</v>
      </c>
      <c r="BR139" s="1202">
        <f>IS!BR115</f>
        <v>0.20031545741324883</v>
      </c>
      <c r="BS139" s="1201">
        <f>IS!BS115</f>
        <v>0.25114678899082554</v>
      </c>
      <c r="BT139" s="1202"/>
      <c r="BU139" s="1205">
        <f>IS!BU115</f>
        <v>0.27244582043343646</v>
      </c>
      <c r="BV139" s="1202">
        <f>IS!BV115</f>
        <v>0.10298102981029816</v>
      </c>
      <c r="BW139" s="1202">
        <f>IS!BW115</f>
        <v>0.32157676348547709</v>
      </c>
      <c r="BX139" s="1202">
        <f>IS!BX115</f>
        <v>0.19053549190535513</v>
      </c>
      <c r="BY139" s="1201">
        <f>IS!BY115</f>
        <v>0.21952453211937276</v>
      </c>
      <c r="BZ139" s="1202"/>
      <c r="CA139" s="1205">
        <f>IS!CA115</f>
        <v>0.17745803357314133</v>
      </c>
      <c r="CB139" s="1202">
        <f>IS!CB115</f>
        <v>0.12032085561497308</v>
      </c>
      <c r="CC139" s="1202">
        <f>IS!CC115</f>
        <v>6.2836624775583522E-2</v>
      </c>
      <c r="CD139" s="1202">
        <f>IS!CD115</f>
        <v>0.21739130434782622</v>
      </c>
      <c r="CE139" s="1201">
        <f>IS!CE115</f>
        <v>0.15670013094718457</v>
      </c>
      <c r="CF139" s="1202"/>
      <c r="CG139" s="1205">
        <f>IS!CG115</f>
        <v>0.30555555555555564</v>
      </c>
      <c r="CH139" s="1202">
        <f>IS!CH115</f>
        <v>0.24173553719008267</v>
      </c>
      <c r="CI139" s="1202">
        <f>IS!CI115</f>
        <v>0.22697368421052652</v>
      </c>
      <c r="CJ139" s="1202">
        <f>IS!CJ115</f>
        <v>0.2448210922787189</v>
      </c>
      <c r="CK139" s="1201">
        <f>IS!CK115</f>
        <v>0.25019334880123745</v>
      </c>
      <c r="CL139" s="1202"/>
      <c r="CM139" s="1205">
        <f>IS!CM115</f>
        <v>0.25</v>
      </c>
      <c r="CN139" s="1202">
        <f>IS!CN115</f>
        <v>0.25</v>
      </c>
      <c r="CO139" s="1202">
        <f>IS!CO115</f>
        <v>0.25</v>
      </c>
      <c r="CP139" s="1202">
        <f>IS!CP115</f>
        <v>0.25</v>
      </c>
      <c r="CQ139" s="1201">
        <f>IS!CQ115</f>
        <v>0.24999999999999994</v>
      </c>
      <c r="CR139" s="1202"/>
      <c r="CS139" s="1205">
        <f>IS!CS115</f>
        <v>0.25</v>
      </c>
      <c r="CT139" s="1202">
        <f>IS!CT115</f>
        <v>0.25</v>
      </c>
      <c r="CU139" s="1202">
        <f>IS!CU115</f>
        <v>0.25</v>
      </c>
      <c r="CV139" s="1202">
        <f>IS!CV115</f>
        <v>0.25</v>
      </c>
      <c r="CW139" s="1201">
        <f>IS!CW115</f>
        <v>0.25000000000000017</v>
      </c>
      <c r="CY139" s="1205">
        <f>IS!CY115</f>
        <v>0.25</v>
      </c>
      <c r="CZ139" s="1202">
        <f>IS!CZ115</f>
        <v>0.25</v>
      </c>
      <c r="DA139" s="1202">
        <f>IS!DA115</f>
        <v>0.25</v>
      </c>
      <c r="DB139" s="1202">
        <f>IS!DB115</f>
        <v>0.25</v>
      </c>
      <c r="DC139" s="1201">
        <f>IS!DC115</f>
        <v>0.25</v>
      </c>
      <c r="DE139" s="1205">
        <f>IS!DE115</f>
        <v>0.25</v>
      </c>
      <c r="DF139" s="1202">
        <f>IS!DF115</f>
        <v>0.25</v>
      </c>
      <c r="DG139" s="1202">
        <f>IS!DG115</f>
        <v>0.25</v>
      </c>
      <c r="DH139" s="1202">
        <f>IS!DH115</f>
        <v>0.25</v>
      </c>
      <c r="DI139" s="1201">
        <f>IS!DI115</f>
        <v>0.25000000000000011</v>
      </c>
    </row>
    <row r="140" spans="1:113" ht="11.25" hidden="1" customHeight="1" outlineLevel="1">
      <c r="A140" s="77" t="s">
        <v>151</v>
      </c>
      <c r="B140" s="181"/>
      <c r="C140" s="182">
        <f>C138*C139</f>
        <v>-5.4740000000001676E-2</v>
      </c>
      <c r="D140" s="181"/>
      <c r="E140" s="182">
        <f>E138*E139</f>
        <v>0.79767800000000111</v>
      </c>
      <c r="F140" s="181"/>
      <c r="G140" s="182">
        <f>G138*G139</f>
        <v>0.72045999999999999</v>
      </c>
      <c r="H140" s="181"/>
      <c r="I140" s="182">
        <f>I138*I139</f>
        <v>0.79925800000000247</v>
      </c>
      <c r="J140" s="181"/>
      <c r="K140" s="182">
        <f>K138*K139</f>
        <v>3.0266599999999944</v>
      </c>
      <c r="L140" s="181"/>
      <c r="M140" s="182">
        <f>M138*M139</f>
        <v>0.62726400000000482</v>
      </c>
      <c r="N140" s="181"/>
      <c r="O140" s="182">
        <f>O138*O139</f>
        <v>-0.3912999999999982</v>
      </c>
      <c r="P140" s="181"/>
      <c r="Q140" s="182">
        <f>Q138*Q139</f>
        <v>8.9463779999999993</v>
      </c>
      <c r="R140" s="181"/>
      <c r="S140" s="288">
        <f>S138*S139</f>
        <v>2.712857999999998</v>
      </c>
      <c r="T140" s="181">
        <f>T138*T139</f>
        <v>2.9481339999999951</v>
      </c>
      <c r="U140" s="181">
        <f>U138*U139</f>
        <v>3.5673050000000037</v>
      </c>
      <c r="V140" s="181">
        <f>V138*V139</f>
        <v>7.1090170000000095</v>
      </c>
      <c r="W140" s="182">
        <f>W138*W139</f>
        <v>16.337313999999989</v>
      </c>
      <c r="X140" s="181"/>
      <c r="Y140" s="288">
        <f>Y138*Y139</f>
        <v>6.5937840000000021</v>
      </c>
      <c r="Z140" s="181">
        <f>Z138*Z139</f>
        <v>7.2783199999999937</v>
      </c>
      <c r="AA140" s="181">
        <f>AA138*AA139</f>
        <v>10.18767999999999</v>
      </c>
      <c r="AB140" s="181">
        <f>AB138*AB139</f>
        <v>24.254616000000027</v>
      </c>
      <c r="AC140" s="182">
        <f>AC138*AC139</f>
        <v>48.314400000000013</v>
      </c>
      <c r="AD140" s="181"/>
      <c r="AE140" s="288">
        <f>AE138*AE139</f>
        <v>6.3554999999999984</v>
      </c>
      <c r="AF140" s="181">
        <f>AF138*AF139</f>
        <v>8.5215000000000014</v>
      </c>
      <c r="AG140" s="181">
        <f>AG138*AG139</f>
        <v>4.6740000000000013</v>
      </c>
      <c r="AH140" s="181">
        <f>AH138*AH139</f>
        <v>14.990999999999973</v>
      </c>
      <c r="AI140" s="182">
        <f>AI138*AI139</f>
        <v>34.541999999999959</v>
      </c>
      <c r="AJ140" s="181"/>
      <c r="AK140" s="288">
        <f>AK138*AK139</f>
        <v>3.895799999999995</v>
      </c>
      <c r="AL140" s="181">
        <f>AL138*AL139</f>
        <v>5.0825999999999976</v>
      </c>
      <c r="AM140" s="181">
        <f>AM138*AM139</f>
        <v>6.811199999999987</v>
      </c>
      <c r="AN140" s="181">
        <f>AN138*AN139</f>
        <v>18.317999999999994</v>
      </c>
      <c r="AO140" s="182">
        <f>AO138*AO139</f>
        <v>34.107599999999955</v>
      </c>
      <c r="AP140" s="181"/>
      <c r="AQ140" s="288">
        <f>AQ138*AQ139</f>
        <v>8.6435000000000031</v>
      </c>
      <c r="AR140" s="181">
        <f>AR138*AR139</f>
        <v>12.423199999999989</v>
      </c>
      <c r="AS140" s="181">
        <f>AS138*AS139</f>
        <v>14.2691</v>
      </c>
      <c r="AT140" s="181">
        <f>AT138*AT139</f>
        <v>19.630999999999982</v>
      </c>
      <c r="AU140" s="182">
        <f>AU138*AU139</f>
        <v>54.966800000000021</v>
      </c>
      <c r="AV140" s="181"/>
      <c r="AW140" s="288">
        <f>AW138*AW139</f>
        <v>10.039199999999997</v>
      </c>
      <c r="AX140" s="181">
        <f>AX138*AX139</f>
        <v>13.937400000000025</v>
      </c>
      <c r="AY140" s="181">
        <f>AY138*AY139</f>
        <v>13.937399999999995</v>
      </c>
      <c r="AZ140" s="181">
        <f>AZ138*AZ139</f>
        <v>16.74089999999995</v>
      </c>
      <c r="BA140" s="182">
        <f>BA138*BA139</f>
        <v>54.654899999999941</v>
      </c>
      <c r="BB140" s="181"/>
      <c r="BC140" s="288">
        <f>BC138*BC139</f>
        <v>11.641199999999989</v>
      </c>
      <c r="BD140" s="181">
        <f>BD138*BD139</f>
        <v>8.811000000000007</v>
      </c>
      <c r="BE140" s="181">
        <f>BE138*BE139</f>
        <v>18.529799999999998</v>
      </c>
      <c r="BF140" s="181">
        <f>BF138*BF139</f>
        <v>19.491000000000028</v>
      </c>
      <c r="BG140" s="182">
        <f>BG138*BG139</f>
        <v>58.47300000000002</v>
      </c>
      <c r="BH140" s="181"/>
      <c r="BI140" s="288">
        <f>BI138*BI139</f>
        <v>6.301200000000013</v>
      </c>
      <c r="BJ140" s="181">
        <f>BJ138*BJ139</f>
        <v>16.59568181818182</v>
      </c>
      <c r="BK140" s="181">
        <f>BK138*BK139</f>
        <v>9.4377934272300479</v>
      </c>
      <c r="BL140" s="181">
        <f>BL138*BL139</f>
        <v>23.259919028340086</v>
      </c>
      <c r="BM140" s="182">
        <f>BM138*BM139</f>
        <v>55.525069637883</v>
      </c>
      <c r="BN140" s="181"/>
      <c r="BO140" s="288">
        <f>BO138*BO139</f>
        <v>8.233828996282524</v>
      </c>
      <c r="BP140" s="181">
        <f>BP138*BP139</f>
        <v>15.789087301587303</v>
      </c>
      <c r="BQ140" s="181">
        <f>BQ138*BQ139</f>
        <v>9.6940652818991122</v>
      </c>
      <c r="BR140" s="181">
        <f>BR138*BR139</f>
        <v>12.76009463722397</v>
      </c>
      <c r="BS140" s="182">
        <f>BS138*BS139</f>
        <v>46.311467889908251</v>
      </c>
      <c r="BT140" s="181"/>
      <c r="BU140" s="288">
        <f>BU138*BU139</f>
        <v>9.7535603715170289</v>
      </c>
      <c r="BV140" s="181">
        <f>BV138*BV139</f>
        <v>4.4178861788617887</v>
      </c>
      <c r="BW140" s="181">
        <f>BW138*BW139</f>
        <v>16.979253112033195</v>
      </c>
      <c r="BX140" s="181">
        <f>BX138*BX139</f>
        <v>15.947820672478205</v>
      </c>
      <c r="BY140" s="182">
        <f>BY138*BY139</f>
        <v>47.241679312089026</v>
      </c>
      <c r="BZ140" s="181"/>
      <c r="CA140" s="288">
        <f>CA138*CA139</f>
        <v>8.3937649880095915</v>
      </c>
      <c r="CB140" s="181">
        <f>CB138*CB139</f>
        <v>4.8128342245989302</v>
      </c>
      <c r="CC140" s="181">
        <f>CC138*CC139</f>
        <v>3.6822262118491924</v>
      </c>
      <c r="CD140" s="181">
        <f>CD138*CD139</f>
        <v>20</v>
      </c>
      <c r="CE140" s="182">
        <f>CE138*CE139</f>
        <v>37.278961152335228</v>
      </c>
      <c r="CF140" s="181"/>
      <c r="CG140" s="288">
        <f>CG138*CG139</f>
        <v>15.033333333333333</v>
      </c>
      <c r="CH140" s="181">
        <f>CH138*CH139</f>
        <v>12.497727272727271</v>
      </c>
      <c r="CI140" s="181">
        <f>CI138*CI139</f>
        <v>14.617105263157896</v>
      </c>
      <c r="CJ140" s="181">
        <f>CJ138*CJ139</f>
        <v>27.126177024482107</v>
      </c>
      <c r="CK140" s="182">
        <f>CK138*CK139</f>
        <v>69.078383604021667</v>
      </c>
      <c r="CL140" s="181"/>
      <c r="CM140" s="288">
        <f>CM138*CM139</f>
        <v>13.616863128263063</v>
      </c>
      <c r="CN140" s="181">
        <f>CN138*CN139</f>
        <v>13.982808895071194</v>
      </c>
      <c r="CO140" s="181">
        <f>CO138*CO139</f>
        <v>19.520490545184558</v>
      </c>
      <c r="CP140" s="181">
        <f>CP138*CP139</f>
        <v>29.957218004027389</v>
      </c>
      <c r="CQ140" s="182">
        <f>CQ138*CQ139</f>
        <v>77.077380572546204</v>
      </c>
      <c r="CR140" s="181"/>
      <c r="CS140" s="288">
        <f>CS138*CS139</f>
        <v>18.827959801896768</v>
      </c>
      <c r="CT140" s="181">
        <f>CT138*CT139</f>
        <v>19.672591201473338</v>
      </c>
      <c r="CU140" s="181">
        <f>CU138*CU139</f>
        <v>20.058307394164927</v>
      </c>
      <c r="CV140" s="181">
        <f>CV138*CV139</f>
        <v>25.904829461973094</v>
      </c>
      <c r="CW140" s="182">
        <f>CW138*CW139</f>
        <v>84.463687859508127</v>
      </c>
      <c r="CY140" s="288">
        <f>CY138*CY139</f>
        <v>20.579889845939398</v>
      </c>
      <c r="CZ140" s="181">
        <f>CZ138*CZ139</f>
        <v>21.127371632527208</v>
      </c>
      <c r="DA140" s="181">
        <f>DA138*DA139</f>
        <v>22.091737445574644</v>
      </c>
      <c r="DB140" s="181">
        <f>DB138*DB139</f>
        <v>28.056867914403668</v>
      </c>
      <c r="DC140" s="182">
        <f>DC138*DC139</f>
        <v>91.855866838444911</v>
      </c>
      <c r="DE140" s="288">
        <f>DE138*DE139</f>
        <v>22.280106786838381</v>
      </c>
      <c r="DF140" s="181">
        <f>DF138*DF139</f>
        <v>23.246026513614893</v>
      </c>
      <c r="DG140" s="181">
        <f>DG138*DG139</f>
        <v>23.879593890893332</v>
      </c>
      <c r="DH140" s="181">
        <f>DH138*DH139</f>
        <v>30.713617653985224</v>
      </c>
      <c r="DI140" s="182">
        <f>DI138*DI139</f>
        <v>100.11934484533184</v>
      </c>
    </row>
    <row r="141" spans="1:113" ht="11.25" hidden="1" customHeight="1" outlineLevel="1">
      <c r="A141" s="77" t="s">
        <v>152</v>
      </c>
      <c r="B141" s="181"/>
      <c r="C141" s="182">
        <f>C138-C140</f>
        <v>-0.10626000000000324</v>
      </c>
      <c r="D141" s="181"/>
      <c r="E141" s="182">
        <f>E138-E140</f>
        <v>2.3803220000000032</v>
      </c>
      <c r="F141" s="181"/>
      <c r="G141" s="182">
        <f>G138-G140</f>
        <v>1.3985399999999997</v>
      </c>
      <c r="H141" s="181"/>
      <c r="I141" s="182">
        <f>I138-I140</f>
        <v>2.117742000000006</v>
      </c>
      <c r="J141" s="181"/>
      <c r="K141" s="182">
        <f>K138-K140</f>
        <v>5.2883399999999892</v>
      </c>
      <c r="L141" s="181"/>
      <c r="M141" s="182">
        <f>M138-M140</f>
        <v>2.6397360000000196</v>
      </c>
      <c r="N141" s="181"/>
      <c r="O141" s="182">
        <f>O138-O140</f>
        <v>-0.72669999999999679</v>
      </c>
      <c r="P141" s="181"/>
      <c r="Q141" s="182">
        <f>Q138-Q140</f>
        <v>13.475621999999998</v>
      </c>
      <c r="R141" s="181"/>
      <c r="S141" s="288">
        <f>S138-S140</f>
        <v>3.3291419999999965</v>
      </c>
      <c r="T141" s="181">
        <f>T138-T140</f>
        <v>3.6178659999999931</v>
      </c>
      <c r="U141" s="181">
        <f>U138-U140</f>
        <v>4.3776950000000037</v>
      </c>
      <c r="V141" s="181">
        <f>V138-V140</f>
        <v>8.7239830000000111</v>
      </c>
      <c r="W141" s="182">
        <f>W138-W140</f>
        <v>20.048685999999979</v>
      </c>
      <c r="X141" s="181"/>
      <c r="Y141" s="288">
        <f>Y138-Y140</f>
        <v>13.509216000000006</v>
      </c>
      <c r="Z141" s="181">
        <f>Z138-Z140</f>
        <v>14.91167999999999</v>
      </c>
      <c r="AA141" s="181">
        <f>AA138-AA140</f>
        <v>20.872319999999984</v>
      </c>
      <c r="AB141" s="181">
        <f>AB138-AB140</f>
        <v>49.692384000000061</v>
      </c>
      <c r="AC141" s="182">
        <f>AC138-AC140</f>
        <v>98.985600000000062</v>
      </c>
      <c r="AD141" s="181"/>
      <c r="AE141" s="288">
        <f>AE138-AE140</f>
        <v>15.944499999999998</v>
      </c>
      <c r="AF141" s="181">
        <f>AF138-AF140</f>
        <v>21.378500000000003</v>
      </c>
      <c r="AG141" s="181">
        <f>AG138-AG140</f>
        <v>11.726000000000004</v>
      </c>
      <c r="AH141" s="181">
        <f>AH138-AH140</f>
        <v>37.608999999999938</v>
      </c>
      <c r="AI141" s="182">
        <f>AI138-AI140</f>
        <v>86.657999999999916</v>
      </c>
      <c r="AJ141" s="181"/>
      <c r="AK141" s="288">
        <f>AK138-AK140</f>
        <v>11.204199999999986</v>
      </c>
      <c r="AL141" s="181">
        <f>AL138-AL140</f>
        <v>14.617399999999991</v>
      </c>
      <c r="AM141" s="181">
        <f>AM138-AM140</f>
        <v>19.588799999999964</v>
      </c>
      <c r="AN141" s="181">
        <f>AN138-AN140</f>
        <v>52.681999999999974</v>
      </c>
      <c r="AO141" s="182">
        <f>AO138-AO140</f>
        <v>98.092399999999856</v>
      </c>
      <c r="AP141" s="181"/>
      <c r="AQ141" s="288">
        <f>AQ138-AQ140</f>
        <v>20.856500000000011</v>
      </c>
      <c r="AR141" s="181">
        <f>AR138-AR140</f>
        <v>29.976799999999976</v>
      </c>
      <c r="AS141" s="181">
        <f>AS138-AS140</f>
        <v>34.430900000000001</v>
      </c>
      <c r="AT141" s="181">
        <f>AT138-AT140</f>
        <v>47.368999999999957</v>
      </c>
      <c r="AU141" s="182">
        <f>AU138-AU140</f>
        <v>132.63320000000004</v>
      </c>
      <c r="AV141" s="181"/>
      <c r="AW141" s="288">
        <f>AW138-AW140</f>
        <v>27.560799999999997</v>
      </c>
      <c r="AX141" s="181">
        <f>AX138-AX140</f>
        <v>38.262600000000077</v>
      </c>
      <c r="AY141" s="181">
        <f>AY138-AY140</f>
        <v>38.262599999999992</v>
      </c>
      <c r="AZ141" s="181">
        <f>AZ138-AZ140</f>
        <v>45.959099999999864</v>
      </c>
      <c r="BA141" s="182">
        <f>BA138-BA140</f>
        <v>150.04509999999988</v>
      </c>
      <c r="BB141" s="181"/>
      <c r="BC141" s="288">
        <f>BC138-BC140</f>
        <v>31.958799999999975</v>
      </c>
      <c r="BD141" s="181">
        <f>BD138-BD140</f>
        <v>24.189000000000021</v>
      </c>
      <c r="BE141" s="181">
        <f>BE138-BE140</f>
        <v>50.870200000000011</v>
      </c>
      <c r="BF141" s="181">
        <f>BF138-BF140</f>
        <v>53.509000000000086</v>
      </c>
      <c r="BG141" s="182">
        <f>BG138-BG140</f>
        <v>160.5270000000001</v>
      </c>
      <c r="BH141" s="181"/>
      <c r="BI141" s="288">
        <f>BI138-BI140</f>
        <v>17.298800000000039</v>
      </c>
      <c r="BJ141" s="181">
        <f>BJ138-BJ140</f>
        <v>36.704318181818167</v>
      </c>
      <c r="BK141" s="181">
        <f>BK138-BK140</f>
        <v>37.862206572769907</v>
      </c>
      <c r="BL141" s="181">
        <f>BL138-BL140</f>
        <v>58.040080971660011</v>
      </c>
      <c r="BM141" s="182">
        <f>BM138-BM140</f>
        <v>149.97493036211699</v>
      </c>
      <c r="BN141" s="181"/>
      <c r="BO141" s="288">
        <f>BO138-BO140</f>
        <v>23.866171003717525</v>
      </c>
      <c r="BP141" s="181">
        <f>BP138-BP140</f>
        <v>36.910912698412659</v>
      </c>
      <c r="BQ141" s="181">
        <f>BQ138-BQ140</f>
        <v>26.205934718100863</v>
      </c>
      <c r="BR141" s="181">
        <f>BR138-BR140</f>
        <v>50.93990536277613</v>
      </c>
      <c r="BS141" s="182">
        <f>BS138-BS140</f>
        <v>138.08853211009185</v>
      </c>
      <c r="BT141" s="181"/>
      <c r="BU141" s="288">
        <f>BU138-BU140</f>
        <v>26.046439628482982</v>
      </c>
      <c r="BV141" s="181">
        <f>BV138-BV140</f>
        <v>38.482113821138185</v>
      </c>
      <c r="BW141" s="181">
        <f>BW138-BW140</f>
        <v>35.82074688796682</v>
      </c>
      <c r="BX141" s="181">
        <f>BX138-BX140</f>
        <v>67.752179327521702</v>
      </c>
      <c r="BY141" s="182">
        <f>BY138-BY140</f>
        <v>167.95832068791103</v>
      </c>
      <c r="BZ141" s="181"/>
      <c r="CA141" s="288">
        <f>CA138-CA140</f>
        <v>38.906235011990447</v>
      </c>
      <c r="CB141" s="181">
        <f>CB138-CB140</f>
        <v>35.187165775401127</v>
      </c>
      <c r="CC141" s="181">
        <f>CC138-CC140</f>
        <v>54.917773788150775</v>
      </c>
      <c r="CD141" s="181">
        <f>CD138-CD140</f>
        <v>71.999999999999943</v>
      </c>
      <c r="CE141" s="182">
        <f>CE138-CE140</f>
        <v>200.62103884766486</v>
      </c>
      <c r="CF141" s="181"/>
      <c r="CG141" s="288">
        <f>CG138-CG140</f>
        <v>34.166666666666657</v>
      </c>
      <c r="CH141" s="181">
        <f>CH138-CH140</f>
        <v>39.202272727272714</v>
      </c>
      <c r="CI141" s="181">
        <f>CI138-CI140</f>
        <v>49.782894736842053</v>
      </c>
      <c r="CJ141" s="181">
        <f>CJ138-CJ140</f>
        <v>83.673822975518107</v>
      </c>
      <c r="CK141" s="182">
        <f>CK138-CK140</f>
        <v>207.02161639597836</v>
      </c>
      <c r="CL141" s="181"/>
      <c r="CM141" s="288">
        <f>CM138-CM140</f>
        <v>40.850589384789188</v>
      </c>
      <c r="CN141" s="181">
        <f>CN138-CN140</f>
        <v>41.948426685213583</v>
      </c>
      <c r="CO141" s="181">
        <f>CO138-CO140</f>
        <v>58.561471635553673</v>
      </c>
      <c r="CP141" s="181">
        <f>CP138-CP140</f>
        <v>89.871654012082161</v>
      </c>
      <c r="CQ141" s="182">
        <f>CQ138-CQ140</f>
        <v>231.23214171763868</v>
      </c>
      <c r="CR141" s="181"/>
      <c r="CS141" s="288">
        <f>CS138-CS140</f>
        <v>56.483879405690303</v>
      </c>
      <c r="CT141" s="181">
        <f>CT138-CT140</f>
        <v>59.017773604420015</v>
      </c>
      <c r="CU141" s="181">
        <f>CU138-CU140</f>
        <v>60.174922182494782</v>
      </c>
      <c r="CV141" s="181">
        <f>CV138-CV140</f>
        <v>77.714488385919282</v>
      </c>
      <c r="CW141" s="182">
        <f>CW138-CW140</f>
        <v>253.39106357852415</v>
      </c>
      <c r="CY141" s="288">
        <f>CY138-CY140</f>
        <v>61.739669537818195</v>
      </c>
      <c r="CZ141" s="181">
        <f>CZ138-CZ140</f>
        <v>63.382114897581623</v>
      </c>
      <c r="DA141" s="181">
        <f>DA138-DA140</f>
        <v>66.275212336723939</v>
      </c>
      <c r="DB141" s="181">
        <f>DB138-DB140</f>
        <v>84.170603743211004</v>
      </c>
      <c r="DC141" s="182">
        <f>DC138-DC140</f>
        <v>275.56760051533473</v>
      </c>
      <c r="DE141" s="288">
        <f>DE138-DE140</f>
        <v>66.840320360515136</v>
      </c>
      <c r="DF141" s="181">
        <f>DF138-DF140</f>
        <v>69.73807954084468</v>
      </c>
      <c r="DG141" s="181">
        <f>DG138-DG140</f>
        <v>71.638781672679997</v>
      </c>
      <c r="DH141" s="181">
        <f>DH138-DH140</f>
        <v>92.140852961955673</v>
      </c>
      <c r="DI141" s="182">
        <f>DI138-DI140</f>
        <v>300.35803453599533</v>
      </c>
    </row>
    <row r="142" spans="1:113" ht="11.25" hidden="1" customHeight="1" outlineLevel="1">
      <c r="A142" s="183" t="s">
        <v>153</v>
      </c>
      <c r="B142" s="184"/>
      <c r="C142" s="185">
        <f>C141/C137</f>
        <v>-2.5175918686474578E-3</v>
      </c>
      <c r="D142" s="184"/>
      <c r="E142" s="185">
        <f>E141/E137</f>
        <v>3.6795826248260985E-2</v>
      </c>
      <c r="F142" s="184"/>
      <c r="G142" s="185">
        <f>G141/G137</f>
        <v>1.8257225659904435E-2</v>
      </c>
      <c r="H142" s="184"/>
      <c r="I142" s="185">
        <f>I141/I137</f>
        <v>2.2847331456128491E-2</v>
      </c>
      <c r="J142" s="184"/>
      <c r="K142" s="185">
        <f>K141/K137</f>
        <v>2.396622828086899E-2</v>
      </c>
      <c r="L142" s="184"/>
      <c r="M142" s="185">
        <f>M141/M137</f>
        <v>1.0126385324479606E-2</v>
      </c>
      <c r="N142" s="184"/>
      <c r="O142" s="185">
        <f>O141/O137</f>
        <v>-2.5550601935193408E-3</v>
      </c>
      <c r="P142" s="184"/>
      <c r="Q142" s="185">
        <f>Q141/Q137</f>
        <v>3.6200170314275498E-2</v>
      </c>
      <c r="R142" s="184"/>
      <c r="S142" s="334">
        <f>S141/S137</f>
        <v>3.5096799359028388E-2</v>
      </c>
      <c r="T142" s="184">
        <f>T141/T137</f>
        <v>3.6004757023576063E-2</v>
      </c>
      <c r="U142" s="184">
        <f>U141/U137</f>
        <v>4.1744016401258736E-2</v>
      </c>
      <c r="V142" s="184">
        <f>V141/V137</f>
        <v>6.4324298617511586E-2</v>
      </c>
      <c r="W142" s="185">
        <f>W141/W137</f>
        <v>4.600073881340138E-2</v>
      </c>
      <c r="X142" s="184"/>
      <c r="Y142" s="334">
        <f>Y141/Y137</f>
        <v>6.5093362115488426E-2</v>
      </c>
      <c r="Z142" s="184">
        <f>Z141/Z137</f>
        <v>6.2564214448145902E-2</v>
      </c>
      <c r="AA142" s="184">
        <f>AA141/AA137</f>
        <v>8.6334877564526735E-2</v>
      </c>
      <c r="AB142" s="184">
        <f>AB141/AB137</f>
        <v>0.14413532813941227</v>
      </c>
      <c r="AC142" s="185">
        <f>AC141/AC137</f>
        <v>9.5879116621464602E-2</v>
      </c>
      <c r="AD142" s="184"/>
      <c r="AE142" s="334">
        <f>AE141/AE137</f>
        <v>6.690935795216113E-2</v>
      </c>
      <c r="AF142" s="184">
        <f>AF141/AF137</f>
        <v>6.8630818619582673E-2</v>
      </c>
      <c r="AG142" s="184">
        <f>AG141/AG137</f>
        <v>4.8434531185460566E-2</v>
      </c>
      <c r="AH142" s="184">
        <f>AH141/AH137</f>
        <v>0.11931789340101506</v>
      </c>
      <c r="AI142" s="185">
        <f>AI141/AI137</f>
        <v>7.8274771926655162E-2</v>
      </c>
      <c r="AJ142" s="184"/>
      <c r="AK142" s="334">
        <f>AK141/AK137</f>
        <v>4.8608242950108398E-2</v>
      </c>
      <c r="AL142" s="184">
        <f>AL141/AL137</f>
        <v>5.7890693069306894E-2</v>
      </c>
      <c r="AM142" s="184">
        <f>AM141/AM137</f>
        <v>7.3892116182572493E-2</v>
      </c>
      <c r="AN142" s="184">
        <f>AN141/AN137</f>
        <v>0.14378275109170296</v>
      </c>
      <c r="AO142" s="185">
        <f>AO141/AO137</f>
        <v>8.8014715118887268E-2</v>
      </c>
      <c r="AP142" s="184"/>
      <c r="AQ142" s="334">
        <f>AQ141/AQ137</f>
        <v>7.5104429240187301E-2</v>
      </c>
      <c r="AR142" s="184">
        <f>AR141/AR137</f>
        <v>9.9623795280824115E-2</v>
      </c>
      <c r="AS142" s="184">
        <f>AS141/AS137</f>
        <v>0.11099580915538364</v>
      </c>
      <c r="AT142" s="184">
        <f>AT141/AT137</f>
        <v>0.11384042297524623</v>
      </c>
      <c r="AU142" s="185">
        <f>AU141/AU137</f>
        <v>0.10164242470687412</v>
      </c>
      <c r="AV142" s="184"/>
      <c r="AW142" s="334">
        <f>AW141/AW137</f>
        <v>7.720112044817927E-2</v>
      </c>
      <c r="AX142" s="184">
        <f>AX141/AX137</f>
        <v>9.5370388833499686E-2</v>
      </c>
      <c r="AY142" s="184">
        <f>AY141/AY137</f>
        <v>9.1449808795411078E-2</v>
      </c>
      <c r="AZ142" s="184">
        <f>AZ141/AZ137</f>
        <v>9.6735634603241152E-2</v>
      </c>
      <c r="BA142" s="185">
        <f>BA141/BA137</f>
        <v>9.0842828600835437E-2</v>
      </c>
      <c r="BB142" s="184"/>
      <c r="BC142" s="334">
        <f>BC141/BC137</f>
        <v>7.8793885601577837E-2</v>
      </c>
      <c r="BD142" s="184">
        <f>BD141/BD137</f>
        <v>5.7497028761587875E-2</v>
      </c>
      <c r="BE142" s="184">
        <f>BE141/BE137</f>
        <v>0.11360026797677537</v>
      </c>
      <c r="BF142" s="184">
        <f>BF141/BF137</f>
        <v>0.10343901024550566</v>
      </c>
      <c r="BG142" s="185">
        <f>BG141/BG137</f>
        <v>8.9609802389192861E-2</v>
      </c>
      <c r="BH142" s="184"/>
      <c r="BI142" s="334">
        <f>BI141/BI137</f>
        <v>4.3972547025927906E-2</v>
      </c>
      <c r="BJ142" s="184">
        <f>BJ141/BJ137</f>
        <v>8.0686564479705791E-2</v>
      </c>
      <c r="BK142" s="184">
        <f>BK141/BK137</f>
        <v>8.6246484220432587E-2</v>
      </c>
      <c r="BL142" s="184">
        <f>BL141/BL137</f>
        <v>0.10512602965343236</v>
      </c>
      <c r="BM142" s="185">
        <f>BM141/BM137</f>
        <v>8.1534701729975526E-2</v>
      </c>
      <c r="BN142" s="184"/>
      <c r="BO142" s="334">
        <f>BO141/BO137</f>
        <v>5.6327993872356673E-2</v>
      </c>
      <c r="BP142" s="184">
        <f>BP141/BP137</f>
        <v>8.0697229336276044E-2</v>
      </c>
      <c r="BQ142" s="184">
        <f>BQ141/BQ137</f>
        <v>6.2424808761555178E-2</v>
      </c>
      <c r="BR142" s="184">
        <f>BR141/BR137</f>
        <v>0.10027540425743332</v>
      </c>
      <c r="BS142" s="185">
        <f>BS141/BS137</f>
        <v>7.6338400193538533E-2</v>
      </c>
      <c r="BT142" s="184"/>
      <c r="BU142" s="334">
        <f>BU141/BU137</f>
        <v>7.3681583107448323E-2</v>
      </c>
      <c r="BV142" s="184">
        <f>BV141/BV137</f>
        <v>9.7177055103884302E-2</v>
      </c>
      <c r="BW142" s="184">
        <f>BW141/BW137</f>
        <v>9.0433594768913952E-2</v>
      </c>
      <c r="BX142" s="184">
        <f>BX141/BX137</f>
        <v>0.14168167989862343</v>
      </c>
      <c r="BY142" s="185">
        <f>BY141/BY137</f>
        <v>0.10343534960457632</v>
      </c>
      <c r="BZ142" s="184"/>
      <c r="CA142" s="334">
        <f>CA141/CA137</f>
        <v>0.10363941132655952</v>
      </c>
      <c r="CB142" s="184">
        <f>CB141/CB137</f>
        <v>9.466549845413269E-2</v>
      </c>
      <c r="CC142" s="184">
        <f>CC141/CC137</f>
        <v>0.13942059859901187</v>
      </c>
      <c r="CD142" s="184">
        <f>CD141/CD137</f>
        <v>0.15309376993408452</v>
      </c>
      <c r="CE142" s="185">
        <f>CE141/CE137</f>
        <v>0.12450880583855573</v>
      </c>
      <c r="CF142" s="184"/>
      <c r="CG142" s="334">
        <f>CG141/CG137</f>
        <v>8.8767645275829199E-2</v>
      </c>
      <c r="CH142" s="184">
        <f>CH141/CH137</f>
        <v>9.448607550559826E-2</v>
      </c>
      <c r="CI142" s="184">
        <f>CI141/CI137</f>
        <v>0.11428580058962823</v>
      </c>
      <c r="CJ142" s="184">
        <f>CJ141/CJ137</f>
        <v>0.15772633925639598</v>
      </c>
      <c r="CK142" s="185">
        <f>CK141/CK137</f>
        <v>0.11723292168071711</v>
      </c>
      <c r="CL142" s="184"/>
      <c r="CM142" s="334">
        <f>CM141/CM137</f>
        <v>9.6419137362662069E-2</v>
      </c>
      <c r="CN142" s="184">
        <f>CN141/CN137</f>
        <v>9.6592083018288519E-2</v>
      </c>
      <c r="CO142" s="184">
        <f>CO141/CO137</f>
        <v>0.12984811223447915</v>
      </c>
      <c r="CP142" s="184">
        <f>CP141/CP137</f>
        <v>0.16112160973320216</v>
      </c>
      <c r="CQ142" s="185">
        <f>CQ141/CQ137</f>
        <v>0.12386889734104604</v>
      </c>
      <c r="CR142" s="184"/>
      <c r="CS142" s="334">
        <f>CS141/CS137</f>
        <v>0.13104013113912008</v>
      </c>
      <c r="CT142" s="184">
        <f>CT141/CT137</f>
        <v>0.13132449431931081</v>
      </c>
      <c r="CU142" s="184">
        <f>CU141/CU137</f>
        <v>0.13144676675969513</v>
      </c>
      <c r="CV142" s="184">
        <f>CV141/CV137</f>
        <v>0.13287080933945153</v>
      </c>
      <c r="CW142" s="185">
        <f>CW141/CW137</f>
        <v>0.13176015161297977</v>
      </c>
      <c r="CY142" s="334">
        <f>CY141/CY137</f>
        <v>0.13947285697266801</v>
      </c>
      <c r="CZ142" s="184">
        <f>CZ141/CZ137</f>
        <v>0.13964053899266501</v>
      </c>
      <c r="DA142" s="184">
        <f>DA141/DA137</f>
        <v>0.13991656578593537</v>
      </c>
      <c r="DB142" s="184">
        <f>DB141/DB137</f>
        <v>0.1412167665341349</v>
      </c>
      <c r="DC142" s="185">
        <f>DC141/DC137</f>
        <v>0.14014708716540056</v>
      </c>
      <c r="DE142" s="334">
        <f>DE141/DE137</f>
        <v>0.14858121615714531</v>
      </c>
      <c r="DF142" s="184">
        <f>DF141/DF137</f>
        <v>0.14884688896187501</v>
      </c>
      <c r="DG142" s="184">
        <f>DG141/DG137</f>
        <v>0.14900994637690504</v>
      </c>
      <c r="DH142" s="184">
        <f>DH141/DH137</f>
        <v>0.1503546266088634</v>
      </c>
      <c r="DI142" s="185">
        <f>DI141/DI137</f>
        <v>0.14928569047689944</v>
      </c>
    </row>
    <row r="143" spans="1:113" ht="11.25" hidden="1" customHeight="1" outlineLevel="1">
      <c r="A143" s="77" t="s">
        <v>154</v>
      </c>
      <c r="B143" s="181"/>
      <c r="C143" s="182">
        <f>C12</f>
        <v>9.7439219999999995</v>
      </c>
      <c r="D143" s="181"/>
      <c r="E143" s="182">
        <f>E12</f>
        <v>12.204000000000001</v>
      </c>
      <c r="F143" s="181"/>
      <c r="G143" s="182">
        <f>G12</f>
        <v>11.625999999999999</v>
      </c>
      <c r="H143" s="181"/>
      <c r="I143" s="182">
        <f>I12</f>
        <v>16.202999999999999</v>
      </c>
      <c r="J143" s="181"/>
      <c r="K143" s="182">
        <f>K12</f>
        <v>47.984000000000002</v>
      </c>
      <c r="L143" s="181"/>
      <c r="M143" s="182">
        <f>M12</f>
        <v>50.133000000000003</v>
      </c>
      <c r="N143" s="181"/>
      <c r="O143" s="182">
        <f>O12</f>
        <v>57.792000000000002</v>
      </c>
      <c r="P143" s="181"/>
      <c r="Q143" s="182">
        <f>Q12</f>
        <v>67.912999999999997</v>
      </c>
      <c r="R143" s="181"/>
      <c r="S143" s="288">
        <f t="shared" ref="S143:W145" si="56">S12</f>
        <v>55.579000000000001</v>
      </c>
      <c r="T143" s="181">
        <f t="shared" si="56"/>
        <v>61.709000000000003</v>
      </c>
      <c r="U143" s="181">
        <f t="shared" si="56"/>
        <v>71.912000000000006</v>
      </c>
      <c r="V143" s="181">
        <f t="shared" si="56"/>
        <v>79.603999999999999</v>
      </c>
      <c r="W143" s="182">
        <f t="shared" si="56"/>
        <v>79.603999999999999</v>
      </c>
      <c r="X143" s="181"/>
      <c r="Y143" s="288">
        <f t="shared" ref="Y143:AC145" si="57">Y12</f>
        <v>75.11</v>
      </c>
      <c r="Z143" s="181">
        <f t="shared" si="57"/>
        <v>72.171000000000006</v>
      </c>
      <c r="AA143" s="181">
        <f t="shared" si="57"/>
        <v>85.84</v>
      </c>
      <c r="AB143" s="181">
        <f t="shared" si="57"/>
        <v>185.2</v>
      </c>
      <c r="AC143" s="182">
        <f t="shared" si="57"/>
        <v>185.2</v>
      </c>
      <c r="AD143" s="181"/>
      <c r="AE143" s="288">
        <f t="shared" ref="AE143:AI145" si="58">AE12</f>
        <v>165.08099999999999</v>
      </c>
      <c r="AF143" s="181">
        <f t="shared" si="58"/>
        <v>164.23599999999999</v>
      </c>
      <c r="AG143" s="181">
        <f t="shared" si="58"/>
        <v>156.06800000000001</v>
      </c>
      <c r="AH143" s="181">
        <f t="shared" si="58"/>
        <v>171.9</v>
      </c>
      <c r="AI143" s="182">
        <f t="shared" si="58"/>
        <v>171.9</v>
      </c>
      <c r="AJ143" s="181"/>
      <c r="AK143" s="288">
        <f t="shared" ref="AK143:AO145" si="59">AK12</f>
        <v>142.9</v>
      </c>
      <c r="AL143" s="181">
        <f t="shared" si="59"/>
        <v>132.9</v>
      </c>
      <c r="AM143" s="181">
        <f t="shared" si="59"/>
        <v>151.69999999999999</v>
      </c>
      <c r="AN143" s="181">
        <f t="shared" si="59"/>
        <v>184.1</v>
      </c>
      <c r="AO143" s="182">
        <f t="shared" si="59"/>
        <v>184.1</v>
      </c>
      <c r="AP143" s="181"/>
      <c r="AQ143" s="288">
        <f t="shared" ref="AQ143:AU145" si="60">AQ12</f>
        <v>174.9</v>
      </c>
      <c r="AR143" s="181">
        <f t="shared" si="60"/>
        <v>161.5</v>
      </c>
      <c r="AS143" s="181">
        <f t="shared" si="60"/>
        <v>195.4</v>
      </c>
      <c r="AT143" s="181">
        <f t="shared" si="60"/>
        <v>232.9</v>
      </c>
      <c r="AU143" s="182">
        <f t="shared" si="60"/>
        <v>232.9</v>
      </c>
      <c r="AV143" s="181"/>
      <c r="AW143" s="288">
        <f t="shared" ref="AW143:BA145" si="61">AW12</f>
        <v>250.5</v>
      </c>
      <c r="AX143" s="181">
        <f t="shared" si="61"/>
        <v>273.7</v>
      </c>
      <c r="AY143" s="181">
        <f t="shared" si="61"/>
        <v>271.10000000000002</v>
      </c>
      <c r="AZ143" s="181">
        <f t="shared" si="61"/>
        <v>282.8</v>
      </c>
      <c r="BA143" s="182">
        <f t="shared" si="61"/>
        <v>282.8</v>
      </c>
      <c r="BB143" s="181"/>
      <c r="BC143" s="288">
        <f t="shared" ref="BC143:BG145" si="62">BC12</f>
        <v>261.8</v>
      </c>
      <c r="BD143" s="181">
        <f t="shared" si="62"/>
        <v>248.8</v>
      </c>
      <c r="BE143" s="181">
        <f t="shared" si="62"/>
        <v>264.8</v>
      </c>
      <c r="BF143" s="181">
        <f t="shared" si="62"/>
        <v>289.3</v>
      </c>
      <c r="BG143" s="182">
        <f t="shared" si="62"/>
        <v>289.3</v>
      </c>
      <c r="BH143" s="181"/>
      <c r="BI143" s="288">
        <f t="shared" ref="BI143:BM145" si="63">BI12</f>
        <v>273.39999999999998</v>
      </c>
      <c r="BJ143" s="181">
        <f t="shared" si="63"/>
        <v>300.5</v>
      </c>
      <c r="BK143" s="181">
        <f t="shared" si="63"/>
        <v>297.7</v>
      </c>
      <c r="BL143" s="181">
        <f t="shared" si="63"/>
        <v>307.60000000000002</v>
      </c>
      <c r="BM143" s="182">
        <f t="shared" si="63"/>
        <v>307.60000000000002</v>
      </c>
      <c r="BN143" s="181"/>
      <c r="BO143" s="288">
        <f t="shared" ref="BO143:BS145" si="64">BO12</f>
        <v>295</v>
      </c>
      <c r="BP143" s="181">
        <f t="shared" si="64"/>
        <v>279.60000000000002</v>
      </c>
      <c r="BQ143" s="181">
        <f t="shared" si="64"/>
        <v>268.89999999999998</v>
      </c>
      <c r="BR143" s="181">
        <f t="shared" si="64"/>
        <v>293.2</v>
      </c>
      <c r="BS143" s="182">
        <f t="shared" si="64"/>
        <v>293.2</v>
      </c>
      <c r="BT143" s="181"/>
      <c r="BU143" s="288">
        <f t="shared" ref="BU143:BY145" si="65">BU12</f>
        <v>227.6</v>
      </c>
      <c r="BV143" s="181">
        <f t="shared" si="65"/>
        <v>240.3</v>
      </c>
      <c r="BW143" s="181">
        <f t="shared" si="65"/>
        <v>242.3</v>
      </c>
      <c r="BX143" s="181">
        <f t="shared" si="65"/>
        <v>234.7</v>
      </c>
      <c r="BY143" s="182">
        <f t="shared" si="65"/>
        <v>234.7</v>
      </c>
      <c r="BZ143" s="181"/>
      <c r="CA143" s="288">
        <f t="shared" ref="CA143:CB145" si="66">CA12</f>
        <v>233.4</v>
      </c>
      <c r="CB143" s="181">
        <f t="shared" si="66"/>
        <v>206.9</v>
      </c>
      <c r="CC143" s="181">
        <f t="shared" ref="CC143" si="67">CC12</f>
        <v>223.6</v>
      </c>
      <c r="CD143" s="181">
        <f t="shared" ref="CD143:CE145" si="68">CD12</f>
        <v>243.9</v>
      </c>
      <c r="CE143" s="182">
        <f t="shared" si="68"/>
        <v>243.9</v>
      </c>
      <c r="CF143" s="181"/>
      <c r="CG143" s="288">
        <f t="shared" ref="CG143:CK145" si="69">CG12</f>
        <v>225.4</v>
      </c>
      <c r="CH143" s="181">
        <f t="shared" si="69"/>
        <v>240.4</v>
      </c>
      <c r="CI143" s="181">
        <f t="shared" si="69"/>
        <v>269.8</v>
      </c>
      <c r="CJ143" s="181">
        <f t="shared" si="69"/>
        <v>319.3</v>
      </c>
      <c r="CK143" s="182">
        <f t="shared" si="69"/>
        <v>319.3</v>
      </c>
      <c r="CL143" s="181"/>
      <c r="CM143" s="288">
        <f t="shared" ref="CM143:CQ145" si="70">CM12</f>
        <v>264.35881364435556</v>
      </c>
      <c r="CN143" s="181">
        <f t="shared" si="70"/>
        <v>268.28907741997295</v>
      </c>
      <c r="CO143" s="181">
        <f t="shared" si="70"/>
        <v>296.63687729993728</v>
      </c>
      <c r="CP143" s="181">
        <f t="shared" si="70"/>
        <v>357.11866195739094</v>
      </c>
      <c r="CQ143" s="182">
        <f t="shared" si="70"/>
        <v>357.11866195739094</v>
      </c>
      <c r="CR143" s="181"/>
      <c r="CS143" s="288">
        <f t="shared" ref="CS143:CW145" si="71">CS12</f>
        <v>264.23080244992201</v>
      </c>
      <c r="CT143" s="181">
        <f t="shared" si="71"/>
        <v>272.70472810090263</v>
      </c>
      <c r="CU143" s="181">
        <f t="shared" si="71"/>
        <v>296.08567731899126</v>
      </c>
      <c r="CV143" s="181">
        <f t="shared" si="71"/>
        <v>368.05939731491475</v>
      </c>
      <c r="CW143" s="182">
        <f t="shared" si="71"/>
        <v>368.05939731491475</v>
      </c>
      <c r="CY143" s="288">
        <f t="shared" ref="CY143:DC143" si="72">CY12</f>
        <v>288.33392173169102</v>
      </c>
      <c r="CZ143" s="181">
        <f t="shared" si="72"/>
        <v>292.83937867112985</v>
      </c>
      <c r="DA143" s="181">
        <f t="shared" si="72"/>
        <v>324.52961951847499</v>
      </c>
      <c r="DB143" s="181">
        <f t="shared" si="72"/>
        <v>397.93809088510886</v>
      </c>
      <c r="DC143" s="182">
        <f t="shared" si="72"/>
        <v>397.93809088510886</v>
      </c>
      <c r="DE143" s="288">
        <f t="shared" ref="DE143:DI143" si="73">DE12</f>
        <v>302.87886059298523</v>
      </c>
      <c r="DF143" s="181">
        <f t="shared" si="73"/>
        <v>312.54555285403819</v>
      </c>
      <c r="DG143" s="181">
        <f t="shared" si="73"/>
        <v>339.92342830880608</v>
      </c>
      <c r="DH143" s="181">
        <f t="shared" si="73"/>
        <v>422.57629311553768</v>
      </c>
      <c r="DI143" s="182">
        <f t="shared" si="73"/>
        <v>422.57629311553768</v>
      </c>
    </row>
    <row r="144" spans="1:113" ht="11.25" hidden="1" customHeight="1" outlineLevel="1">
      <c r="A144" s="77" t="s">
        <v>155</v>
      </c>
      <c r="B144" s="181"/>
      <c r="C144" s="182">
        <f>C13</f>
        <v>17.033673</v>
      </c>
      <c r="D144" s="181"/>
      <c r="E144" s="182">
        <f>E13</f>
        <v>25.442</v>
      </c>
      <c r="F144" s="181"/>
      <c r="G144" s="182">
        <f>G13</f>
        <v>35.607999999999997</v>
      </c>
      <c r="H144" s="181"/>
      <c r="I144" s="182">
        <f>I13</f>
        <v>47.530999999999999</v>
      </c>
      <c r="J144" s="181"/>
      <c r="K144" s="182">
        <f>K13</f>
        <v>101.836</v>
      </c>
      <c r="L144" s="181"/>
      <c r="M144" s="182">
        <f>M13</f>
        <v>110.05200000000001</v>
      </c>
      <c r="N144" s="181"/>
      <c r="O144" s="182">
        <f>O13</f>
        <v>107.748</v>
      </c>
      <c r="P144" s="181"/>
      <c r="Q144" s="182">
        <f>Q13</f>
        <v>117.655</v>
      </c>
      <c r="R144" s="181"/>
      <c r="S144" s="288">
        <f t="shared" si="56"/>
        <v>101.569</v>
      </c>
      <c r="T144" s="181">
        <f t="shared" si="56"/>
        <v>103.17400000000001</v>
      </c>
      <c r="U144" s="181">
        <f t="shared" si="56"/>
        <v>133.34700000000001</v>
      </c>
      <c r="V144" s="181">
        <f t="shared" si="56"/>
        <v>134.50399999999999</v>
      </c>
      <c r="W144" s="182">
        <f t="shared" si="56"/>
        <v>134.50399999999999</v>
      </c>
      <c r="X144" s="181"/>
      <c r="Y144" s="288">
        <f t="shared" si="57"/>
        <v>157.61600000000001</v>
      </c>
      <c r="Z144" s="181">
        <f t="shared" si="57"/>
        <v>169.89500000000001</v>
      </c>
      <c r="AA144" s="181">
        <f t="shared" si="57"/>
        <v>184.24799999999999</v>
      </c>
      <c r="AB144" s="181">
        <f t="shared" si="57"/>
        <v>446.4</v>
      </c>
      <c r="AC144" s="182">
        <f t="shared" si="57"/>
        <v>446.4</v>
      </c>
      <c r="AD144" s="181"/>
      <c r="AE144" s="288">
        <f t="shared" si="58"/>
        <v>511.59699999999998</v>
      </c>
      <c r="AF144" s="181">
        <f t="shared" si="58"/>
        <v>487.50299999999999</v>
      </c>
      <c r="AG144" s="181">
        <f t="shared" si="58"/>
        <v>456.81400000000002</v>
      </c>
      <c r="AH144" s="181">
        <f t="shared" si="58"/>
        <v>425.1</v>
      </c>
      <c r="AI144" s="182">
        <f t="shared" si="58"/>
        <v>425.1</v>
      </c>
      <c r="AJ144" s="181"/>
      <c r="AK144" s="288">
        <f t="shared" si="59"/>
        <v>420.4</v>
      </c>
      <c r="AL144" s="181">
        <f t="shared" si="59"/>
        <v>436.4</v>
      </c>
      <c r="AM144" s="181">
        <f t="shared" si="59"/>
        <v>443.6</v>
      </c>
      <c r="AN144" s="181">
        <f t="shared" si="59"/>
        <v>422.8</v>
      </c>
      <c r="AO144" s="182">
        <f t="shared" si="59"/>
        <v>422.8</v>
      </c>
      <c r="AP144" s="181"/>
      <c r="AQ144" s="288">
        <f t="shared" si="60"/>
        <v>431.2</v>
      </c>
      <c r="AR144" s="181">
        <f t="shared" si="60"/>
        <v>424.5</v>
      </c>
      <c r="AS144" s="181">
        <f t="shared" si="60"/>
        <v>487.8</v>
      </c>
      <c r="AT144" s="181">
        <f t="shared" si="60"/>
        <v>511</v>
      </c>
      <c r="AU144" s="182">
        <f t="shared" si="60"/>
        <v>511</v>
      </c>
      <c r="AV144" s="181"/>
      <c r="AW144" s="288">
        <f t="shared" si="61"/>
        <v>571.6</v>
      </c>
      <c r="AX144" s="181">
        <f t="shared" si="61"/>
        <v>618.70000000000005</v>
      </c>
      <c r="AY144" s="181">
        <f t="shared" si="61"/>
        <v>601.4</v>
      </c>
      <c r="AZ144" s="181">
        <f t="shared" si="61"/>
        <v>576.20000000000005</v>
      </c>
      <c r="BA144" s="182">
        <f t="shared" si="61"/>
        <v>576.20000000000005</v>
      </c>
      <c r="BB144" s="181"/>
      <c r="BC144" s="288">
        <f t="shared" si="62"/>
        <v>648</v>
      </c>
      <c r="BD144" s="181">
        <f t="shared" si="62"/>
        <v>620.29999999999995</v>
      </c>
      <c r="BE144" s="181">
        <f t="shared" si="62"/>
        <v>632.79999999999995</v>
      </c>
      <c r="BF144" s="181">
        <f t="shared" si="62"/>
        <v>611.5</v>
      </c>
      <c r="BG144" s="182">
        <f t="shared" si="62"/>
        <v>611.5</v>
      </c>
      <c r="BH144" s="181"/>
      <c r="BI144" s="288">
        <f t="shared" si="63"/>
        <v>621.70000000000005</v>
      </c>
      <c r="BJ144" s="181">
        <f t="shared" si="63"/>
        <v>601.79999999999995</v>
      </c>
      <c r="BK144" s="181">
        <f t="shared" si="63"/>
        <v>632</v>
      </c>
      <c r="BL144" s="181">
        <f t="shared" si="63"/>
        <v>589.79999999999995</v>
      </c>
      <c r="BM144" s="182">
        <f t="shared" si="63"/>
        <v>589.79999999999995</v>
      </c>
      <c r="BN144" s="181"/>
      <c r="BO144" s="288">
        <f t="shared" si="64"/>
        <v>620.5</v>
      </c>
      <c r="BP144" s="181">
        <f t="shared" si="64"/>
        <v>612.1</v>
      </c>
      <c r="BQ144" s="181">
        <f t="shared" si="64"/>
        <v>566.79999999999995</v>
      </c>
      <c r="BR144" s="181">
        <f t="shared" si="64"/>
        <v>477.4</v>
      </c>
      <c r="BS144" s="182">
        <f t="shared" si="64"/>
        <v>477.4</v>
      </c>
      <c r="BT144" s="181"/>
      <c r="BU144" s="288">
        <f t="shared" si="65"/>
        <v>473.9</v>
      </c>
      <c r="BV144" s="181">
        <f t="shared" si="65"/>
        <v>486.3</v>
      </c>
      <c r="BW144" s="181">
        <f t="shared" si="65"/>
        <v>478.3</v>
      </c>
      <c r="BX144" s="181">
        <f t="shared" si="65"/>
        <v>422</v>
      </c>
      <c r="BY144" s="182">
        <f t="shared" si="65"/>
        <v>422</v>
      </c>
      <c r="BZ144" s="181"/>
      <c r="CA144" s="288">
        <f t="shared" si="66"/>
        <v>460.1</v>
      </c>
      <c r="CB144" s="181">
        <f t="shared" si="66"/>
        <v>471</v>
      </c>
      <c r="CC144" s="181">
        <f t="shared" ref="CC144" si="74">CC13</f>
        <v>483.1</v>
      </c>
      <c r="CD144" s="181">
        <f t="shared" si="68"/>
        <v>440.4</v>
      </c>
      <c r="CE144" s="182">
        <f t="shared" si="68"/>
        <v>440.4</v>
      </c>
      <c r="CF144" s="181"/>
      <c r="CG144" s="288">
        <f t="shared" si="69"/>
        <v>476.4</v>
      </c>
      <c r="CH144" s="181">
        <f t="shared" si="69"/>
        <v>505.1</v>
      </c>
      <c r="CI144" s="181">
        <f t="shared" si="69"/>
        <v>515.29999999999995</v>
      </c>
      <c r="CJ144" s="181">
        <f t="shared" si="69"/>
        <v>486.2</v>
      </c>
      <c r="CK144" s="182">
        <f t="shared" si="69"/>
        <v>486.2</v>
      </c>
      <c r="CL144" s="181"/>
      <c r="CM144" s="288">
        <f t="shared" si="70"/>
        <v>555.79363229700846</v>
      </c>
      <c r="CN144" s="181">
        <f t="shared" si="70"/>
        <v>549.56847862994584</v>
      </c>
      <c r="CO144" s="181">
        <f t="shared" si="70"/>
        <v>519.92359652508003</v>
      </c>
      <c r="CP144" s="181">
        <f t="shared" si="70"/>
        <v>481.79665826625194</v>
      </c>
      <c r="CQ144" s="182">
        <f t="shared" si="70"/>
        <v>481.79665826625194</v>
      </c>
      <c r="CR144" s="181"/>
      <c r="CS144" s="288">
        <f t="shared" si="71"/>
        <v>519.57844764184506</v>
      </c>
      <c r="CT144" s="181">
        <f t="shared" si="71"/>
        <v>522.47350311289006</v>
      </c>
      <c r="CU144" s="181">
        <f t="shared" si="71"/>
        <v>527.32478755557338</v>
      </c>
      <c r="CV144" s="181">
        <f t="shared" si="71"/>
        <v>547.90173345670576</v>
      </c>
      <c r="CW144" s="182">
        <f t="shared" si="71"/>
        <v>547.90173345670576</v>
      </c>
      <c r="CY144" s="288">
        <f t="shared" ref="CY144:DC144" si="75">CY13</f>
        <v>535.69062641412415</v>
      </c>
      <c r="CZ144" s="181">
        <f t="shared" si="75"/>
        <v>530.08222829611179</v>
      </c>
      <c r="DA144" s="181">
        <f t="shared" si="75"/>
        <v>548.17769367724259</v>
      </c>
      <c r="DB144" s="181">
        <f t="shared" si="75"/>
        <v>563.08548379584477</v>
      </c>
      <c r="DC144" s="182">
        <f t="shared" si="75"/>
        <v>563.08548379584477</v>
      </c>
      <c r="DE144" s="288">
        <f t="shared" ref="DE144:DI144" si="76">DE13</f>
        <v>541.58397700606611</v>
      </c>
      <c r="DF144" s="181">
        <f t="shared" si="76"/>
        <v>544.51592869536773</v>
      </c>
      <c r="DG144" s="181">
        <f t="shared" si="76"/>
        <v>553.73421983495382</v>
      </c>
      <c r="DH144" s="181">
        <f t="shared" si="76"/>
        <v>577.39994230383536</v>
      </c>
      <c r="DI144" s="182">
        <f t="shared" si="76"/>
        <v>577.39994230383536</v>
      </c>
    </row>
    <row r="145" spans="1:113" ht="11.25" hidden="1" customHeight="1" outlineLevel="1">
      <c r="A145" s="77" t="s">
        <v>75</v>
      </c>
      <c r="B145" s="181"/>
      <c r="C145" s="182">
        <f>C14</f>
        <v>1.424525</v>
      </c>
      <c r="D145" s="181"/>
      <c r="E145" s="182">
        <f>E14</f>
        <v>1.431</v>
      </c>
      <c r="F145" s="181"/>
      <c r="G145" s="182">
        <f>G14</f>
        <v>4.3860000000000001</v>
      </c>
      <c r="H145" s="181"/>
      <c r="I145" s="182">
        <f>I14</f>
        <v>5.0570000000000004</v>
      </c>
      <c r="J145" s="181"/>
      <c r="K145" s="182">
        <f>K14</f>
        <v>7.18</v>
      </c>
      <c r="L145" s="181"/>
      <c r="M145" s="182">
        <f>M14</f>
        <v>13.603000000000002</v>
      </c>
      <c r="N145" s="181"/>
      <c r="O145" s="182">
        <f>O14</f>
        <v>28.060000000000002</v>
      </c>
      <c r="P145" s="181"/>
      <c r="Q145" s="182">
        <f>Q14</f>
        <v>20.630000000000003</v>
      </c>
      <c r="R145" s="181"/>
      <c r="S145" s="288">
        <f t="shared" si="56"/>
        <v>16.992999999999999</v>
      </c>
      <c r="T145" s="181">
        <f t="shared" si="56"/>
        <v>14.556999999999999</v>
      </c>
      <c r="U145" s="181">
        <f t="shared" si="56"/>
        <v>22.052</v>
      </c>
      <c r="V145" s="181">
        <f t="shared" si="56"/>
        <v>28.488999999999997</v>
      </c>
      <c r="W145" s="182">
        <f t="shared" si="56"/>
        <v>28.488999999999997</v>
      </c>
      <c r="X145" s="181"/>
      <c r="Y145" s="288">
        <f t="shared" si="57"/>
        <v>30.656999999999996</v>
      </c>
      <c r="Z145" s="181">
        <f t="shared" si="57"/>
        <v>27.661000000000001</v>
      </c>
      <c r="AA145" s="181">
        <f t="shared" si="57"/>
        <v>34.448</v>
      </c>
      <c r="AB145" s="181">
        <f t="shared" si="57"/>
        <v>57.5</v>
      </c>
      <c r="AC145" s="182">
        <f t="shared" si="57"/>
        <v>57.5</v>
      </c>
      <c r="AD145" s="181"/>
      <c r="AE145" s="288">
        <f t="shared" si="58"/>
        <v>88.5</v>
      </c>
      <c r="AF145" s="181">
        <f t="shared" si="58"/>
        <v>75.697000000000003</v>
      </c>
      <c r="AG145" s="181">
        <f t="shared" si="58"/>
        <v>71.472999999999999</v>
      </c>
      <c r="AH145" s="181">
        <f t="shared" si="58"/>
        <v>56</v>
      </c>
      <c r="AI145" s="182">
        <f t="shared" si="58"/>
        <v>56</v>
      </c>
      <c r="AJ145" s="181"/>
      <c r="AK145" s="288">
        <f t="shared" si="59"/>
        <v>61.1</v>
      </c>
      <c r="AL145" s="181">
        <f t="shared" si="59"/>
        <v>65.599999999999994</v>
      </c>
      <c r="AM145" s="181">
        <f t="shared" si="59"/>
        <v>72.7</v>
      </c>
      <c r="AN145" s="181">
        <f t="shared" si="59"/>
        <v>57.8</v>
      </c>
      <c r="AO145" s="182">
        <f t="shared" si="59"/>
        <v>57.8</v>
      </c>
      <c r="AP145" s="181"/>
      <c r="AQ145" s="288">
        <f t="shared" si="60"/>
        <v>61.6</v>
      </c>
      <c r="AR145" s="181">
        <f t="shared" si="60"/>
        <v>58.5</v>
      </c>
      <c r="AS145" s="181">
        <f t="shared" si="60"/>
        <v>80.3</v>
      </c>
      <c r="AT145" s="181">
        <f t="shared" si="60"/>
        <v>73.899999999999991</v>
      </c>
      <c r="AU145" s="182">
        <f t="shared" si="60"/>
        <v>73.899999999999991</v>
      </c>
      <c r="AV145" s="181"/>
      <c r="AW145" s="288">
        <f t="shared" si="61"/>
        <v>97.4</v>
      </c>
      <c r="AX145" s="181">
        <f t="shared" si="61"/>
        <v>101.6</v>
      </c>
      <c r="AY145" s="181">
        <f t="shared" si="61"/>
        <v>97.8</v>
      </c>
      <c r="AZ145" s="181">
        <f t="shared" si="61"/>
        <v>86.9</v>
      </c>
      <c r="BA145" s="182">
        <f t="shared" si="61"/>
        <v>86.9</v>
      </c>
      <c r="BB145" s="181"/>
      <c r="BC145" s="288">
        <f t="shared" si="62"/>
        <v>102.5</v>
      </c>
      <c r="BD145" s="181">
        <f t="shared" si="62"/>
        <v>102.7</v>
      </c>
      <c r="BE145" s="181">
        <f t="shared" si="62"/>
        <v>105.2</v>
      </c>
      <c r="BF145" s="181">
        <f t="shared" si="62"/>
        <v>98.3</v>
      </c>
      <c r="BG145" s="182">
        <f t="shared" si="62"/>
        <v>98.3</v>
      </c>
      <c r="BH145" s="181"/>
      <c r="BI145" s="288">
        <f t="shared" si="63"/>
        <v>113</v>
      </c>
      <c r="BJ145" s="181">
        <f t="shared" si="63"/>
        <v>110.6</v>
      </c>
      <c r="BK145" s="181">
        <f t="shared" si="63"/>
        <v>136.4</v>
      </c>
      <c r="BL145" s="181">
        <f t="shared" si="63"/>
        <v>95.8</v>
      </c>
      <c r="BM145" s="182">
        <f t="shared" si="63"/>
        <v>95.8</v>
      </c>
      <c r="BN145" s="181"/>
      <c r="BO145" s="288">
        <f t="shared" si="64"/>
        <v>107.2</v>
      </c>
      <c r="BP145" s="181">
        <f t="shared" si="64"/>
        <v>116.1</v>
      </c>
      <c r="BQ145" s="181">
        <f t="shared" si="64"/>
        <v>121.7</v>
      </c>
      <c r="BR145" s="181">
        <f t="shared" si="64"/>
        <v>98.2</v>
      </c>
      <c r="BS145" s="182">
        <f t="shared" si="64"/>
        <v>98.2</v>
      </c>
      <c r="BT145" s="181"/>
      <c r="BU145" s="288">
        <f t="shared" si="65"/>
        <v>111</v>
      </c>
      <c r="BV145" s="181">
        <f t="shared" si="65"/>
        <v>134.30000000000001</v>
      </c>
      <c r="BW145" s="181">
        <f t="shared" si="65"/>
        <v>133.5</v>
      </c>
      <c r="BX145" s="181">
        <f t="shared" si="65"/>
        <v>106.6</v>
      </c>
      <c r="BY145" s="182">
        <f t="shared" si="65"/>
        <v>106.6</v>
      </c>
      <c r="BZ145" s="181"/>
      <c r="CA145" s="288">
        <f t="shared" si="66"/>
        <v>111.4</v>
      </c>
      <c r="CB145" s="181">
        <f t="shared" si="66"/>
        <v>117.1</v>
      </c>
      <c r="CC145" s="181">
        <f t="shared" ref="CC145" si="77">CC14</f>
        <v>118.5</v>
      </c>
      <c r="CD145" s="181">
        <f t="shared" si="68"/>
        <v>91.3</v>
      </c>
      <c r="CE145" s="182">
        <f t="shared" si="68"/>
        <v>91.3</v>
      </c>
      <c r="CF145" s="181"/>
      <c r="CG145" s="288">
        <f t="shared" si="69"/>
        <v>97.8</v>
      </c>
      <c r="CH145" s="181">
        <f t="shared" si="69"/>
        <v>113.8</v>
      </c>
      <c r="CI145" s="181">
        <f t="shared" si="69"/>
        <v>122.5</v>
      </c>
      <c r="CJ145" s="181">
        <f t="shared" si="69"/>
        <v>114.1</v>
      </c>
      <c r="CK145" s="182">
        <f t="shared" si="69"/>
        <v>114.1</v>
      </c>
      <c r="CL145" s="181"/>
      <c r="CM145" s="288">
        <f t="shared" si="70"/>
        <v>117.82122582396865</v>
      </c>
      <c r="CN145" s="181">
        <f t="shared" si="70"/>
        <v>129.53961108929082</v>
      </c>
      <c r="CO145" s="181">
        <f t="shared" si="70"/>
        <v>137.65474465638835</v>
      </c>
      <c r="CP145" s="181">
        <f t="shared" si="70"/>
        <v>133.35594921964829</v>
      </c>
      <c r="CQ145" s="182">
        <f t="shared" si="70"/>
        <v>133.35594921964829</v>
      </c>
      <c r="CR145" s="181"/>
      <c r="CS145" s="288">
        <f t="shared" si="71"/>
        <v>128.49033993281751</v>
      </c>
      <c r="CT145" s="181">
        <f t="shared" si="71"/>
        <v>143.03768507158787</v>
      </c>
      <c r="CU145" s="181">
        <f t="shared" si="71"/>
        <v>148.88283021044069</v>
      </c>
      <c r="CV145" s="181">
        <f t="shared" si="71"/>
        <v>151.53274478189184</v>
      </c>
      <c r="CW145" s="182">
        <f t="shared" si="71"/>
        <v>151.53274478189184</v>
      </c>
      <c r="CY145" s="288">
        <f t="shared" ref="CY145:DC145" si="78">CY14</f>
        <v>140.80799416121707</v>
      </c>
      <c r="CZ145" s="181">
        <f t="shared" si="78"/>
        <v>153.54487727845796</v>
      </c>
      <c r="DA145" s="181">
        <f t="shared" si="78"/>
        <v>163.5232761312709</v>
      </c>
      <c r="DB145" s="181">
        <f t="shared" si="78"/>
        <v>166.3424406955524</v>
      </c>
      <c r="DC145" s="182">
        <f t="shared" si="78"/>
        <v>166.3424406955524</v>
      </c>
      <c r="DE145" s="288">
        <f t="shared" ref="DE145:DI145" si="79">DE14</f>
        <v>152.09308619427532</v>
      </c>
      <c r="DF145" s="181">
        <f t="shared" si="79"/>
        <v>167.86353896538833</v>
      </c>
      <c r="DG145" s="181">
        <f t="shared" si="79"/>
        <v>175.58565647426295</v>
      </c>
      <c r="DH145" s="181">
        <f t="shared" si="79"/>
        <v>183.28333052736147</v>
      </c>
      <c r="DI145" s="182">
        <f t="shared" si="79"/>
        <v>183.28333052736147</v>
      </c>
    </row>
    <row r="146" spans="1:113" ht="11.25" hidden="1" customHeight="1" outlineLevel="1">
      <c r="A146" s="77" t="s">
        <v>156</v>
      </c>
      <c r="B146" s="181"/>
      <c r="C146" s="182">
        <f>C16</f>
        <v>28.365580000000001</v>
      </c>
      <c r="D146" s="181"/>
      <c r="E146" s="182">
        <f>E16</f>
        <v>25.350999999999999</v>
      </c>
      <c r="F146" s="181"/>
      <c r="G146" s="182">
        <f>G16</f>
        <v>25.527999999999999</v>
      </c>
      <c r="H146" s="181"/>
      <c r="I146" s="182">
        <f>I16</f>
        <v>37.252000000000002</v>
      </c>
      <c r="J146" s="181"/>
      <c r="K146" s="182">
        <f>K16</f>
        <v>73.248999999999995</v>
      </c>
      <c r="L146" s="181"/>
      <c r="M146" s="182">
        <f>M16</f>
        <v>81.353999999999999</v>
      </c>
      <c r="N146" s="181"/>
      <c r="O146" s="182">
        <f>O16</f>
        <v>84.99</v>
      </c>
      <c r="P146" s="181"/>
      <c r="Q146" s="182">
        <f>Q16</f>
        <v>85.313000000000002</v>
      </c>
      <c r="R146" s="181"/>
      <c r="S146" s="288">
        <f>S16</f>
        <v>72.816999999999993</v>
      </c>
      <c r="T146" s="181">
        <f>T16</f>
        <v>74.864000000000004</v>
      </c>
      <c r="U146" s="181">
        <f>U16</f>
        <v>87.908000000000001</v>
      </c>
      <c r="V146" s="181">
        <f>V16</f>
        <v>90.349000000000004</v>
      </c>
      <c r="W146" s="182">
        <f>W16</f>
        <v>90.349000000000004</v>
      </c>
      <c r="X146" s="181"/>
      <c r="Y146" s="288">
        <f>Y16</f>
        <v>91.41</v>
      </c>
      <c r="Z146" s="181">
        <f>Z16</f>
        <v>95.034999999999997</v>
      </c>
      <c r="AA146" s="181">
        <f>AA16</f>
        <v>101.015</v>
      </c>
      <c r="AB146" s="181">
        <f>AB16</f>
        <v>207.6</v>
      </c>
      <c r="AC146" s="182">
        <f>AC16</f>
        <v>207.6</v>
      </c>
      <c r="AD146" s="181"/>
      <c r="AE146" s="288">
        <f>AE16</f>
        <v>231.541</v>
      </c>
      <c r="AF146" s="181">
        <f>AF16</f>
        <v>236.321</v>
      </c>
      <c r="AG146" s="181">
        <f>AG16</f>
        <v>219.31700000000001</v>
      </c>
      <c r="AH146" s="181">
        <f>AH16</f>
        <v>221.3</v>
      </c>
      <c r="AI146" s="182">
        <f>AI16</f>
        <v>221.3</v>
      </c>
      <c r="AJ146" s="181"/>
      <c r="AK146" s="288">
        <f>AK16</f>
        <v>208.6</v>
      </c>
      <c r="AL146" s="181">
        <f>AL16</f>
        <v>221.3</v>
      </c>
      <c r="AM146" s="181">
        <f>AM16</f>
        <v>226.4</v>
      </c>
      <c r="AN146" s="181">
        <f>AN16</f>
        <v>223.4</v>
      </c>
      <c r="AO146" s="182">
        <f>AO16</f>
        <v>223.4</v>
      </c>
      <c r="AP146" s="181"/>
      <c r="AQ146" s="288">
        <f>AQ16</f>
        <v>212</v>
      </c>
      <c r="AR146" s="181">
        <f>AR16</f>
        <v>199.3</v>
      </c>
      <c r="AS146" s="181">
        <f>AS16</f>
        <v>218.7</v>
      </c>
      <c r="AT146" s="181">
        <f>AT16</f>
        <v>233.7</v>
      </c>
      <c r="AU146" s="182">
        <f>AU16</f>
        <v>233.7</v>
      </c>
      <c r="AV146" s="181"/>
      <c r="AW146" s="288">
        <f>AW16</f>
        <v>246.8</v>
      </c>
      <c r="AX146" s="181">
        <f>AX16</f>
        <v>265.89999999999998</v>
      </c>
      <c r="AY146" s="181">
        <f>AY16</f>
        <v>249.4</v>
      </c>
      <c r="AZ146" s="181">
        <f>AZ16</f>
        <v>249</v>
      </c>
      <c r="BA146" s="182">
        <f>BA16</f>
        <v>249</v>
      </c>
      <c r="BB146" s="181"/>
      <c r="BC146" s="288">
        <f>BC16</f>
        <v>261.8</v>
      </c>
      <c r="BD146" s="181">
        <f>BD16</f>
        <v>259.10000000000002</v>
      </c>
      <c r="BE146" s="181">
        <f>BE16</f>
        <v>272.5</v>
      </c>
      <c r="BF146" s="181">
        <f>BF16</f>
        <v>283.60000000000002</v>
      </c>
      <c r="BG146" s="182">
        <f>BG16</f>
        <v>283.60000000000002</v>
      </c>
      <c r="BH146" s="181"/>
      <c r="BI146" s="288">
        <f>BI16</f>
        <v>279.7</v>
      </c>
      <c r="BJ146" s="181">
        <f>BJ16</f>
        <v>287.8</v>
      </c>
      <c r="BK146" s="181">
        <f>BK16</f>
        <v>297.39999999999998</v>
      </c>
      <c r="BL146" s="181">
        <f>BL16</f>
        <v>299.5</v>
      </c>
      <c r="BM146" s="182">
        <f>BM16</f>
        <v>299.5</v>
      </c>
      <c r="BN146" s="181"/>
      <c r="BO146" s="288">
        <f>BO16</f>
        <v>296.7</v>
      </c>
      <c r="BP146" s="181">
        <f>BP16</f>
        <v>293.39999999999998</v>
      </c>
      <c r="BQ146" s="181">
        <f>BQ16</f>
        <v>265</v>
      </c>
      <c r="BR146" s="181">
        <f>BR16</f>
        <v>249.9</v>
      </c>
      <c r="BS146" s="182">
        <f>BS16</f>
        <v>249.9</v>
      </c>
      <c r="BT146" s="181"/>
      <c r="BU146" s="288">
        <f>BU16</f>
        <v>228.7</v>
      </c>
      <c r="BV146" s="181">
        <f>BV16</f>
        <v>233.1</v>
      </c>
      <c r="BW146" s="181">
        <f>BW16</f>
        <v>232.4</v>
      </c>
      <c r="BX146" s="181">
        <f>BX16</f>
        <v>231.1</v>
      </c>
      <c r="BY146" s="182">
        <f>BY16</f>
        <v>231.1</v>
      </c>
      <c r="BZ146" s="181"/>
      <c r="CA146" s="288">
        <f>CA16</f>
        <v>239</v>
      </c>
      <c r="CB146" s="181">
        <f>CB16</f>
        <v>236.8</v>
      </c>
      <c r="CC146" s="181">
        <f>CC16</f>
        <v>239.4</v>
      </c>
      <c r="CD146" s="181">
        <f>CD16</f>
        <v>239.1</v>
      </c>
      <c r="CE146" s="182">
        <f>CE16</f>
        <v>239.1</v>
      </c>
      <c r="CF146" s="181"/>
      <c r="CG146" s="288">
        <f>CG16</f>
        <v>241</v>
      </c>
      <c r="CH146" s="181">
        <f>CH16</f>
        <v>252.8</v>
      </c>
      <c r="CI146" s="181">
        <f>CI16</f>
        <v>260.39999999999998</v>
      </c>
      <c r="CJ146" s="181">
        <f>CJ16</f>
        <v>266.5</v>
      </c>
      <c r="CK146" s="182">
        <f>CK16</f>
        <v>266.5</v>
      </c>
      <c r="CL146" s="181"/>
      <c r="CM146" s="288">
        <f>CM16</f>
        <v>266.36592109127457</v>
      </c>
      <c r="CN146" s="181">
        <f>CN16</f>
        <v>266.36568301102284</v>
      </c>
      <c r="CO146" s="181">
        <f>CO16</f>
        <v>266.65747062719731</v>
      </c>
      <c r="CP146" s="181">
        <f>CP16</f>
        <v>269.62239426202564</v>
      </c>
      <c r="CQ146" s="182">
        <f>CQ16</f>
        <v>269.62239426202564</v>
      </c>
      <c r="CR146" s="181"/>
      <c r="CS146" s="288">
        <f>CS16</f>
        <v>267.95710831514668</v>
      </c>
      <c r="CT146" s="181">
        <f>CT16</f>
        <v>266.59682465006324</v>
      </c>
      <c r="CU146" s="181">
        <f>CU16</f>
        <v>265.29632976363246</v>
      </c>
      <c r="CV146" s="181">
        <f>CV16</f>
        <v>266.90210045963659</v>
      </c>
      <c r="CW146" s="182">
        <f>CW16</f>
        <v>266.90210045963659</v>
      </c>
      <c r="CY146" s="288">
        <f>CY16</f>
        <v>264.91041537793194</v>
      </c>
      <c r="CZ146" s="181">
        <f>CZ16</f>
        <v>263.04892674238522</v>
      </c>
      <c r="DA146" s="181">
        <f>DA16</f>
        <v>261.51933488669658</v>
      </c>
      <c r="DB146" s="181">
        <f>DB16</f>
        <v>262.77732817918286</v>
      </c>
      <c r="DC146" s="182">
        <f>DC16</f>
        <v>262.77732817918286</v>
      </c>
      <c r="DE146" s="288">
        <f>DE16</f>
        <v>260.33936412609592</v>
      </c>
      <c r="DF146" s="181">
        <f>DF16</f>
        <v>258.20776581272719</v>
      </c>
      <c r="DG146" s="181">
        <f>DG16</f>
        <v>256.22252378436826</v>
      </c>
      <c r="DH146" s="181">
        <f>DH16</f>
        <v>257.255358458253</v>
      </c>
      <c r="DI146" s="182">
        <f>DI16</f>
        <v>257.255358458253</v>
      </c>
    </row>
    <row r="147" spans="1:113" ht="11.25" hidden="1" customHeight="1" outlineLevel="1">
      <c r="A147" s="77" t="s">
        <v>157</v>
      </c>
      <c r="B147" s="181"/>
      <c r="C147" s="182">
        <f>C19</f>
        <v>5.8958709999999996</v>
      </c>
      <c r="D147" s="181"/>
      <c r="E147" s="182">
        <f>E19</f>
        <v>5.1999999999999998E-2</v>
      </c>
      <c r="F147" s="181"/>
      <c r="G147" s="182">
        <f>G19</f>
        <v>9.27</v>
      </c>
      <c r="H147" s="181"/>
      <c r="I147" s="182">
        <f>I19</f>
        <v>11.305</v>
      </c>
      <c r="J147" s="181"/>
      <c r="K147" s="182">
        <f>K19</f>
        <v>8.9990000000000006</v>
      </c>
      <c r="L147" s="181"/>
      <c r="M147" s="182">
        <f>M19</f>
        <v>6.4089999999999998</v>
      </c>
      <c r="N147" s="181"/>
      <c r="O147" s="182">
        <f>O19</f>
        <v>3.0960000000000001</v>
      </c>
      <c r="P147" s="181"/>
      <c r="Q147" s="182">
        <f>Q19</f>
        <v>4.0309999999999997</v>
      </c>
      <c r="R147" s="181"/>
      <c r="S147" s="288">
        <f>S19</f>
        <v>4.2669999999999986</v>
      </c>
      <c r="T147" s="181">
        <f>T19</f>
        <v>5.4060000000000006</v>
      </c>
      <c r="U147" s="181">
        <f>U19</f>
        <v>5.3029999999999982</v>
      </c>
      <c r="V147" s="181">
        <f>V19</f>
        <v>2.738</v>
      </c>
      <c r="W147" s="182">
        <f>W19</f>
        <v>2.738</v>
      </c>
      <c r="X147" s="181"/>
      <c r="Y147" s="288">
        <f>Y19</f>
        <v>6.3480000000000008</v>
      </c>
      <c r="Z147" s="181">
        <f>Z19</f>
        <v>9.460999999999995</v>
      </c>
      <c r="AA147" s="181">
        <f>AA19</f>
        <v>9.6970000000000027</v>
      </c>
      <c r="AB147" s="181">
        <f>AB19</f>
        <v>22.4</v>
      </c>
      <c r="AC147" s="182">
        <f>AC19</f>
        <v>22.4</v>
      </c>
      <c r="AD147" s="181"/>
      <c r="AE147" s="288">
        <f>AE19</f>
        <v>29.894999999999996</v>
      </c>
      <c r="AF147" s="181">
        <f>AF19</f>
        <v>26.690999999999995</v>
      </c>
      <c r="AG147" s="181">
        <f>AG19</f>
        <v>32.370000000000005</v>
      </c>
      <c r="AH147" s="181">
        <f>AH19</f>
        <v>21.9</v>
      </c>
      <c r="AI147" s="182">
        <f>AI19</f>
        <v>21.9</v>
      </c>
      <c r="AJ147" s="181"/>
      <c r="AK147" s="288">
        <f>AK19</f>
        <v>25</v>
      </c>
      <c r="AL147" s="181">
        <f>AL19</f>
        <v>25</v>
      </c>
      <c r="AM147" s="181">
        <f>AM19</f>
        <v>26.099999999999998</v>
      </c>
      <c r="AN147" s="181">
        <f>AN19</f>
        <v>22.700000000000003</v>
      </c>
      <c r="AO147" s="182">
        <f>AO19</f>
        <v>22.700000000000003</v>
      </c>
      <c r="AP147" s="181"/>
      <c r="AQ147" s="288">
        <f>AQ19</f>
        <v>22.699999999999996</v>
      </c>
      <c r="AR147" s="181">
        <f>AR19</f>
        <v>27.499999999999993</v>
      </c>
      <c r="AS147" s="181">
        <f>AS19</f>
        <v>31.300000000000008</v>
      </c>
      <c r="AT147" s="181">
        <f>AT19</f>
        <v>30.6</v>
      </c>
      <c r="AU147" s="182">
        <f>AU19</f>
        <v>30.6</v>
      </c>
      <c r="AV147" s="181"/>
      <c r="AW147" s="288">
        <f>AW19</f>
        <v>26.599999999999994</v>
      </c>
      <c r="AX147" s="181">
        <f>AX19</f>
        <v>29.199999999999989</v>
      </c>
      <c r="AY147" s="181">
        <f>AY19</f>
        <v>22.400000000000006</v>
      </c>
      <c r="AZ147" s="181">
        <f>AZ19</f>
        <v>30.799999999999997</v>
      </c>
      <c r="BA147" s="182">
        <f>BA19</f>
        <v>30.799999999999997</v>
      </c>
      <c r="BB147" s="181"/>
      <c r="BC147" s="288">
        <f>BC19</f>
        <v>32.30000000000004</v>
      </c>
      <c r="BD147" s="181">
        <f>BD19</f>
        <v>30.599999999999966</v>
      </c>
      <c r="BE147" s="181">
        <f>BE19</f>
        <v>32.400000000000006</v>
      </c>
      <c r="BF147" s="181">
        <f>BF19</f>
        <v>30.200000000000017</v>
      </c>
      <c r="BG147" s="182">
        <f>BG19</f>
        <v>30.200000000000017</v>
      </c>
      <c r="BH147" s="181"/>
      <c r="BI147" s="288">
        <f>BI19</f>
        <v>28.399999999999991</v>
      </c>
      <c r="BJ147" s="181">
        <f>BJ19</f>
        <v>28.5</v>
      </c>
      <c r="BK147" s="181">
        <f>BK19</f>
        <v>30.899999999999977</v>
      </c>
      <c r="BL147" s="181">
        <f>BL19</f>
        <v>23.9</v>
      </c>
      <c r="BM147" s="182">
        <f>BM19</f>
        <v>23.9</v>
      </c>
      <c r="BN147" s="181"/>
      <c r="BO147" s="288">
        <f>BO19</f>
        <v>26.400000000000006</v>
      </c>
      <c r="BP147" s="181">
        <f>BP19</f>
        <v>22.599999999999994</v>
      </c>
      <c r="BQ147" s="181">
        <f>BQ19</f>
        <v>22.200000000000017</v>
      </c>
      <c r="BR147" s="181">
        <f>BR19</f>
        <v>37</v>
      </c>
      <c r="BS147" s="182">
        <f>BS19</f>
        <v>37</v>
      </c>
      <c r="BT147" s="181"/>
      <c r="BU147" s="288">
        <f>BU19</f>
        <v>36.499999999999986</v>
      </c>
      <c r="BV147" s="181">
        <f>BV19</f>
        <v>33.500000000000014</v>
      </c>
      <c r="BW147" s="181">
        <f>BW19</f>
        <v>32.799999999999997</v>
      </c>
      <c r="BX147" s="181">
        <f>BX19</f>
        <v>62.9</v>
      </c>
      <c r="BY147" s="182">
        <f>BY19</f>
        <v>62.9</v>
      </c>
      <c r="BZ147" s="181"/>
      <c r="CA147" s="288">
        <f>CA19</f>
        <v>73.199999999999974</v>
      </c>
      <c r="CB147" s="181">
        <f>CB19</f>
        <v>71.500000000000014</v>
      </c>
      <c r="CC147" s="181">
        <f>CC19</f>
        <v>99.7</v>
      </c>
      <c r="CD147" s="181">
        <f>CD19</f>
        <v>93.1</v>
      </c>
      <c r="CE147" s="182">
        <f>CE19</f>
        <v>93.1</v>
      </c>
      <c r="CF147" s="181"/>
      <c r="CG147" s="288">
        <f>CG19</f>
        <v>97.300000000000011</v>
      </c>
      <c r="CH147" s="181">
        <f>CH19</f>
        <v>102.89999999999999</v>
      </c>
      <c r="CI147" s="181">
        <f>CI19</f>
        <v>106.69999999999999</v>
      </c>
      <c r="CJ147" s="181">
        <f>CJ19</f>
        <v>71</v>
      </c>
      <c r="CK147" s="182">
        <f>CK19</f>
        <v>71</v>
      </c>
      <c r="CL147" s="181"/>
      <c r="CM147" s="288">
        <f>CM19</f>
        <v>67.5</v>
      </c>
      <c r="CN147" s="181">
        <f>CN19</f>
        <v>64</v>
      </c>
      <c r="CO147" s="181">
        <f>CO19</f>
        <v>60.5</v>
      </c>
      <c r="CP147" s="181">
        <f>CP19</f>
        <v>57</v>
      </c>
      <c r="CQ147" s="182">
        <f>CQ19</f>
        <v>57</v>
      </c>
      <c r="CR147" s="181"/>
      <c r="CS147" s="288">
        <f>CS19</f>
        <v>53.5</v>
      </c>
      <c r="CT147" s="181">
        <f>CT19</f>
        <v>50</v>
      </c>
      <c r="CU147" s="181">
        <f>CU19</f>
        <v>46.5</v>
      </c>
      <c r="CV147" s="181">
        <f>CV19</f>
        <v>42.96</v>
      </c>
      <c r="CW147" s="182">
        <f>CW19</f>
        <v>42.96</v>
      </c>
      <c r="CY147" s="288">
        <f>CY19</f>
        <v>39.46</v>
      </c>
      <c r="CZ147" s="181">
        <f>CZ19</f>
        <v>35.96</v>
      </c>
      <c r="DA147" s="181">
        <f>DA19</f>
        <v>32.46</v>
      </c>
      <c r="DB147" s="181">
        <f>DB19</f>
        <v>28.92</v>
      </c>
      <c r="DC147" s="182">
        <f>DC19</f>
        <v>28.92</v>
      </c>
      <c r="DE147" s="288">
        <f>DE19</f>
        <v>25.42</v>
      </c>
      <c r="DF147" s="181">
        <f>DF19</f>
        <v>21.92</v>
      </c>
      <c r="DG147" s="181">
        <f>DG19</f>
        <v>18.420000000000002</v>
      </c>
      <c r="DH147" s="181">
        <f>DH19</f>
        <v>14.880000000000003</v>
      </c>
      <c r="DI147" s="182">
        <f>DI19</f>
        <v>14.880000000000003</v>
      </c>
    </row>
    <row r="148" spans="1:113" ht="11.25" hidden="1" customHeight="1" outlineLevel="1">
      <c r="A148" s="77" t="s">
        <v>158</v>
      </c>
      <c r="B148" s="181"/>
      <c r="C148" s="182">
        <f>C17+C18</f>
        <v>0.24282699999999999</v>
      </c>
      <c r="D148" s="181"/>
      <c r="E148" s="182">
        <f>E17+E18</f>
        <v>0.38600000000000001</v>
      </c>
      <c r="F148" s="181"/>
      <c r="G148" s="182">
        <f>G17+G18</f>
        <v>2.335</v>
      </c>
      <c r="H148" s="181"/>
      <c r="I148" s="182">
        <f>I17+I18</f>
        <v>1.595</v>
      </c>
      <c r="J148" s="181"/>
      <c r="K148" s="182">
        <f>K17+K18</f>
        <v>3.343</v>
      </c>
      <c r="L148" s="181"/>
      <c r="M148" s="182">
        <f>M17+M18</f>
        <v>12.643000000000001</v>
      </c>
      <c r="N148" s="181"/>
      <c r="O148" s="182">
        <f>O17+O18</f>
        <v>12.170000000000002</v>
      </c>
      <c r="P148" s="181"/>
      <c r="Q148" s="182">
        <f>Q17+Q18</f>
        <v>19.048999999999999</v>
      </c>
      <c r="R148" s="181"/>
      <c r="S148" s="288">
        <f>S17+S18</f>
        <v>22.783999999999999</v>
      </c>
      <c r="T148" s="181">
        <f>T17+T18</f>
        <v>23.42</v>
      </c>
      <c r="U148" s="181">
        <f>U17+U18</f>
        <v>44.694000000000003</v>
      </c>
      <c r="V148" s="181">
        <f>V17+V18</f>
        <v>45.356000000000002</v>
      </c>
      <c r="W148" s="182">
        <f>W17+W18</f>
        <v>45.356000000000002</v>
      </c>
      <c r="X148" s="181"/>
      <c r="Y148" s="288">
        <f>Y17+Y18</f>
        <v>46.261000000000003</v>
      </c>
      <c r="Z148" s="181">
        <f>Z17+Z18</f>
        <v>44.33</v>
      </c>
      <c r="AA148" s="181">
        <f>AA17+AA18</f>
        <v>44.211999999999996</v>
      </c>
      <c r="AB148" s="181">
        <f>AB17+AB18</f>
        <v>47</v>
      </c>
      <c r="AC148" s="182">
        <f>AC17+AC18</f>
        <v>47</v>
      </c>
      <c r="AD148" s="181"/>
      <c r="AE148" s="288">
        <f>AE17+AE18</f>
        <v>49.533000000000001</v>
      </c>
      <c r="AF148" s="181">
        <f>AF17+AF18</f>
        <v>49.204000000000001</v>
      </c>
      <c r="AG148" s="181">
        <f>AG17+AG18</f>
        <v>54.100999999999999</v>
      </c>
      <c r="AH148" s="181">
        <f>AH17+AH18</f>
        <v>52.4</v>
      </c>
      <c r="AI148" s="182">
        <f>AI17+AI18</f>
        <v>52.4</v>
      </c>
      <c r="AJ148" s="181"/>
      <c r="AK148" s="288">
        <f>AK17+AK18</f>
        <v>51.2</v>
      </c>
      <c r="AL148" s="181">
        <f>AL17+AL18</f>
        <v>52</v>
      </c>
      <c r="AM148" s="181">
        <f>AM17+AM18</f>
        <v>53.199999999999996</v>
      </c>
      <c r="AN148" s="181">
        <f>AN17+AN18</f>
        <v>52.4</v>
      </c>
      <c r="AO148" s="182">
        <f>AO17+AO18</f>
        <v>52.4</v>
      </c>
      <c r="AP148" s="181"/>
      <c r="AQ148" s="288">
        <f>AQ17+AQ18</f>
        <v>50.6</v>
      </c>
      <c r="AR148" s="181">
        <f>AR17+AR18</f>
        <v>79.100000000000009</v>
      </c>
      <c r="AS148" s="181">
        <f>AS17+AS18</f>
        <v>73.099999999999994</v>
      </c>
      <c r="AT148" s="181">
        <f>AT17+AT18</f>
        <v>234.39999999999998</v>
      </c>
      <c r="AU148" s="182">
        <f>AU17+AU18</f>
        <v>234.39999999999998</v>
      </c>
      <c r="AV148" s="181"/>
      <c r="AW148" s="288">
        <f>AW17+AW18</f>
        <v>234.70000000000002</v>
      </c>
      <c r="AX148" s="181">
        <f>AX17+AX18</f>
        <v>237.7</v>
      </c>
      <c r="AY148" s="181">
        <f>AY17+AY18</f>
        <v>229.5</v>
      </c>
      <c r="AZ148" s="181">
        <f>AZ17+AZ18</f>
        <v>236.60000000000002</v>
      </c>
      <c r="BA148" s="182">
        <f>BA17+BA18</f>
        <v>236.60000000000002</v>
      </c>
      <c r="BB148" s="181"/>
      <c r="BC148" s="288">
        <f>BC17+BC18</f>
        <v>257.8</v>
      </c>
      <c r="BD148" s="181">
        <f>BD17+BD18</f>
        <v>248.3</v>
      </c>
      <c r="BE148" s="181">
        <f>BE17+BE18</f>
        <v>250.20000000000002</v>
      </c>
      <c r="BF148" s="181">
        <f>BF17+BF18</f>
        <v>232.9</v>
      </c>
      <c r="BG148" s="182">
        <f>BG17+BG18</f>
        <v>232.9</v>
      </c>
      <c r="BH148" s="181"/>
      <c r="BI148" s="288">
        <f>BI17+BI18</f>
        <v>226.3</v>
      </c>
      <c r="BJ148" s="181">
        <f>BJ17+BJ18</f>
        <v>221.7</v>
      </c>
      <c r="BK148" s="181">
        <f>BK17+BK18</f>
        <v>235</v>
      </c>
      <c r="BL148" s="181">
        <f>BL17+BL18</f>
        <v>233</v>
      </c>
      <c r="BM148" s="182">
        <f>BM17+BM18</f>
        <v>233</v>
      </c>
      <c r="BN148" s="181"/>
      <c r="BO148" s="288">
        <f>BO17+BO18</f>
        <v>227.9</v>
      </c>
      <c r="BP148" s="181">
        <f>BP17+BP18</f>
        <v>222.5</v>
      </c>
      <c r="BQ148" s="181">
        <f>BQ17+BQ18</f>
        <v>223.7</v>
      </c>
      <c r="BR148" s="181">
        <f>BR17+BR18</f>
        <v>211.6</v>
      </c>
      <c r="BS148" s="182">
        <f>BS17+BS18</f>
        <v>211.6</v>
      </c>
      <c r="BT148" s="181"/>
      <c r="BU148" s="288">
        <f>BU17+BU18</f>
        <v>202.7</v>
      </c>
      <c r="BV148" s="181">
        <f>BV17+BV18</f>
        <v>199.3</v>
      </c>
      <c r="BW148" s="181">
        <f>BW17+BW18</f>
        <v>191.3</v>
      </c>
      <c r="BX148" s="181">
        <f>BX17+BX18</f>
        <v>205.3</v>
      </c>
      <c r="BY148" s="182">
        <f>BY17+BY18</f>
        <v>205.3</v>
      </c>
      <c r="BZ148" s="181"/>
      <c r="CA148" s="288">
        <f>CA17+CA18</f>
        <v>202.2</v>
      </c>
      <c r="CB148" s="181">
        <f>CB17+CB18</f>
        <v>196.8</v>
      </c>
      <c r="CC148" s="181">
        <f>CC17+CC18</f>
        <v>192.10000000000002</v>
      </c>
      <c r="CD148" s="181">
        <f>CD17+CD18</f>
        <v>200.3</v>
      </c>
      <c r="CE148" s="182">
        <f>CE17+CE18</f>
        <v>200.3</v>
      </c>
      <c r="CF148" s="181"/>
      <c r="CG148" s="288">
        <f>CG17+CG18</f>
        <v>237.5</v>
      </c>
      <c r="CH148" s="181">
        <f>CH17+CH18</f>
        <v>257.60000000000002</v>
      </c>
      <c r="CI148" s="181">
        <f>CI17+CI18</f>
        <v>257.60000000000002</v>
      </c>
      <c r="CJ148" s="181">
        <f>CJ17+CJ18</f>
        <v>252.20000000000002</v>
      </c>
      <c r="CK148" s="182">
        <f>CK17+CK18</f>
        <v>252.20000000000002</v>
      </c>
      <c r="CL148" s="181"/>
      <c r="CM148" s="288">
        <f>CM17+CM18</f>
        <v>248.82500000000002</v>
      </c>
      <c r="CN148" s="181">
        <f>CN17+CN18</f>
        <v>245.45000000000002</v>
      </c>
      <c r="CO148" s="181">
        <f>CO17+CO18</f>
        <v>242.07500000000002</v>
      </c>
      <c r="CP148" s="181">
        <f>CP17+CP18</f>
        <v>238.70000000000002</v>
      </c>
      <c r="CQ148" s="182">
        <f>CQ17+CQ18</f>
        <v>238.70000000000002</v>
      </c>
      <c r="CR148" s="181"/>
      <c r="CS148" s="288">
        <f>CS17+CS18</f>
        <v>235.32500000000002</v>
      </c>
      <c r="CT148" s="181">
        <f>CT17+CT18</f>
        <v>231.95000000000002</v>
      </c>
      <c r="CU148" s="181">
        <f>CU17+CU18</f>
        <v>228.57500000000002</v>
      </c>
      <c r="CV148" s="181">
        <f>CV17+CV18</f>
        <v>225.20000000000002</v>
      </c>
      <c r="CW148" s="182">
        <f>CW17+CW18</f>
        <v>225.20000000000002</v>
      </c>
      <c r="CY148" s="288">
        <f>CY17+CY18</f>
        <v>221.82500000000002</v>
      </c>
      <c r="CZ148" s="181">
        <f>CZ17+CZ18</f>
        <v>218.45000000000002</v>
      </c>
      <c r="DA148" s="181">
        <f>DA17+DA18</f>
        <v>215.07500000000002</v>
      </c>
      <c r="DB148" s="181">
        <f>DB17+DB18</f>
        <v>211.70000000000002</v>
      </c>
      <c r="DC148" s="182">
        <f>DC17+DC18</f>
        <v>211.70000000000002</v>
      </c>
      <c r="DE148" s="288">
        <f>DE17+DE18</f>
        <v>208.32500000000002</v>
      </c>
      <c r="DF148" s="181">
        <f>DF17+DF18</f>
        <v>204.95000000000002</v>
      </c>
      <c r="DG148" s="181">
        <f>DG17+DG18</f>
        <v>201.57500000000002</v>
      </c>
      <c r="DH148" s="181">
        <f>DH17+DH18</f>
        <v>198.20000000000002</v>
      </c>
      <c r="DI148" s="182">
        <f>DI17+DI18</f>
        <v>198.20000000000002</v>
      </c>
    </row>
    <row r="149" spans="1:113" ht="11.25" hidden="1" customHeight="1" outlineLevel="1">
      <c r="A149" s="186" t="s">
        <v>159</v>
      </c>
      <c r="B149" s="187"/>
      <c r="C149" s="188">
        <f>SUM(C143:C148)</f>
        <v>62.706398</v>
      </c>
      <c r="D149" s="187"/>
      <c r="E149" s="188">
        <f>SUM(E143:E148)</f>
        <v>64.866</v>
      </c>
      <c r="F149" s="187"/>
      <c r="G149" s="188">
        <f>SUM(G143:G148)</f>
        <v>88.752999999999986</v>
      </c>
      <c r="H149" s="187"/>
      <c r="I149" s="188">
        <f>SUM(I143:I148)</f>
        <v>118.94300000000001</v>
      </c>
      <c r="J149" s="187"/>
      <c r="K149" s="188">
        <f>SUM(K143:K148)</f>
        <v>242.59099999999998</v>
      </c>
      <c r="L149" s="187"/>
      <c r="M149" s="188">
        <f>SUM(M143:M148)</f>
        <v>274.19399999999996</v>
      </c>
      <c r="N149" s="187"/>
      <c r="O149" s="188">
        <f>SUM(O143:O148)</f>
        <v>293.85600000000005</v>
      </c>
      <c r="P149" s="187"/>
      <c r="Q149" s="188">
        <f>SUM(Q143:Q148)</f>
        <v>314.59099999999995</v>
      </c>
      <c r="R149" s="187"/>
      <c r="S149" s="335">
        <f>SUM(S143:S148)</f>
        <v>274.00899999999996</v>
      </c>
      <c r="T149" s="187">
        <f>SUM(T143:T148)</f>
        <v>283.13</v>
      </c>
      <c r="U149" s="187">
        <f>SUM(U143:U148)</f>
        <v>365.21600000000001</v>
      </c>
      <c r="V149" s="187">
        <f>SUM(V143:V148)</f>
        <v>381.04</v>
      </c>
      <c r="W149" s="188">
        <f>SUM(W143:W148)</f>
        <v>381.04</v>
      </c>
      <c r="X149" s="187"/>
      <c r="Y149" s="335">
        <f>SUM(Y143:Y148)</f>
        <v>407.40200000000004</v>
      </c>
      <c r="Z149" s="187">
        <f>SUM(Z143:Z148)</f>
        <v>418.55300000000005</v>
      </c>
      <c r="AA149" s="187">
        <f>SUM(AA143:AA148)</f>
        <v>459.45999999999992</v>
      </c>
      <c r="AB149" s="187">
        <f>SUM(AB143:AB148)</f>
        <v>966.09999999999991</v>
      </c>
      <c r="AC149" s="188">
        <f>SUM(AC143:AC148)</f>
        <v>966.09999999999991</v>
      </c>
      <c r="AD149" s="187"/>
      <c r="AE149" s="335">
        <f>SUM(AE143:AE148)</f>
        <v>1076.1469999999999</v>
      </c>
      <c r="AF149" s="187">
        <f>SUM(AF143:AF148)</f>
        <v>1039.652</v>
      </c>
      <c r="AG149" s="187">
        <f>SUM(AG143:AG148)</f>
        <v>990.14300000000003</v>
      </c>
      <c r="AH149" s="187">
        <f>SUM(AH143:AH148)</f>
        <v>948.59999999999991</v>
      </c>
      <c r="AI149" s="188">
        <f>SUM(AI143:AI148)</f>
        <v>948.59999999999991</v>
      </c>
      <c r="AJ149" s="187"/>
      <c r="AK149" s="335">
        <f>SUM(AK143:AK148)</f>
        <v>909.2</v>
      </c>
      <c r="AL149" s="187">
        <f>SUM(AL143:AL148)</f>
        <v>933.2</v>
      </c>
      <c r="AM149" s="187">
        <f>SUM(AM143:AM148)</f>
        <v>973.7</v>
      </c>
      <c r="AN149" s="187">
        <f>SUM(AN143:AN148)</f>
        <v>963.19999999999993</v>
      </c>
      <c r="AO149" s="188">
        <f>SUM(AO143:AO148)</f>
        <v>963.19999999999993</v>
      </c>
      <c r="AP149" s="187"/>
      <c r="AQ149" s="335">
        <f>SUM(AQ143:AQ148)</f>
        <v>953.00000000000011</v>
      </c>
      <c r="AR149" s="187">
        <f>SUM(AR143:AR148)</f>
        <v>950.4</v>
      </c>
      <c r="AS149" s="187">
        <f>SUM(AS143:AS148)</f>
        <v>1086.5999999999999</v>
      </c>
      <c r="AT149" s="187">
        <f>SUM(AT143:AT148)</f>
        <v>1316.5</v>
      </c>
      <c r="AU149" s="188">
        <f>SUM(AU143:AU148)</f>
        <v>1316.5</v>
      </c>
      <c r="AV149" s="187"/>
      <c r="AW149" s="335">
        <f>SUM(AW143:AW148)</f>
        <v>1427.6</v>
      </c>
      <c r="AX149" s="187">
        <f>SUM(AX143:AX148)</f>
        <v>1526.8000000000002</v>
      </c>
      <c r="AY149" s="187">
        <f>SUM(AY143:AY148)</f>
        <v>1471.6000000000001</v>
      </c>
      <c r="AZ149" s="187">
        <f>SUM(AZ143:AZ148)</f>
        <v>1462.3000000000002</v>
      </c>
      <c r="BA149" s="188">
        <f>SUM(BA143:BA148)</f>
        <v>1462.3000000000002</v>
      </c>
      <c r="BB149" s="187"/>
      <c r="BC149" s="335">
        <f>SUM(BC143:BC148)</f>
        <v>1564.1999999999998</v>
      </c>
      <c r="BD149" s="187">
        <f>SUM(BD143:BD148)</f>
        <v>1509.8</v>
      </c>
      <c r="BE149" s="187">
        <f>SUM(BE143:BE148)</f>
        <v>1557.9</v>
      </c>
      <c r="BF149" s="187">
        <f>SUM(BF143:BF148)</f>
        <v>1545.8</v>
      </c>
      <c r="BG149" s="188">
        <f>SUM(BG143:BG148)</f>
        <v>1545.8</v>
      </c>
      <c r="BH149" s="187"/>
      <c r="BI149" s="335">
        <f>SUM(BI143:BI148)</f>
        <v>1542.5</v>
      </c>
      <c r="BJ149" s="187">
        <f>SUM(BJ143:BJ148)</f>
        <v>1550.9</v>
      </c>
      <c r="BK149" s="187">
        <f>SUM(BK143:BK148)</f>
        <v>1629.4</v>
      </c>
      <c r="BL149" s="187">
        <f>SUM(BL143:BL148)</f>
        <v>1549.6</v>
      </c>
      <c r="BM149" s="188">
        <f>SUM(BM143:BM148)</f>
        <v>1549.6</v>
      </c>
      <c r="BN149" s="187"/>
      <c r="BO149" s="335">
        <f>SUM(BO143:BO148)</f>
        <v>1573.7000000000003</v>
      </c>
      <c r="BP149" s="187">
        <f>SUM(BP143:BP148)</f>
        <v>1546.3</v>
      </c>
      <c r="BQ149" s="187">
        <f>SUM(BQ143:BQ148)</f>
        <v>1468.3000000000002</v>
      </c>
      <c r="BR149" s="187">
        <f>SUM(BR143:BR148)</f>
        <v>1367.3</v>
      </c>
      <c r="BS149" s="188">
        <f>SUM(BS143:BS148)</f>
        <v>1367.3</v>
      </c>
      <c r="BT149" s="187"/>
      <c r="BU149" s="335">
        <f>SUM(BU143:BU148)</f>
        <v>1280.4000000000001</v>
      </c>
      <c r="BV149" s="187">
        <f>SUM(BV143:BV148)</f>
        <v>1326.8</v>
      </c>
      <c r="BW149" s="187">
        <f>SUM(BW143:BW148)</f>
        <v>1310.5999999999999</v>
      </c>
      <c r="BX149" s="187">
        <f>SUM(BX143:BX148)</f>
        <v>1262.6000000000001</v>
      </c>
      <c r="BY149" s="188">
        <f>SUM(BY143:BY148)</f>
        <v>1262.6000000000001</v>
      </c>
      <c r="BZ149" s="187"/>
      <c r="CA149" s="335">
        <f>SUM(CA143:CA148)</f>
        <v>1319.3000000000002</v>
      </c>
      <c r="CB149" s="187">
        <f>SUM(CB143:CB148)</f>
        <v>1300.0999999999999</v>
      </c>
      <c r="CC149" s="187">
        <f>SUM(CC143:CC148)</f>
        <v>1356.4</v>
      </c>
      <c r="CD149" s="187">
        <f>SUM(CD143:CD148)</f>
        <v>1308.0999999999999</v>
      </c>
      <c r="CE149" s="188">
        <f>SUM(CE143:CE148)</f>
        <v>1308.0999999999999</v>
      </c>
      <c r="CF149" s="187"/>
      <c r="CG149" s="335">
        <f>SUM(CG143:CG148)</f>
        <v>1375.3999999999999</v>
      </c>
      <c r="CH149" s="187">
        <f>SUM(CH143:CH148)</f>
        <v>1472.6</v>
      </c>
      <c r="CI149" s="187">
        <f>SUM(CI143:CI148)</f>
        <v>1532.3000000000002</v>
      </c>
      <c r="CJ149" s="187">
        <f>SUM(CJ143:CJ148)</f>
        <v>1509.3</v>
      </c>
      <c r="CK149" s="188">
        <f>SUM(CK143:CK148)</f>
        <v>1509.3</v>
      </c>
      <c r="CL149" s="187"/>
      <c r="CM149" s="335">
        <f>SUM(CM143:CM148)</f>
        <v>1520.6645928566074</v>
      </c>
      <c r="CN149" s="187">
        <f>SUM(CN143:CN148)</f>
        <v>1523.2128501502325</v>
      </c>
      <c r="CO149" s="187">
        <f>SUM(CO143:CO148)</f>
        <v>1523.4476891086031</v>
      </c>
      <c r="CP149" s="187">
        <f>SUM(CP143:CP148)</f>
        <v>1537.5936637053169</v>
      </c>
      <c r="CQ149" s="188">
        <f>SUM(CQ143:CQ148)</f>
        <v>1537.5936637053169</v>
      </c>
      <c r="CR149" s="187"/>
      <c r="CS149" s="335">
        <f>SUM(CS143:CS148)</f>
        <v>1469.0816983397315</v>
      </c>
      <c r="CT149" s="187">
        <f>SUM(CT143:CT148)</f>
        <v>1486.7627409354438</v>
      </c>
      <c r="CU149" s="187">
        <f>SUM(CU143:CU148)</f>
        <v>1512.6646248486379</v>
      </c>
      <c r="CV149" s="187">
        <f>SUM(CV143:CV148)</f>
        <v>1602.5559760131489</v>
      </c>
      <c r="CW149" s="188">
        <f>SUM(CW143:CW148)</f>
        <v>1602.5559760131489</v>
      </c>
      <c r="CY149" s="335">
        <f>SUM(CY143:CY148)</f>
        <v>1491.0279576849641</v>
      </c>
      <c r="CZ149" s="187">
        <f>SUM(CZ143:CZ148)</f>
        <v>1493.9254109880849</v>
      </c>
      <c r="DA149" s="187">
        <f>SUM(DA143:DA148)</f>
        <v>1545.2849242136851</v>
      </c>
      <c r="DB149" s="187">
        <f>SUM(DB143:DB148)</f>
        <v>1630.7633435556891</v>
      </c>
      <c r="DC149" s="188">
        <f>SUM(DC143:DC148)</f>
        <v>1630.7633435556891</v>
      </c>
      <c r="DE149" s="335">
        <f>SUM(DE143:DE148)</f>
        <v>1490.6402879194227</v>
      </c>
      <c r="DF149" s="187">
        <f>SUM(DF143:DF148)</f>
        <v>1510.0027863275216</v>
      </c>
      <c r="DG149" s="187">
        <f>SUM(DG143:DG148)</f>
        <v>1545.4608284023914</v>
      </c>
      <c r="DH149" s="187">
        <f>SUM(DH143:DH148)</f>
        <v>1653.5949244049878</v>
      </c>
      <c r="DI149" s="188">
        <f>SUM(DI143:DI148)</f>
        <v>1653.5949244049878</v>
      </c>
    </row>
    <row r="150" spans="1:113" ht="11.25" hidden="1" customHeight="1" outlineLevel="1">
      <c r="A150" s="189"/>
      <c r="B150" s="190"/>
      <c r="C150" s="191"/>
      <c r="D150" s="190"/>
      <c r="E150" s="191"/>
      <c r="F150" s="190"/>
      <c r="G150" s="191"/>
      <c r="H150" s="190"/>
      <c r="I150" s="191"/>
      <c r="J150" s="190"/>
      <c r="K150" s="191"/>
      <c r="L150" s="190"/>
      <c r="M150" s="191"/>
      <c r="N150" s="190"/>
      <c r="O150" s="191"/>
      <c r="P150" s="190"/>
      <c r="Q150" s="191"/>
      <c r="R150" s="190"/>
      <c r="S150" s="336"/>
      <c r="T150" s="190"/>
      <c r="U150" s="190"/>
      <c r="V150" s="190"/>
      <c r="W150" s="191"/>
      <c r="X150" s="190"/>
      <c r="Y150" s="336"/>
      <c r="Z150" s="190"/>
      <c r="AA150" s="190"/>
      <c r="AB150" s="190"/>
      <c r="AC150" s="191"/>
      <c r="AD150" s="190"/>
      <c r="AE150" s="336"/>
      <c r="AF150" s="190"/>
      <c r="AG150" s="190"/>
      <c r="AH150" s="190"/>
      <c r="AI150" s="191"/>
      <c r="AJ150" s="190"/>
      <c r="AK150" s="336"/>
      <c r="AL150" s="190"/>
      <c r="AM150" s="190"/>
      <c r="AN150" s="190"/>
      <c r="AO150" s="191"/>
      <c r="AP150" s="190"/>
      <c r="AQ150" s="336"/>
      <c r="AR150" s="190"/>
      <c r="AS150" s="190"/>
      <c r="AT150" s="190"/>
      <c r="AU150" s="191"/>
      <c r="AV150" s="190"/>
      <c r="AW150" s="336"/>
      <c r="AX150" s="190"/>
      <c r="AY150" s="190"/>
      <c r="AZ150" s="190"/>
      <c r="BA150" s="191"/>
      <c r="BB150" s="190"/>
      <c r="BC150" s="336"/>
      <c r="BD150" s="190"/>
      <c r="BE150" s="190"/>
      <c r="BF150" s="190"/>
      <c r="BG150" s="191"/>
      <c r="BH150" s="190"/>
      <c r="BI150" s="336"/>
      <c r="BJ150" s="190"/>
      <c r="BK150" s="190"/>
      <c r="BL150" s="190"/>
      <c r="BM150" s="191"/>
      <c r="BN150" s="190"/>
      <c r="BO150" s="336"/>
      <c r="BP150" s="190"/>
      <c r="BQ150" s="190"/>
      <c r="BR150" s="190"/>
      <c r="BS150" s="191"/>
      <c r="BT150" s="190"/>
      <c r="BU150" s="336"/>
      <c r="BV150" s="190"/>
      <c r="BW150" s="190"/>
      <c r="BX150" s="190"/>
      <c r="BY150" s="191"/>
      <c r="BZ150" s="190"/>
      <c r="CA150" s="336"/>
      <c r="CB150" s="190"/>
      <c r="CC150" s="190"/>
      <c r="CD150" s="190"/>
      <c r="CE150" s="191"/>
      <c r="CF150" s="190"/>
      <c r="CG150" s="336"/>
      <c r="CH150" s="190"/>
      <c r="CI150" s="190"/>
      <c r="CJ150" s="190"/>
      <c r="CK150" s="191"/>
      <c r="CL150" s="190"/>
      <c r="CM150" s="336"/>
      <c r="CN150" s="190"/>
      <c r="CO150" s="190"/>
      <c r="CP150" s="190"/>
      <c r="CQ150" s="191"/>
      <c r="CR150" s="190"/>
      <c r="CS150" s="336"/>
      <c r="CT150" s="190"/>
      <c r="CU150" s="190"/>
      <c r="CV150" s="190"/>
      <c r="CW150" s="191"/>
      <c r="CY150" s="336"/>
      <c r="CZ150" s="190"/>
      <c r="DA150" s="190"/>
      <c r="DB150" s="190"/>
      <c r="DC150" s="191"/>
      <c r="DE150" s="336"/>
      <c r="DF150" s="190"/>
      <c r="DG150" s="190"/>
      <c r="DH150" s="190"/>
      <c r="DI150" s="191"/>
    </row>
    <row r="151" spans="1:113" ht="11.25" hidden="1" customHeight="1" outlineLevel="1">
      <c r="A151" s="77" t="s">
        <v>81</v>
      </c>
      <c r="B151" s="181"/>
      <c r="C151" s="182">
        <f>C24</f>
        <v>3.2547860000000002</v>
      </c>
      <c r="D151" s="181"/>
      <c r="E151" s="182">
        <f>E24</f>
        <v>6.6609999999999996</v>
      </c>
      <c r="F151" s="181"/>
      <c r="G151" s="182">
        <f>G24</f>
        <v>7.601</v>
      </c>
      <c r="H151" s="181"/>
      <c r="I151" s="182">
        <f>I24</f>
        <v>9.8719999999999999</v>
      </c>
      <c r="J151" s="181"/>
      <c r="K151" s="182">
        <f>K24</f>
        <v>20.655999999999999</v>
      </c>
      <c r="L151" s="181"/>
      <c r="M151" s="182">
        <f>M24</f>
        <v>18.7</v>
      </c>
      <c r="N151" s="181"/>
      <c r="O151" s="182">
        <f>O24</f>
        <v>22.652000000000001</v>
      </c>
      <c r="P151" s="181"/>
      <c r="Q151" s="182">
        <f>Q24</f>
        <v>17.210999999999999</v>
      </c>
      <c r="R151" s="181"/>
      <c r="S151" s="288">
        <f t="shared" ref="S151:W153" si="80">S24</f>
        <v>16.126000000000001</v>
      </c>
      <c r="T151" s="181">
        <f t="shared" si="80"/>
        <v>12.34</v>
      </c>
      <c r="U151" s="181">
        <f t="shared" si="80"/>
        <v>21.111999999999998</v>
      </c>
      <c r="V151" s="181">
        <f t="shared" si="80"/>
        <v>23.102</v>
      </c>
      <c r="W151" s="182">
        <f t="shared" si="80"/>
        <v>23.102</v>
      </c>
      <c r="X151" s="181"/>
      <c r="Y151" s="288">
        <f t="shared" ref="Y151:AC153" si="81">Y24</f>
        <v>26.37</v>
      </c>
      <c r="Z151" s="181">
        <f t="shared" si="81"/>
        <v>27.597000000000001</v>
      </c>
      <c r="AA151" s="181">
        <f t="shared" si="81"/>
        <v>31.102</v>
      </c>
      <c r="AB151" s="181">
        <f t="shared" si="81"/>
        <v>52.3</v>
      </c>
      <c r="AC151" s="182">
        <f t="shared" si="81"/>
        <v>52.3</v>
      </c>
      <c r="AD151" s="181"/>
      <c r="AE151" s="288">
        <f t="shared" ref="AE151:AI153" si="82">AE24</f>
        <v>59.21</v>
      </c>
      <c r="AF151" s="181">
        <f t="shared" si="82"/>
        <v>54.287999999999997</v>
      </c>
      <c r="AG151" s="181">
        <f t="shared" si="82"/>
        <v>46.527999999999999</v>
      </c>
      <c r="AH151" s="181">
        <f t="shared" si="82"/>
        <v>43.3</v>
      </c>
      <c r="AI151" s="182">
        <f t="shared" si="82"/>
        <v>43.3</v>
      </c>
      <c r="AJ151" s="181"/>
      <c r="AK151" s="288">
        <f t="shared" ref="AK151:AO153" si="83">AK24</f>
        <v>47.5</v>
      </c>
      <c r="AL151" s="181">
        <f t="shared" si="83"/>
        <v>40.799999999999997</v>
      </c>
      <c r="AM151" s="181">
        <f t="shared" si="83"/>
        <v>45.5</v>
      </c>
      <c r="AN151" s="181">
        <f t="shared" si="83"/>
        <v>49.8</v>
      </c>
      <c r="AO151" s="182">
        <f t="shared" si="83"/>
        <v>49.8</v>
      </c>
      <c r="AP151" s="181"/>
      <c r="AQ151" s="288">
        <f t="shared" ref="AQ151:AU153" si="84">AQ24</f>
        <v>53.7</v>
      </c>
      <c r="AR151" s="181">
        <f t="shared" si="84"/>
        <v>53.6</v>
      </c>
      <c r="AS151" s="181">
        <f t="shared" si="84"/>
        <v>60.1</v>
      </c>
      <c r="AT151" s="181">
        <f t="shared" si="84"/>
        <v>64</v>
      </c>
      <c r="AU151" s="182">
        <f t="shared" si="84"/>
        <v>64</v>
      </c>
      <c r="AV151" s="181"/>
      <c r="AW151" s="288">
        <f t="shared" ref="AW151:BA153" si="85">AW24</f>
        <v>81</v>
      </c>
      <c r="AX151" s="181">
        <f t="shared" si="85"/>
        <v>82</v>
      </c>
      <c r="AY151" s="181">
        <f t="shared" si="85"/>
        <v>76.5</v>
      </c>
      <c r="AZ151" s="181">
        <f t="shared" si="85"/>
        <v>72.3</v>
      </c>
      <c r="BA151" s="182">
        <f t="shared" si="85"/>
        <v>72.3</v>
      </c>
      <c r="BB151" s="181"/>
      <c r="BC151" s="288">
        <f t="shared" ref="BC151:BG153" si="86">BC24</f>
        <v>87</v>
      </c>
      <c r="BD151" s="181">
        <f t="shared" si="86"/>
        <v>77.400000000000006</v>
      </c>
      <c r="BE151" s="181">
        <f t="shared" si="86"/>
        <v>78</v>
      </c>
      <c r="BF151" s="181">
        <f t="shared" si="86"/>
        <v>69.599999999999994</v>
      </c>
      <c r="BG151" s="182">
        <f t="shared" si="86"/>
        <v>69.599999999999994</v>
      </c>
      <c r="BH151" s="181"/>
      <c r="BI151" s="288">
        <f t="shared" ref="BI151:BM153" si="87">BI24</f>
        <v>75.8</v>
      </c>
      <c r="BJ151" s="181">
        <f t="shared" si="87"/>
        <v>69.5</v>
      </c>
      <c r="BK151" s="181">
        <f t="shared" si="87"/>
        <v>82.9</v>
      </c>
      <c r="BL151" s="181">
        <f t="shared" si="87"/>
        <v>74.8</v>
      </c>
      <c r="BM151" s="182">
        <f t="shared" si="87"/>
        <v>74.8</v>
      </c>
      <c r="BN151" s="181"/>
      <c r="BO151" s="288">
        <f t="shared" ref="BO151:BS153" si="88">BO24</f>
        <v>116.4</v>
      </c>
      <c r="BP151" s="181">
        <f t="shared" si="88"/>
        <v>102.2</v>
      </c>
      <c r="BQ151" s="181">
        <f t="shared" si="88"/>
        <v>98.5</v>
      </c>
      <c r="BR151" s="181">
        <f t="shared" si="88"/>
        <v>76</v>
      </c>
      <c r="BS151" s="182">
        <f t="shared" si="88"/>
        <v>76</v>
      </c>
      <c r="BT151" s="181"/>
      <c r="BU151" s="288">
        <f t="shared" ref="BU151:BY153" si="89">BU24</f>
        <v>87.1</v>
      </c>
      <c r="BV151" s="181">
        <f t="shared" si="89"/>
        <v>84.4</v>
      </c>
      <c r="BW151" s="181">
        <f t="shared" si="89"/>
        <v>87.4</v>
      </c>
      <c r="BX151" s="181">
        <f t="shared" si="89"/>
        <v>72.099999999999994</v>
      </c>
      <c r="BY151" s="182">
        <f t="shared" si="89"/>
        <v>72.099999999999994</v>
      </c>
      <c r="BZ151" s="181"/>
      <c r="CA151" s="288">
        <f t="shared" ref="CA151:CB153" si="90">CA24</f>
        <v>95.1</v>
      </c>
      <c r="CB151" s="181">
        <f t="shared" si="90"/>
        <v>88</v>
      </c>
      <c r="CC151" s="181">
        <f t="shared" ref="CC151" si="91">CC24</f>
        <v>93.3</v>
      </c>
      <c r="CD151" s="181">
        <f t="shared" ref="CD151:CE153" si="92">CD24</f>
        <v>86.1</v>
      </c>
      <c r="CE151" s="182">
        <f t="shared" si="92"/>
        <v>86.1</v>
      </c>
      <c r="CF151" s="181"/>
      <c r="CG151" s="288">
        <f t="shared" ref="CG151:CK153" si="93">CG24</f>
        <v>94.7</v>
      </c>
      <c r="CH151" s="181">
        <f t="shared" si="93"/>
        <v>91.7</v>
      </c>
      <c r="CI151" s="181">
        <f t="shared" si="93"/>
        <v>94.8</v>
      </c>
      <c r="CJ151" s="181">
        <f t="shared" si="93"/>
        <v>90.8</v>
      </c>
      <c r="CK151" s="182">
        <f t="shared" si="93"/>
        <v>90.8</v>
      </c>
      <c r="CL151" s="181"/>
      <c r="CM151" s="288">
        <f t="shared" ref="CM151:CQ153" si="94">CM24</f>
        <v>99.845455813591926</v>
      </c>
      <c r="CN151" s="181">
        <f t="shared" si="94"/>
        <v>89.027010085046001</v>
      </c>
      <c r="CO151" s="181">
        <f t="shared" si="94"/>
        <v>85.36911406923015</v>
      </c>
      <c r="CP151" s="181">
        <f t="shared" si="94"/>
        <v>78.247415109197831</v>
      </c>
      <c r="CQ151" s="182">
        <f t="shared" si="94"/>
        <v>78.247415109197831</v>
      </c>
      <c r="CR151" s="181"/>
      <c r="CS151" s="288">
        <f t="shared" ref="CS151:CW153" si="95">CS24</f>
        <v>96.148050664668645</v>
      </c>
      <c r="CT151" s="181">
        <f t="shared" si="95"/>
        <v>87.522065109897071</v>
      </c>
      <c r="CU151" s="181">
        <f t="shared" si="95"/>
        <v>89.528026904923593</v>
      </c>
      <c r="CV151" s="181">
        <f t="shared" si="95"/>
        <v>92.738538890586099</v>
      </c>
      <c r="CW151" s="182">
        <f t="shared" si="95"/>
        <v>92.738538890586099</v>
      </c>
      <c r="CY151" s="288">
        <f t="shared" ref="CY151:DC151" si="96">CY24</f>
        <v>89.109424010355241</v>
      </c>
      <c r="CZ151" s="181">
        <f t="shared" si="96"/>
        <v>78.674271228606557</v>
      </c>
      <c r="DA151" s="181">
        <f t="shared" si="96"/>
        <v>82.484385896811148</v>
      </c>
      <c r="DB151" s="181">
        <f t="shared" si="96"/>
        <v>81.996346730572327</v>
      </c>
      <c r="DC151" s="182">
        <f t="shared" si="96"/>
        <v>81.996346730572327</v>
      </c>
      <c r="DE151" s="288">
        <f t="shared" ref="DE151:DI151" si="97">DE24</f>
        <v>84.443241282664758</v>
      </c>
      <c r="DF151" s="181">
        <f t="shared" si="97"/>
        <v>75.026098027521755</v>
      </c>
      <c r="DG151" s="181">
        <f t="shared" si="97"/>
        <v>77.368148569869874</v>
      </c>
      <c r="DH151" s="181">
        <f t="shared" si="97"/>
        <v>76.525465172539782</v>
      </c>
      <c r="DI151" s="182">
        <f t="shared" si="97"/>
        <v>76.525465172539782</v>
      </c>
    </row>
    <row r="152" spans="1:113" ht="11.25" hidden="1" customHeight="1" outlineLevel="1">
      <c r="A152" s="77" t="s">
        <v>208</v>
      </c>
      <c r="B152" s="181"/>
      <c r="C152" s="182">
        <f>C25</f>
        <v>9.8725129999999996</v>
      </c>
      <c r="D152" s="181"/>
      <c r="E152" s="182">
        <f>E25</f>
        <v>8.3230000000000004</v>
      </c>
      <c r="F152" s="181"/>
      <c r="G152" s="182">
        <f>G25</f>
        <v>15.766</v>
      </c>
      <c r="H152" s="181"/>
      <c r="I152" s="182">
        <f>I25</f>
        <v>14.885</v>
      </c>
      <c r="J152" s="181"/>
      <c r="K152" s="182">
        <f>K25</f>
        <v>25.815000000000001</v>
      </c>
      <c r="L152" s="181"/>
      <c r="M152" s="182">
        <f>M25</f>
        <v>23.193000000000001</v>
      </c>
      <c r="N152" s="181"/>
      <c r="O152" s="182">
        <f>O25</f>
        <v>21.045000000000002</v>
      </c>
      <c r="P152" s="181"/>
      <c r="Q152" s="182">
        <f>Q25</f>
        <v>38.174999999999997</v>
      </c>
      <c r="R152" s="181"/>
      <c r="S152" s="288">
        <f t="shared" si="80"/>
        <v>26.32</v>
      </c>
      <c r="T152" s="181">
        <f t="shared" si="80"/>
        <v>28.762</v>
      </c>
      <c r="U152" s="181">
        <f t="shared" si="80"/>
        <v>42.402999999999999</v>
      </c>
      <c r="V152" s="181">
        <f t="shared" si="80"/>
        <v>49.460999999999999</v>
      </c>
      <c r="W152" s="182">
        <f t="shared" si="80"/>
        <v>49.460999999999999</v>
      </c>
      <c r="X152" s="181"/>
      <c r="Y152" s="288">
        <f t="shared" si="81"/>
        <v>52.518000000000001</v>
      </c>
      <c r="Z152" s="181">
        <f t="shared" si="81"/>
        <v>44.033000000000001</v>
      </c>
      <c r="AA152" s="181">
        <f t="shared" si="81"/>
        <v>44.344999999999999</v>
      </c>
      <c r="AB152" s="181">
        <f t="shared" si="81"/>
        <v>233.5</v>
      </c>
      <c r="AC152" s="182">
        <f t="shared" si="81"/>
        <v>233.5</v>
      </c>
      <c r="AD152" s="181"/>
      <c r="AE152" s="288">
        <f t="shared" si="82"/>
        <v>275.24099999999999</v>
      </c>
      <c r="AF152" s="181">
        <f t="shared" si="82"/>
        <v>220.25399999999999</v>
      </c>
      <c r="AG152" s="181">
        <f t="shared" si="82"/>
        <v>201.084</v>
      </c>
      <c r="AH152" s="181">
        <f t="shared" si="82"/>
        <v>199.6</v>
      </c>
      <c r="AI152" s="182">
        <f t="shared" si="82"/>
        <v>199.6</v>
      </c>
      <c r="AJ152" s="181"/>
      <c r="AK152" s="288">
        <f t="shared" si="83"/>
        <v>197.7</v>
      </c>
      <c r="AL152" s="181">
        <f t="shared" si="83"/>
        <v>202.1</v>
      </c>
      <c r="AM152" s="181">
        <f t="shared" si="83"/>
        <v>197.1</v>
      </c>
      <c r="AN152" s="181">
        <f t="shared" si="83"/>
        <v>219.2</v>
      </c>
      <c r="AO152" s="182">
        <f t="shared" si="83"/>
        <v>219.2</v>
      </c>
      <c r="AP152" s="181"/>
      <c r="AQ152" s="288">
        <f t="shared" si="84"/>
        <v>218.3</v>
      </c>
      <c r="AR152" s="181">
        <f t="shared" si="84"/>
        <v>212</v>
      </c>
      <c r="AS152" s="181">
        <f t="shared" si="84"/>
        <v>211.7</v>
      </c>
      <c r="AT152" s="181">
        <f t="shared" si="84"/>
        <v>242.2</v>
      </c>
      <c r="AU152" s="182">
        <f t="shared" si="84"/>
        <v>242.2</v>
      </c>
      <c r="AV152" s="181"/>
      <c r="AW152" s="288">
        <f t="shared" si="85"/>
        <v>264</v>
      </c>
      <c r="AX152" s="181">
        <f t="shared" si="85"/>
        <v>259.3</v>
      </c>
      <c r="AY152" s="181">
        <f t="shared" si="85"/>
        <v>250.6</v>
      </c>
      <c r="AZ152" s="181">
        <f t="shared" si="85"/>
        <v>268.60000000000002</v>
      </c>
      <c r="BA152" s="182">
        <f t="shared" si="85"/>
        <v>268.60000000000002</v>
      </c>
      <c r="BB152" s="181"/>
      <c r="BC152" s="288">
        <f t="shared" si="86"/>
        <v>300.2</v>
      </c>
      <c r="BD152" s="181">
        <f t="shared" si="86"/>
        <v>287.3</v>
      </c>
      <c r="BE152" s="181">
        <f t="shared" si="86"/>
        <v>265.3</v>
      </c>
      <c r="BF152" s="181">
        <f t="shared" si="86"/>
        <v>267.3</v>
      </c>
      <c r="BG152" s="182">
        <f t="shared" si="86"/>
        <v>267.3</v>
      </c>
      <c r="BH152" s="181"/>
      <c r="BI152" s="288">
        <f t="shared" si="87"/>
        <v>263.10000000000002</v>
      </c>
      <c r="BJ152" s="181">
        <f t="shared" si="87"/>
        <v>237.6</v>
      </c>
      <c r="BK152" s="181">
        <f t="shared" si="87"/>
        <v>248.5</v>
      </c>
      <c r="BL152" s="181">
        <f t="shared" si="87"/>
        <v>258.60000000000002</v>
      </c>
      <c r="BM152" s="182">
        <f t="shared" si="87"/>
        <v>258.60000000000002</v>
      </c>
      <c r="BN152" s="181"/>
      <c r="BO152" s="288">
        <f t="shared" si="88"/>
        <v>251.2</v>
      </c>
      <c r="BP152" s="181">
        <f t="shared" si="88"/>
        <v>223.5</v>
      </c>
      <c r="BQ152" s="181">
        <f t="shared" si="88"/>
        <v>210</v>
      </c>
      <c r="BR152" s="181">
        <f t="shared" si="88"/>
        <v>189.5</v>
      </c>
      <c r="BS152" s="182">
        <f t="shared" si="88"/>
        <v>189.5</v>
      </c>
      <c r="BT152" s="181"/>
      <c r="BU152" s="288">
        <f t="shared" si="89"/>
        <v>185.6</v>
      </c>
      <c r="BV152" s="181">
        <f t="shared" si="89"/>
        <v>174.3</v>
      </c>
      <c r="BW152" s="181">
        <f t="shared" si="89"/>
        <v>170.4</v>
      </c>
      <c r="BX152" s="181">
        <f t="shared" si="89"/>
        <v>178.3</v>
      </c>
      <c r="BY152" s="182">
        <f t="shared" si="89"/>
        <v>178.3</v>
      </c>
      <c r="BZ152" s="181"/>
      <c r="CA152" s="288">
        <f t="shared" si="90"/>
        <v>146.4</v>
      </c>
      <c r="CB152" s="181">
        <f t="shared" si="90"/>
        <v>153.9</v>
      </c>
      <c r="CC152" s="181">
        <f t="shared" ref="CC152" si="98">CC25</f>
        <v>148.19999999999999</v>
      </c>
      <c r="CD152" s="181">
        <f t="shared" si="92"/>
        <v>149</v>
      </c>
      <c r="CE152" s="182">
        <f t="shared" si="92"/>
        <v>149</v>
      </c>
      <c r="CF152" s="181"/>
      <c r="CG152" s="288">
        <f t="shared" si="93"/>
        <v>148.9</v>
      </c>
      <c r="CH152" s="181">
        <f t="shared" si="93"/>
        <v>136.4</v>
      </c>
      <c r="CI152" s="181">
        <f t="shared" si="93"/>
        <v>126.2</v>
      </c>
      <c r="CJ152" s="181">
        <f t="shared" si="93"/>
        <v>111.7</v>
      </c>
      <c r="CK152" s="182">
        <f t="shared" si="93"/>
        <v>111.7</v>
      </c>
      <c r="CL152" s="181"/>
      <c r="CM152" s="288">
        <f t="shared" si="94"/>
        <v>146.95401365878078</v>
      </c>
      <c r="CN152" s="181">
        <f t="shared" si="94"/>
        <v>125.40129710774448</v>
      </c>
      <c r="CO152" s="181">
        <f t="shared" si="94"/>
        <v>112.62156427123357</v>
      </c>
      <c r="CP152" s="181">
        <f t="shared" si="94"/>
        <v>95.134085131463479</v>
      </c>
      <c r="CQ152" s="182">
        <f t="shared" si="94"/>
        <v>95.134085131463479</v>
      </c>
      <c r="CR152" s="181"/>
      <c r="CS152" s="288">
        <f t="shared" si="95"/>
        <v>140.88788227531859</v>
      </c>
      <c r="CT152" s="181">
        <f t="shared" si="95"/>
        <v>120.77912721302603</v>
      </c>
      <c r="CU152" s="181">
        <f t="shared" si="95"/>
        <v>105.16122046002111</v>
      </c>
      <c r="CV152" s="181">
        <f t="shared" si="95"/>
        <v>88.058383359742265</v>
      </c>
      <c r="CW152" s="182">
        <f t="shared" si="95"/>
        <v>88.058383359742265</v>
      </c>
      <c r="CY152" s="288">
        <f t="shared" ref="CY152:DC152" si="99">CY25</f>
        <v>135.83322367710355</v>
      </c>
      <c r="CZ152" s="181">
        <f t="shared" si="99"/>
        <v>112.9081099035229</v>
      </c>
      <c r="DA152" s="181">
        <f t="shared" si="99"/>
        <v>99.337260678021948</v>
      </c>
      <c r="DB152" s="181">
        <f t="shared" si="99"/>
        <v>77.816425597587028</v>
      </c>
      <c r="DC152" s="182">
        <f t="shared" si="99"/>
        <v>77.816425597587028</v>
      </c>
      <c r="DE152" s="288">
        <f t="shared" ref="DE152:DI152" si="100">DE25</f>
        <v>129.04319663102532</v>
      </c>
      <c r="DF152" s="181">
        <f t="shared" si="100"/>
        <v>107.17630004120377</v>
      </c>
      <c r="DG152" s="181">
        <f t="shared" si="100"/>
        <v>91.208511959446255</v>
      </c>
      <c r="DH152" s="181">
        <f t="shared" si="100"/>
        <v>67.751366650046918</v>
      </c>
      <c r="DI152" s="182">
        <f t="shared" si="100"/>
        <v>67.751366650046918</v>
      </c>
    </row>
    <row r="153" spans="1:113" ht="11.25" hidden="1" customHeight="1" outlineLevel="1">
      <c r="A153" s="77" t="s">
        <v>160</v>
      </c>
      <c r="B153" s="181"/>
      <c r="C153" s="182">
        <f>C26</f>
        <v>6.930612</v>
      </c>
      <c r="D153" s="181"/>
      <c r="E153" s="182">
        <f>E26</f>
        <v>11.959999999999999</v>
      </c>
      <c r="F153" s="181"/>
      <c r="G153" s="182">
        <f>G26</f>
        <v>11.827999999999999</v>
      </c>
      <c r="H153" s="181"/>
      <c r="I153" s="182">
        <f>I26</f>
        <v>10.68</v>
      </c>
      <c r="J153" s="181"/>
      <c r="K153" s="182">
        <f>K26</f>
        <v>32.012</v>
      </c>
      <c r="L153" s="181"/>
      <c r="M153" s="182">
        <f>M26</f>
        <v>48.120000000000005</v>
      </c>
      <c r="N153" s="181"/>
      <c r="O153" s="182">
        <f>O26</f>
        <v>55.257999999999996</v>
      </c>
      <c r="P153" s="181"/>
      <c r="Q153" s="182">
        <f>Q26</f>
        <v>82.908999999999992</v>
      </c>
      <c r="R153" s="181"/>
      <c r="S153" s="288">
        <f t="shared" si="80"/>
        <v>62.573999999999998</v>
      </c>
      <c r="T153" s="181">
        <f t="shared" si="80"/>
        <v>65.674999999999997</v>
      </c>
      <c r="U153" s="181">
        <f t="shared" si="80"/>
        <v>84.693999999999988</v>
      </c>
      <c r="V153" s="181">
        <f t="shared" si="80"/>
        <v>100.708</v>
      </c>
      <c r="W153" s="182">
        <f t="shared" si="80"/>
        <v>100.708</v>
      </c>
      <c r="X153" s="181"/>
      <c r="Y153" s="288">
        <f t="shared" si="81"/>
        <v>109.22199999999999</v>
      </c>
      <c r="Z153" s="181">
        <f t="shared" si="81"/>
        <v>102.732</v>
      </c>
      <c r="AA153" s="181">
        <f t="shared" si="81"/>
        <v>113.98799999999999</v>
      </c>
      <c r="AB153" s="181">
        <f t="shared" si="81"/>
        <v>239.7</v>
      </c>
      <c r="AC153" s="182">
        <f t="shared" si="81"/>
        <v>239.7</v>
      </c>
      <c r="AD153" s="181"/>
      <c r="AE153" s="288">
        <f t="shared" si="82"/>
        <v>244.06399999999999</v>
      </c>
      <c r="AF153" s="181">
        <f t="shared" si="82"/>
        <v>235.45500000000001</v>
      </c>
      <c r="AG153" s="181">
        <f t="shared" si="82"/>
        <v>217.465</v>
      </c>
      <c r="AH153" s="181">
        <f t="shared" si="82"/>
        <v>235.79999999999998</v>
      </c>
      <c r="AI153" s="182">
        <f t="shared" si="82"/>
        <v>235.79999999999998</v>
      </c>
      <c r="AJ153" s="181"/>
      <c r="AK153" s="288">
        <f t="shared" si="83"/>
        <v>215.8</v>
      </c>
      <c r="AL153" s="181">
        <f t="shared" si="83"/>
        <v>233.2</v>
      </c>
      <c r="AM153" s="181">
        <f t="shared" si="83"/>
        <v>247.5</v>
      </c>
      <c r="AN153" s="181">
        <f t="shared" si="83"/>
        <v>249.5</v>
      </c>
      <c r="AO153" s="182">
        <f t="shared" si="83"/>
        <v>249.5</v>
      </c>
      <c r="AP153" s="181"/>
      <c r="AQ153" s="288">
        <f t="shared" si="84"/>
        <v>248.4</v>
      </c>
      <c r="AR153" s="181">
        <f t="shared" si="84"/>
        <v>252.5</v>
      </c>
      <c r="AS153" s="181">
        <f t="shared" si="84"/>
        <v>292.7</v>
      </c>
      <c r="AT153" s="181">
        <f t="shared" si="84"/>
        <v>310.89999999999998</v>
      </c>
      <c r="AU153" s="182">
        <f t="shared" si="84"/>
        <v>310.89999999999998</v>
      </c>
      <c r="AV153" s="181"/>
      <c r="AW153" s="288">
        <f t="shared" si="85"/>
        <v>309.89999999999998</v>
      </c>
      <c r="AX153" s="181">
        <f t="shared" si="85"/>
        <v>332.8</v>
      </c>
      <c r="AY153" s="181">
        <f t="shared" si="85"/>
        <v>321.8</v>
      </c>
      <c r="AZ153" s="181">
        <f t="shared" si="85"/>
        <v>331.2</v>
      </c>
      <c r="BA153" s="182">
        <f t="shared" si="85"/>
        <v>331.2</v>
      </c>
      <c r="BB153" s="181"/>
      <c r="BC153" s="288">
        <f t="shared" si="86"/>
        <v>308</v>
      </c>
      <c r="BD153" s="181">
        <f t="shared" si="86"/>
        <v>309.60000000000002</v>
      </c>
      <c r="BE153" s="181">
        <f t="shared" si="86"/>
        <v>304.3</v>
      </c>
      <c r="BF153" s="181">
        <f t="shared" si="86"/>
        <v>343.6</v>
      </c>
      <c r="BG153" s="182">
        <f t="shared" si="86"/>
        <v>343.6</v>
      </c>
      <c r="BH153" s="181"/>
      <c r="BI153" s="288">
        <f t="shared" si="87"/>
        <v>303.2</v>
      </c>
      <c r="BJ153" s="181">
        <f t="shared" si="87"/>
        <v>294.60000000000002</v>
      </c>
      <c r="BK153" s="181">
        <f t="shared" si="87"/>
        <v>314.39999999999998</v>
      </c>
      <c r="BL153" s="181">
        <f t="shared" si="87"/>
        <v>314.5</v>
      </c>
      <c r="BM153" s="182">
        <f t="shared" si="87"/>
        <v>314.5</v>
      </c>
      <c r="BN153" s="181"/>
      <c r="BO153" s="288">
        <f t="shared" si="88"/>
        <v>302.8</v>
      </c>
      <c r="BP153" s="181">
        <f t="shared" si="88"/>
        <v>302</v>
      </c>
      <c r="BQ153" s="181">
        <f t="shared" si="88"/>
        <v>300.8</v>
      </c>
      <c r="BR153" s="181">
        <f t="shared" si="88"/>
        <v>316.39999999999998</v>
      </c>
      <c r="BS153" s="182">
        <f t="shared" si="88"/>
        <v>316.39999999999998</v>
      </c>
      <c r="BT153" s="181"/>
      <c r="BU153" s="288">
        <f t="shared" si="89"/>
        <v>267.10000000000002</v>
      </c>
      <c r="BV153" s="181">
        <f t="shared" si="89"/>
        <v>270.10000000000002</v>
      </c>
      <c r="BW153" s="181">
        <f t="shared" si="89"/>
        <v>288</v>
      </c>
      <c r="BX153" s="181">
        <f t="shared" si="89"/>
        <v>303.5</v>
      </c>
      <c r="BY153" s="182">
        <f t="shared" si="89"/>
        <v>303.5</v>
      </c>
      <c r="BZ153" s="181"/>
      <c r="CA153" s="288">
        <f t="shared" si="90"/>
        <v>279.8</v>
      </c>
      <c r="CB153" s="181">
        <f t="shared" si="90"/>
        <v>272.89999999999998</v>
      </c>
      <c r="CC153" s="181">
        <f t="shared" ref="CC153" si="101">CC26</f>
        <v>290.89999999999998</v>
      </c>
      <c r="CD153" s="181">
        <f t="shared" si="92"/>
        <v>269.5</v>
      </c>
      <c r="CE153" s="182">
        <f t="shared" si="92"/>
        <v>269.5</v>
      </c>
      <c r="CF153" s="181"/>
      <c r="CG153" s="288">
        <f t="shared" si="93"/>
        <v>271.2</v>
      </c>
      <c r="CH153" s="181">
        <f t="shared" si="93"/>
        <v>265.39999999999998</v>
      </c>
      <c r="CI153" s="181">
        <f t="shared" si="93"/>
        <v>292.5</v>
      </c>
      <c r="CJ153" s="181">
        <f t="shared" si="93"/>
        <v>322</v>
      </c>
      <c r="CK153" s="182">
        <f t="shared" si="93"/>
        <v>322</v>
      </c>
      <c r="CL153" s="181"/>
      <c r="CM153" s="288">
        <f t="shared" si="94"/>
        <v>288.35410255638021</v>
      </c>
      <c r="CN153" s="181">
        <f t="shared" si="94"/>
        <v>267.376784550727</v>
      </c>
      <c r="CO153" s="181">
        <f t="shared" si="94"/>
        <v>292.01677454418837</v>
      </c>
      <c r="CP153" s="181">
        <f t="shared" si="94"/>
        <v>325.1760415609798</v>
      </c>
      <c r="CQ153" s="182">
        <f t="shared" si="94"/>
        <v>325.1760415609798</v>
      </c>
      <c r="CR153" s="181"/>
      <c r="CS153" s="288">
        <f t="shared" si="95"/>
        <v>284.74613972310146</v>
      </c>
      <c r="CT153" s="181">
        <f t="shared" si="95"/>
        <v>267.69756719447366</v>
      </c>
      <c r="CU153" s="181">
        <f t="shared" si="95"/>
        <v>287.25710514002265</v>
      </c>
      <c r="CV153" s="181">
        <f t="shared" si="95"/>
        <v>329.27683307191575</v>
      </c>
      <c r="CW153" s="182">
        <f t="shared" si="95"/>
        <v>329.27683307191575</v>
      </c>
      <c r="CY153" s="288">
        <f t="shared" ref="CY153:DC153" si="102">CY26</f>
        <v>283.57019814456407</v>
      </c>
      <c r="CZ153" s="181">
        <f t="shared" si="102"/>
        <v>261.2946242661497</v>
      </c>
      <c r="DA153" s="181">
        <f t="shared" si="102"/>
        <v>287.7527022969968</v>
      </c>
      <c r="DB153" s="181">
        <f t="shared" si="102"/>
        <v>323.6336378939323</v>
      </c>
      <c r="DC153" s="182">
        <f t="shared" si="102"/>
        <v>323.6336378939323</v>
      </c>
      <c r="DE153" s="288">
        <f t="shared" ref="DE153:DI153" si="103">DE26</f>
        <v>279.18070745528848</v>
      </c>
      <c r="DF153" s="181">
        <f t="shared" si="103"/>
        <v>260.34479498914186</v>
      </c>
      <c r="DG153" s="181">
        <f t="shared" si="103"/>
        <v>282.44353596487298</v>
      </c>
      <c r="DH153" s="181">
        <f t="shared" si="103"/>
        <v>320.49111100862268</v>
      </c>
      <c r="DI153" s="182">
        <f t="shared" si="103"/>
        <v>320.49111100862268</v>
      </c>
    </row>
    <row r="154" spans="1:113" ht="11.25" hidden="1" customHeight="1" outlineLevel="1">
      <c r="A154" s="77" t="s">
        <v>84</v>
      </c>
      <c r="B154" s="181"/>
      <c r="C154" s="182">
        <f>C30</f>
        <v>15.519534999999999</v>
      </c>
      <c r="D154" s="181"/>
      <c r="E154" s="182">
        <f>E30</f>
        <v>14.967000000000001</v>
      </c>
      <c r="F154" s="181"/>
      <c r="G154" s="182">
        <f>G30</f>
        <v>11.978</v>
      </c>
      <c r="H154" s="181"/>
      <c r="I154" s="182">
        <f>I30</f>
        <v>10.882</v>
      </c>
      <c r="J154" s="181"/>
      <c r="K154" s="182">
        <f>K30</f>
        <v>42.504000000000005</v>
      </c>
      <c r="L154" s="181"/>
      <c r="M154" s="182">
        <f>M30</f>
        <v>13.631000000000002</v>
      </c>
      <c r="N154" s="181"/>
      <c r="O154" s="182">
        <f>O30</f>
        <v>15.348999999999998</v>
      </c>
      <c r="P154" s="181"/>
      <c r="Q154" s="182">
        <f>Q30</f>
        <v>21.306000000000001</v>
      </c>
      <c r="R154" s="181"/>
      <c r="S154" s="288">
        <f>S30</f>
        <v>21.748000000000001</v>
      </c>
      <c r="T154" s="181">
        <f>T30</f>
        <v>23.292999999999999</v>
      </c>
      <c r="U154" s="181">
        <f>U30</f>
        <v>28.288</v>
      </c>
      <c r="V154" s="181">
        <f>V30</f>
        <v>23.73</v>
      </c>
      <c r="W154" s="182">
        <f>W30</f>
        <v>23.73</v>
      </c>
      <c r="X154" s="181"/>
      <c r="Y154" s="288">
        <f>Y30</f>
        <v>26.023</v>
      </c>
      <c r="Z154" s="181">
        <f>Z30</f>
        <v>31.515000000000001</v>
      </c>
      <c r="AA154" s="181">
        <f>AA30</f>
        <v>31.321000000000002</v>
      </c>
      <c r="AB154" s="181">
        <f>AB30</f>
        <v>106</v>
      </c>
      <c r="AC154" s="182">
        <f>AC30</f>
        <v>106</v>
      </c>
      <c r="AD154" s="181"/>
      <c r="AE154" s="288">
        <f>AE30</f>
        <v>106.005</v>
      </c>
      <c r="AF154" s="181">
        <f>AF30</f>
        <v>109.71299999999999</v>
      </c>
      <c r="AG154" s="181">
        <f>AG30</f>
        <v>103.274</v>
      </c>
      <c r="AH154" s="181">
        <f>AH30</f>
        <v>101.1</v>
      </c>
      <c r="AI154" s="182">
        <f>AI30</f>
        <v>101.1</v>
      </c>
      <c r="AJ154" s="181"/>
      <c r="AK154" s="288">
        <f>AK30</f>
        <v>96.7</v>
      </c>
      <c r="AL154" s="181">
        <f>AL30</f>
        <v>104.2</v>
      </c>
      <c r="AM154" s="181">
        <f>AM30</f>
        <v>109.3</v>
      </c>
      <c r="AN154" s="181">
        <f>AN30</f>
        <v>97.3</v>
      </c>
      <c r="AO154" s="182">
        <f>AO30</f>
        <v>97.3</v>
      </c>
      <c r="AP154" s="181"/>
      <c r="AQ154" s="288">
        <f>AQ30</f>
        <v>88.1</v>
      </c>
      <c r="AR154" s="181">
        <f>AR30</f>
        <v>83.1</v>
      </c>
      <c r="AS154" s="181">
        <f>AS30</f>
        <v>97.2</v>
      </c>
      <c r="AT154" s="181">
        <f>AT30</f>
        <v>104.3</v>
      </c>
      <c r="AU154" s="182">
        <f>AU30</f>
        <v>104.3</v>
      </c>
      <c r="AV154" s="181"/>
      <c r="AW154" s="288">
        <f>AW30</f>
        <v>102.1</v>
      </c>
      <c r="AX154" s="181">
        <f>AX30</f>
        <v>107.2</v>
      </c>
      <c r="AY154" s="181">
        <f>AY30</f>
        <v>107</v>
      </c>
      <c r="AZ154" s="181">
        <f>AZ30</f>
        <v>110.4</v>
      </c>
      <c r="BA154" s="182">
        <f>BA30</f>
        <v>110.4</v>
      </c>
      <c r="BB154" s="181"/>
      <c r="BC154" s="288">
        <f>BC30</f>
        <v>120.4</v>
      </c>
      <c r="BD154" s="181">
        <f>BD30</f>
        <v>113.3</v>
      </c>
      <c r="BE154" s="181">
        <f>BE30</f>
        <v>119.8</v>
      </c>
      <c r="BF154" s="181">
        <f>BF30</f>
        <v>129</v>
      </c>
      <c r="BG154" s="182">
        <f>BG30</f>
        <v>129</v>
      </c>
      <c r="BH154" s="181"/>
      <c r="BI154" s="288">
        <f>BI30</f>
        <v>140.6</v>
      </c>
      <c r="BJ154" s="181">
        <f>BJ30</f>
        <v>140.9</v>
      </c>
      <c r="BK154" s="181">
        <f>BK30</f>
        <v>154.1</v>
      </c>
      <c r="BL154" s="181">
        <f>BL30</f>
        <v>135.19999999999999</v>
      </c>
      <c r="BM154" s="182">
        <f>BM30</f>
        <v>135.19999999999999</v>
      </c>
      <c r="BN154" s="181"/>
      <c r="BO154" s="288">
        <f>BO30</f>
        <v>134.19999999999999</v>
      </c>
      <c r="BP154" s="181">
        <f>BP30</f>
        <v>135.1</v>
      </c>
      <c r="BQ154" s="181">
        <f>BQ30</f>
        <v>133</v>
      </c>
      <c r="BR154" s="181">
        <f>BR30</f>
        <v>156.20000000000002</v>
      </c>
      <c r="BS154" s="182">
        <f>BS30</f>
        <v>156.20000000000002</v>
      </c>
      <c r="BT154" s="181"/>
      <c r="BU154" s="288">
        <f>BU30</f>
        <v>156.69999999999999</v>
      </c>
      <c r="BV154" s="181">
        <f>BV30</f>
        <v>159.5</v>
      </c>
      <c r="BW154" s="181">
        <f>BW30</f>
        <v>157.69999999999999</v>
      </c>
      <c r="BX154" s="181">
        <f>BX30</f>
        <v>177.4</v>
      </c>
      <c r="BY154" s="182">
        <f>BY30</f>
        <v>177.4</v>
      </c>
      <c r="BZ154" s="181"/>
      <c r="CA154" s="288">
        <f>CA30</f>
        <v>207.2</v>
      </c>
      <c r="CB154" s="181">
        <f>CB30</f>
        <v>192.3</v>
      </c>
      <c r="CC154" s="181">
        <f>CC30</f>
        <v>199.7</v>
      </c>
      <c r="CD154" s="181">
        <f>CD30</f>
        <v>199</v>
      </c>
      <c r="CE154" s="182">
        <f>CE30</f>
        <v>199</v>
      </c>
      <c r="CF154" s="181"/>
      <c r="CG154" s="288">
        <f>CG30</f>
        <v>208.7</v>
      </c>
      <c r="CH154" s="181">
        <f>CH30</f>
        <v>225.5</v>
      </c>
      <c r="CI154" s="181">
        <f>CI30</f>
        <v>227.6</v>
      </c>
      <c r="CJ154" s="181">
        <f>CJ30</f>
        <v>274.89999999999998</v>
      </c>
      <c r="CK154" s="182">
        <f>CK30</f>
        <v>274.89999999999998</v>
      </c>
      <c r="CL154" s="181"/>
      <c r="CM154" s="288">
        <f>CM30</f>
        <v>274.89999999999998</v>
      </c>
      <c r="CN154" s="181">
        <f>CN30</f>
        <v>274.89999999999998</v>
      </c>
      <c r="CO154" s="181">
        <f>CO30</f>
        <v>274.89999999999998</v>
      </c>
      <c r="CP154" s="181">
        <f>CP30</f>
        <v>274.89999999999998</v>
      </c>
      <c r="CQ154" s="182">
        <f>CQ30</f>
        <v>274.89999999999998</v>
      </c>
      <c r="CR154" s="181"/>
      <c r="CS154" s="288">
        <f>CS30</f>
        <v>274.89999999999998</v>
      </c>
      <c r="CT154" s="181">
        <f>CT30</f>
        <v>274.89999999999998</v>
      </c>
      <c r="CU154" s="181">
        <f>CU30</f>
        <v>274.89999999999998</v>
      </c>
      <c r="CV154" s="181">
        <f>CV30</f>
        <v>274.89999999999998</v>
      </c>
      <c r="CW154" s="182">
        <f>CW30</f>
        <v>274.89999999999998</v>
      </c>
      <c r="CY154" s="288">
        <f>CY30</f>
        <v>274.89999999999998</v>
      </c>
      <c r="CZ154" s="181">
        <f>CZ30</f>
        <v>274.89999999999998</v>
      </c>
      <c r="DA154" s="181">
        <f>DA30</f>
        <v>274.89999999999998</v>
      </c>
      <c r="DB154" s="181">
        <f>DB30</f>
        <v>274.89999999999998</v>
      </c>
      <c r="DC154" s="182">
        <f>DC30</f>
        <v>274.89999999999998</v>
      </c>
      <c r="DE154" s="288">
        <f>DE30</f>
        <v>274.89999999999998</v>
      </c>
      <c r="DF154" s="181">
        <f>DF30</f>
        <v>274.89999999999998</v>
      </c>
      <c r="DG154" s="181">
        <f>DG30</f>
        <v>274.89999999999998</v>
      </c>
      <c r="DH154" s="181">
        <f>DH30</f>
        <v>274.89999999999998</v>
      </c>
      <c r="DI154" s="182">
        <f>DI30</f>
        <v>274.89999999999998</v>
      </c>
    </row>
    <row r="155" spans="1:113" ht="11.25" hidden="1" customHeight="1" outlineLevel="1">
      <c r="A155" s="186" t="s">
        <v>161</v>
      </c>
      <c r="B155" s="187"/>
      <c r="C155" s="188">
        <f>SUM(C151:C154)</f>
        <v>35.577446000000002</v>
      </c>
      <c r="D155" s="187"/>
      <c r="E155" s="188">
        <f>SUM(E151:E154)</f>
        <v>41.911000000000001</v>
      </c>
      <c r="F155" s="187"/>
      <c r="G155" s="188">
        <f>SUM(G151:G154)</f>
        <v>47.173000000000002</v>
      </c>
      <c r="H155" s="187"/>
      <c r="I155" s="188">
        <f>SUM(I151:I154)</f>
        <v>46.318999999999996</v>
      </c>
      <c r="J155" s="187"/>
      <c r="K155" s="188">
        <f>SUM(K151:K154)</f>
        <v>120.98700000000001</v>
      </c>
      <c r="L155" s="187"/>
      <c r="M155" s="188">
        <f>SUM(M151:M154)</f>
        <v>103.64400000000001</v>
      </c>
      <c r="N155" s="187"/>
      <c r="O155" s="188">
        <f>SUM(O151:O154)</f>
        <v>114.304</v>
      </c>
      <c r="P155" s="187"/>
      <c r="Q155" s="188">
        <f>SUM(Q151:Q154)</f>
        <v>159.601</v>
      </c>
      <c r="R155" s="187"/>
      <c r="S155" s="335">
        <f>SUM(S151:S154)</f>
        <v>126.768</v>
      </c>
      <c r="T155" s="187">
        <f>SUM(T151:T154)</f>
        <v>130.07</v>
      </c>
      <c r="U155" s="187">
        <f>SUM(U151:U154)</f>
        <v>176.49700000000001</v>
      </c>
      <c r="V155" s="187">
        <f>SUM(V151:V154)</f>
        <v>197.001</v>
      </c>
      <c r="W155" s="188">
        <f>SUM(W151:W154)</f>
        <v>197.001</v>
      </c>
      <c r="X155" s="187"/>
      <c r="Y155" s="335">
        <f>SUM(Y151:Y154)</f>
        <v>214.13300000000001</v>
      </c>
      <c r="Z155" s="187">
        <f>SUM(Z151:Z154)</f>
        <v>205.87700000000001</v>
      </c>
      <c r="AA155" s="187">
        <f>SUM(AA151:AA154)</f>
        <v>220.756</v>
      </c>
      <c r="AB155" s="187">
        <f>SUM(AB151:AB154)</f>
        <v>631.5</v>
      </c>
      <c r="AC155" s="188">
        <f>SUM(AC151:AC154)</f>
        <v>631.5</v>
      </c>
      <c r="AD155" s="187"/>
      <c r="AE155" s="335">
        <f>SUM(AE151:AE154)</f>
        <v>684.52</v>
      </c>
      <c r="AF155" s="187">
        <f>SUM(AF151:AF154)</f>
        <v>619.70999999999992</v>
      </c>
      <c r="AG155" s="187">
        <f>SUM(AG151:AG154)</f>
        <v>568.351</v>
      </c>
      <c r="AH155" s="187">
        <f>SUM(AH151:AH154)</f>
        <v>579.79999999999995</v>
      </c>
      <c r="AI155" s="188">
        <f>SUM(AI151:AI154)</f>
        <v>579.79999999999995</v>
      </c>
      <c r="AJ155" s="187"/>
      <c r="AK155" s="335">
        <f>SUM(AK151:AK154)</f>
        <v>557.70000000000005</v>
      </c>
      <c r="AL155" s="187">
        <f>SUM(AL151:AL154)</f>
        <v>580.29999999999995</v>
      </c>
      <c r="AM155" s="187">
        <f>SUM(AM151:AM154)</f>
        <v>599.4</v>
      </c>
      <c r="AN155" s="187">
        <f>SUM(AN151:AN154)</f>
        <v>615.79999999999995</v>
      </c>
      <c r="AO155" s="188">
        <f>SUM(AO151:AO154)</f>
        <v>615.79999999999995</v>
      </c>
      <c r="AP155" s="187"/>
      <c r="AQ155" s="335">
        <f>SUM(AQ151:AQ154)</f>
        <v>608.5</v>
      </c>
      <c r="AR155" s="187">
        <f>SUM(AR151:AR154)</f>
        <v>601.20000000000005</v>
      </c>
      <c r="AS155" s="187">
        <f>SUM(AS151:AS154)</f>
        <v>661.7</v>
      </c>
      <c r="AT155" s="187">
        <f>SUM(AT151:AT154)</f>
        <v>721.39999999999986</v>
      </c>
      <c r="AU155" s="188">
        <f>SUM(AU151:AU154)</f>
        <v>721.39999999999986</v>
      </c>
      <c r="AV155" s="187"/>
      <c r="AW155" s="335">
        <f>SUM(AW151:AW154)</f>
        <v>757</v>
      </c>
      <c r="AX155" s="187">
        <f>SUM(AX151:AX154)</f>
        <v>781.30000000000007</v>
      </c>
      <c r="AY155" s="187">
        <f>SUM(AY151:AY154)</f>
        <v>755.90000000000009</v>
      </c>
      <c r="AZ155" s="187">
        <f>SUM(AZ151:AZ154)</f>
        <v>782.5</v>
      </c>
      <c r="BA155" s="188">
        <f>SUM(BA151:BA154)</f>
        <v>782.5</v>
      </c>
      <c r="BB155" s="187"/>
      <c r="BC155" s="335">
        <f>SUM(BC151:BC154)</f>
        <v>815.6</v>
      </c>
      <c r="BD155" s="187">
        <f>SUM(BD151:BD154)</f>
        <v>787.6</v>
      </c>
      <c r="BE155" s="187">
        <f>SUM(BE151:BE154)</f>
        <v>767.4</v>
      </c>
      <c r="BF155" s="187">
        <f>SUM(BF151:BF154)</f>
        <v>809.5</v>
      </c>
      <c r="BG155" s="188">
        <f>SUM(BG151:BG154)</f>
        <v>809.5</v>
      </c>
      <c r="BH155" s="187"/>
      <c r="BI155" s="335">
        <f>SUM(BI151:BI154)</f>
        <v>782.7</v>
      </c>
      <c r="BJ155" s="187">
        <f>SUM(BJ151:BJ154)</f>
        <v>742.6</v>
      </c>
      <c r="BK155" s="187">
        <f>SUM(BK151:BK154)</f>
        <v>799.9</v>
      </c>
      <c r="BL155" s="187">
        <f>SUM(BL151:BL154)</f>
        <v>783.10000000000014</v>
      </c>
      <c r="BM155" s="188">
        <f>SUM(BM151:BM154)</f>
        <v>783.10000000000014</v>
      </c>
      <c r="BN155" s="187"/>
      <c r="BO155" s="335">
        <f>SUM(BO151:BO154)</f>
        <v>804.60000000000014</v>
      </c>
      <c r="BP155" s="187">
        <f>SUM(BP151:BP154)</f>
        <v>762.80000000000007</v>
      </c>
      <c r="BQ155" s="187">
        <f>SUM(BQ151:BQ154)</f>
        <v>742.3</v>
      </c>
      <c r="BR155" s="187">
        <f>SUM(BR151:BR154)</f>
        <v>738.1</v>
      </c>
      <c r="BS155" s="188">
        <f>SUM(BS151:BS154)</f>
        <v>738.1</v>
      </c>
      <c r="BT155" s="187"/>
      <c r="BU155" s="335">
        <f>SUM(BU151:BU154)</f>
        <v>696.5</v>
      </c>
      <c r="BV155" s="187">
        <f>SUM(BV151:BV154)</f>
        <v>688.30000000000007</v>
      </c>
      <c r="BW155" s="187">
        <f>SUM(BW151:BW154)</f>
        <v>703.5</v>
      </c>
      <c r="BX155" s="187">
        <f>SUM(BX151:BX154)</f>
        <v>731.3</v>
      </c>
      <c r="BY155" s="188">
        <f>SUM(BY151:BY154)</f>
        <v>731.3</v>
      </c>
      <c r="BZ155" s="187"/>
      <c r="CA155" s="335">
        <f>SUM(CA151:CA154)</f>
        <v>728.5</v>
      </c>
      <c r="CB155" s="187">
        <f>SUM(CB151:CB154)</f>
        <v>707.09999999999991</v>
      </c>
      <c r="CC155" s="187">
        <f>SUM(CC151:CC154)</f>
        <v>732.09999999999991</v>
      </c>
      <c r="CD155" s="187">
        <f>SUM(CD151:CD154)</f>
        <v>703.6</v>
      </c>
      <c r="CE155" s="188">
        <f>SUM(CE151:CE154)</f>
        <v>703.6</v>
      </c>
      <c r="CF155" s="187"/>
      <c r="CG155" s="335">
        <f>SUM(CG151:CG154)</f>
        <v>723.5</v>
      </c>
      <c r="CH155" s="187">
        <f>SUM(CH151:CH154)</f>
        <v>719</v>
      </c>
      <c r="CI155" s="187">
        <f>SUM(CI151:CI154)</f>
        <v>741.1</v>
      </c>
      <c r="CJ155" s="187">
        <f>SUM(CJ151:CJ154)</f>
        <v>799.4</v>
      </c>
      <c r="CK155" s="188">
        <f>SUM(CK151:CK154)</f>
        <v>799.4</v>
      </c>
      <c r="CL155" s="187"/>
      <c r="CM155" s="335">
        <f>SUM(CM151:CM154)</f>
        <v>810.05357202875291</v>
      </c>
      <c r="CN155" s="187">
        <f>SUM(CN151:CN154)</f>
        <v>756.70509174351741</v>
      </c>
      <c r="CO155" s="187">
        <f>SUM(CO151:CO154)</f>
        <v>764.907452884652</v>
      </c>
      <c r="CP155" s="187">
        <f>SUM(CP151:CP154)</f>
        <v>773.45754180164113</v>
      </c>
      <c r="CQ155" s="188">
        <f>SUM(CQ151:CQ154)</f>
        <v>773.45754180164113</v>
      </c>
      <c r="CR155" s="187"/>
      <c r="CS155" s="335">
        <f>SUM(CS151:CS154)</f>
        <v>796.68207266308866</v>
      </c>
      <c r="CT155" s="187">
        <f>SUM(CT151:CT154)</f>
        <v>750.89875951739668</v>
      </c>
      <c r="CU155" s="187">
        <f>SUM(CU151:CU154)</f>
        <v>756.8463525049674</v>
      </c>
      <c r="CV155" s="187">
        <f>SUM(CV151:CV154)</f>
        <v>784.97375532224407</v>
      </c>
      <c r="CW155" s="188">
        <f>SUM(CW151:CW154)</f>
        <v>784.97375532224407</v>
      </c>
      <c r="CY155" s="335">
        <f>SUM(CY151:CY154)</f>
        <v>783.41284583202287</v>
      </c>
      <c r="CZ155" s="187">
        <f>SUM(CZ151:CZ154)</f>
        <v>727.77700539827913</v>
      </c>
      <c r="DA155" s="187">
        <f>SUM(DA151:DA154)</f>
        <v>744.47434887182987</v>
      </c>
      <c r="DB155" s="187">
        <f>SUM(DB151:DB154)</f>
        <v>758.34641022209166</v>
      </c>
      <c r="DC155" s="188">
        <f>SUM(DC151:DC154)</f>
        <v>758.34641022209166</v>
      </c>
      <c r="DE155" s="335">
        <f>SUM(DE151:DE154)</f>
        <v>767.56714536897857</v>
      </c>
      <c r="DF155" s="187">
        <f>SUM(DF151:DF154)</f>
        <v>717.44719305786737</v>
      </c>
      <c r="DG155" s="187">
        <f>SUM(DG151:DG154)</f>
        <v>725.9201964941891</v>
      </c>
      <c r="DH155" s="187">
        <f>SUM(DH151:DH154)</f>
        <v>739.6679428312093</v>
      </c>
      <c r="DI155" s="188">
        <f>SUM(DI151:DI154)</f>
        <v>739.6679428312093</v>
      </c>
    </row>
    <row r="156" spans="1:113" ht="11.25" hidden="1" customHeight="1" outlineLevel="1">
      <c r="A156" s="189"/>
      <c r="B156" s="190"/>
      <c r="C156" s="191"/>
      <c r="D156" s="190"/>
      <c r="E156" s="191"/>
      <c r="F156" s="190"/>
      <c r="G156" s="191"/>
      <c r="H156" s="190"/>
      <c r="I156" s="191"/>
      <c r="J156" s="190"/>
      <c r="K156" s="191"/>
      <c r="L156" s="190"/>
      <c r="M156" s="191"/>
      <c r="N156" s="190"/>
      <c r="O156" s="191"/>
      <c r="P156" s="190"/>
      <c r="Q156" s="191"/>
      <c r="R156" s="190"/>
      <c r="S156" s="336"/>
      <c r="T156" s="190"/>
      <c r="U156" s="190"/>
      <c r="V156" s="190"/>
      <c r="W156" s="191"/>
      <c r="X156" s="190"/>
      <c r="Y156" s="336"/>
      <c r="Z156" s="190"/>
      <c r="AA156" s="190"/>
      <c r="AB156" s="190"/>
      <c r="AC156" s="191"/>
      <c r="AD156" s="190"/>
      <c r="AE156" s="336"/>
      <c r="AF156" s="190"/>
      <c r="AG156" s="190"/>
      <c r="AH156" s="190"/>
      <c r="AI156" s="191"/>
      <c r="AJ156" s="190"/>
      <c r="AK156" s="336"/>
      <c r="AL156" s="190"/>
      <c r="AM156" s="190"/>
      <c r="AN156" s="190"/>
      <c r="AO156" s="191"/>
      <c r="AP156" s="190"/>
      <c r="AQ156" s="336"/>
      <c r="AR156" s="190"/>
      <c r="AS156" s="190"/>
      <c r="AT156" s="190"/>
      <c r="AU156" s="191"/>
      <c r="AV156" s="190"/>
      <c r="AW156" s="336"/>
      <c r="AX156" s="190"/>
      <c r="AY156" s="190"/>
      <c r="AZ156" s="190"/>
      <c r="BA156" s="191"/>
      <c r="BB156" s="190"/>
      <c r="BC156" s="336"/>
      <c r="BD156" s="190"/>
      <c r="BE156" s="190"/>
      <c r="BF156" s="190"/>
      <c r="BG156" s="191"/>
      <c r="BH156" s="190"/>
      <c r="BI156" s="336"/>
      <c r="BJ156" s="190"/>
      <c r="BK156" s="190"/>
      <c r="BL156" s="190"/>
      <c r="BM156" s="191"/>
      <c r="BN156" s="190"/>
      <c r="BO156" s="336"/>
      <c r="BP156" s="190"/>
      <c r="BQ156" s="190"/>
      <c r="BR156" s="190"/>
      <c r="BS156" s="191"/>
      <c r="BT156" s="190"/>
      <c r="BU156" s="336"/>
      <c r="BV156" s="190"/>
      <c r="BW156" s="190"/>
      <c r="BX156" s="190"/>
      <c r="BY156" s="191"/>
      <c r="BZ156" s="190"/>
      <c r="CA156" s="336"/>
      <c r="CB156" s="190"/>
      <c r="CC156" s="190"/>
      <c r="CD156" s="190"/>
      <c r="CE156" s="191"/>
      <c r="CF156" s="190"/>
      <c r="CG156" s="336"/>
      <c r="CH156" s="190"/>
      <c r="CI156" s="190"/>
      <c r="CJ156" s="190"/>
      <c r="CK156" s="191"/>
      <c r="CL156" s="190"/>
      <c r="CM156" s="336"/>
      <c r="CN156" s="190"/>
      <c r="CO156" s="190"/>
      <c r="CP156" s="190"/>
      <c r="CQ156" s="191"/>
      <c r="CR156" s="190"/>
      <c r="CS156" s="336"/>
      <c r="CT156" s="190"/>
      <c r="CU156" s="190"/>
      <c r="CV156" s="190"/>
      <c r="CW156" s="191"/>
      <c r="CY156" s="336"/>
      <c r="CZ156" s="190"/>
      <c r="DA156" s="190"/>
      <c r="DB156" s="190"/>
      <c r="DC156" s="191"/>
      <c r="DE156" s="336"/>
      <c r="DF156" s="190"/>
      <c r="DG156" s="190"/>
      <c r="DH156" s="190"/>
      <c r="DI156" s="191"/>
    </row>
    <row r="157" spans="1:113" ht="11.25" hidden="1" customHeight="1" outlineLevel="1">
      <c r="A157" s="186" t="s">
        <v>162</v>
      </c>
      <c r="B157" s="187"/>
      <c r="C157" s="188">
        <f>C149-C155</f>
        <v>27.128951999999998</v>
      </c>
      <c r="D157" s="187"/>
      <c r="E157" s="188">
        <f>E149-E155</f>
        <v>22.954999999999998</v>
      </c>
      <c r="F157" s="187"/>
      <c r="G157" s="188">
        <f>G149-G155</f>
        <v>41.579999999999984</v>
      </c>
      <c r="H157" s="187"/>
      <c r="I157" s="188">
        <f>I149-I155</f>
        <v>72.624000000000024</v>
      </c>
      <c r="J157" s="187"/>
      <c r="K157" s="188">
        <f>K149-K155</f>
        <v>121.60399999999997</v>
      </c>
      <c r="L157" s="187"/>
      <c r="M157" s="188">
        <f>M149-M155</f>
        <v>170.54999999999995</v>
      </c>
      <c r="N157" s="187"/>
      <c r="O157" s="188">
        <f>O149-O155</f>
        <v>179.55200000000005</v>
      </c>
      <c r="P157" s="187"/>
      <c r="Q157" s="188">
        <f>Q149-Q155</f>
        <v>154.98999999999995</v>
      </c>
      <c r="R157" s="187"/>
      <c r="S157" s="335">
        <f>S149-S155</f>
        <v>147.24099999999996</v>
      </c>
      <c r="T157" s="187">
        <f>T149-T155</f>
        <v>153.06</v>
      </c>
      <c r="U157" s="187">
        <f>U149-U155</f>
        <v>188.71899999999999</v>
      </c>
      <c r="V157" s="187">
        <f>V149-V155</f>
        <v>184.03900000000002</v>
      </c>
      <c r="W157" s="188">
        <f>W149-W155</f>
        <v>184.03900000000002</v>
      </c>
      <c r="X157" s="187"/>
      <c r="Y157" s="335">
        <f>Y149-Y155</f>
        <v>193.26900000000003</v>
      </c>
      <c r="Z157" s="187">
        <f>Z149-Z155</f>
        <v>212.67600000000004</v>
      </c>
      <c r="AA157" s="187">
        <f>AA149-AA155</f>
        <v>238.70399999999992</v>
      </c>
      <c r="AB157" s="187">
        <f>AB149-AB155</f>
        <v>334.59999999999991</v>
      </c>
      <c r="AC157" s="188">
        <f>AC149-AC155</f>
        <v>334.59999999999991</v>
      </c>
      <c r="AD157" s="187"/>
      <c r="AE157" s="335">
        <f>AE149-AE155</f>
        <v>391.62699999999995</v>
      </c>
      <c r="AF157" s="187">
        <f>AF149-AF155</f>
        <v>419.94200000000012</v>
      </c>
      <c r="AG157" s="187">
        <f>AG149-AG155</f>
        <v>421.79200000000003</v>
      </c>
      <c r="AH157" s="187">
        <f>AH149-AH155</f>
        <v>368.79999999999995</v>
      </c>
      <c r="AI157" s="188">
        <f>AI149-AI155</f>
        <v>368.79999999999995</v>
      </c>
      <c r="AJ157" s="187"/>
      <c r="AK157" s="335">
        <f>AK149-AK155</f>
        <v>351.5</v>
      </c>
      <c r="AL157" s="187">
        <f>AL149-AL155</f>
        <v>352.90000000000009</v>
      </c>
      <c r="AM157" s="187">
        <f>AM149-AM155</f>
        <v>374.30000000000007</v>
      </c>
      <c r="AN157" s="187">
        <f>AN149-AN155</f>
        <v>347.4</v>
      </c>
      <c r="AO157" s="188">
        <f>AO149-AO155</f>
        <v>347.4</v>
      </c>
      <c r="AP157" s="187"/>
      <c r="AQ157" s="335">
        <f>AQ149-AQ155</f>
        <v>344.50000000000011</v>
      </c>
      <c r="AR157" s="187">
        <f>AR149-AR155</f>
        <v>349.19999999999993</v>
      </c>
      <c r="AS157" s="187">
        <f>AS149-AS155</f>
        <v>424.89999999999986</v>
      </c>
      <c r="AT157" s="187">
        <f>AT149-AT155</f>
        <v>595.10000000000014</v>
      </c>
      <c r="AU157" s="188">
        <f>AU149-AU155</f>
        <v>595.10000000000014</v>
      </c>
      <c r="AV157" s="187"/>
      <c r="AW157" s="335">
        <f>AW149-AW155</f>
        <v>670.59999999999991</v>
      </c>
      <c r="AX157" s="187">
        <f>AX149-AX155</f>
        <v>745.50000000000011</v>
      </c>
      <c r="AY157" s="187">
        <f>AY149-AY155</f>
        <v>715.7</v>
      </c>
      <c r="AZ157" s="187">
        <f>AZ149-AZ155</f>
        <v>679.80000000000018</v>
      </c>
      <c r="BA157" s="188">
        <f>BA149-BA155</f>
        <v>679.80000000000018</v>
      </c>
      <c r="BB157" s="187"/>
      <c r="BC157" s="335">
        <f>BC149-BC155</f>
        <v>748.5999999999998</v>
      </c>
      <c r="BD157" s="187">
        <f>BD149-BD155</f>
        <v>722.19999999999993</v>
      </c>
      <c r="BE157" s="187">
        <f>BE149-BE155</f>
        <v>790.50000000000011</v>
      </c>
      <c r="BF157" s="187">
        <f>BF149-BF155</f>
        <v>736.3</v>
      </c>
      <c r="BG157" s="188">
        <f>BG149-BG155</f>
        <v>736.3</v>
      </c>
      <c r="BH157" s="187"/>
      <c r="BI157" s="335">
        <f>BI149-BI155</f>
        <v>759.8</v>
      </c>
      <c r="BJ157" s="187">
        <f>BJ149-BJ155</f>
        <v>808.30000000000007</v>
      </c>
      <c r="BK157" s="187">
        <f>BK149-BK155</f>
        <v>829.50000000000011</v>
      </c>
      <c r="BL157" s="187">
        <f>BL149-BL155</f>
        <v>766.49999999999977</v>
      </c>
      <c r="BM157" s="188">
        <f>BM149-BM155</f>
        <v>766.49999999999977</v>
      </c>
      <c r="BN157" s="187"/>
      <c r="BO157" s="335">
        <f>BO149-BO155</f>
        <v>769.10000000000014</v>
      </c>
      <c r="BP157" s="187">
        <f>BP149-BP155</f>
        <v>783.49999999999989</v>
      </c>
      <c r="BQ157" s="187">
        <f>BQ149-BQ155</f>
        <v>726.00000000000023</v>
      </c>
      <c r="BR157" s="187">
        <f>BR149-BR155</f>
        <v>629.19999999999993</v>
      </c>
      <c r="BS157" s="188">
        <f>BS149-BS155</f>
        <v>629.19999999999993</v>
      </c>
      <c r="BT157" s="187"/>
      <c r="BU157" s="335">
        <f>BU149-BU155</f>
        <v>583.90000000000009</v>
      </c>
      <c r="BV157" s="187">
        <f>BV149-BV155</f>
        <v>638.49999999999989</v>
      </c>
      <c r="BW157" s="187">
        <f>BW149-BW155</f>
        <v>607.09999999999991</v>
      </c>
      <c r="BX157" s="187">
        <f>BX149-BX155</f>
        <v>531.30000000000018</v>
      </c>
      <c r="BY157" s="188">
        <f>BY149-BY155</f>
        <v>531.30000000000018</v>
      </c>
      <c r="BZ157" s="187"/>
      <c r="CA157" s="335">
        <f>CA149-CA155</f>
        <v>590.80000000000018</v>
      </c>
      <c r="CB157" s="187">
        <f>CB149-CB155</f>
        <v>593</v>
      </c>
      <c r="CC157" s="187">
        <f>CC149-CC155</f>
        <v>624.30000000000018</v>
      </c>
      <c r="CD157" s="187">
        <f>CD149-CD155</f>
        <v>604.49999999999989</v>
      </c>
      <c r="CE157" s="188">
        <f>CE149-CE155</f>
        <v>604.49999999999989</v>
      </c>
      <c r="CF157" s="187"/>
      <c r="CG157" s="335">
        <f>CG149-CG155</f>
        <v>651.89999999999986</v>
      </c>
      <c r="CH157" s="187">
        <f>CH149-CH155</f>
        <v>753.59999999999991</v>
      </c>
      <c r="CI157" s="187">
        <f>CI149-CI155</f>
        <v>791.20000000000016</v>
      </c>
      <c r="CJ157" s="187">
        <f>CJ149-CJ155</f>
        <v>709.9</v>
      </c>
      <c r="CK157" s="188">
        <f>CK149-CK155</f>
        <v>709.9</v>
      </c>
      <c r="CL157" s="187"/>
      <c r="CM157" s="335">
        <f>CM149-CM155</f>
        <v>710.61102082785453</v>
      </c>
      <c r="CN157" s="187">
        <f>CN149-CN155</f>
        <v>766.50775840671508</v>
      </c>
      <c r="CO157" s="187">
        <f>CO149-CO155</f>
        <v>758.54023622395107</v>
      </c>
      <c r="CP157" s="187">
        <f>CP149-CP155</f>
        <v>764.13612190367576</v>
      </c>
      <c r="CQ157" s="188">
        <f>CQ149-CQ155</f>
        <v>764.13612190367576</v>
      </c>
      <c r="CR157" s="187"/>
      <c r="CS157" s="335">
        <f>CS149-CS155</f>
        <v>672.39962567664281</v>
      </c>
      <c r="CT157" s="187">
        <f>CT149-CT155</f>
        <v>735.86398141804716</v>
      </c>
      <c r="CU157" s="187">
        <f>CU149-CU155</f>
        <v>755.81827234367051</v>
      </c>
      <c r="CV157" s="187">
        <f>CV149-CV155</f>
        <v>817.58222069090482</v>
      </c>
      <c r="CW157" s="188">
        <f>CW149-CW155</f>
        <v>817.58222069090482</v>
      </c>
      <c r="CX157" s="192"/>
      <c r="CY157" s="335">
        <f>CY149-CY155</f>
        <v>707.61511185294125</v>
      </c>
      <c r="CZ157" s="187">
        <f>CZ149-CZ155</f>
        <v>766.14840558980575</v>
      </c>
      <c r="DA157" s="187">
        <f>DA149-DA155</f>
        <v>800.81057534185527</v>
      </c>
      <c r="DB157" s="187">
        <f>DB149-DB155</f>
        <v>872.4169333335974</v>
      </c>
      <c r="DC157" s="188">
        <f>DC149-DC155</f>
        <v>872.4169333335974</v>
      </c>
      <c r="DD157" s="192"/>
      <c r="DE157" s="335">
        <f>DE149-DE155</f>
        <v>723.07314255044412</v>
      </c>
      <c r="DF157" s="187">
        <f>DF149-DF155</f>
        <v>792.5555932696542</v>
      </c>
      <c r="DG157" s="187">
        <f>DG149-DG155</f>
        <v>819.54063190820227</v>
      </c>
      <c r="DH157" s="187">
        <f>DH149-DH155</f>
        <v>913.92698157377845</v>
      </c>
      <c r="DI157" s="188">
        <f>DI149-DI155</f>
        <v>913.92698157377845</v>
      </c>
    </row>
    <row r="158" spans="1:113" ht="11.25" hidden="1" customHeight="1" outlineLevel="1">
      <c r="A158" s="108" t="s">
        <v>163</v>
      </c>
      <c r="B158" s="193"/>
      <c r="C158" s="194"/>
      <c r="D158" s="193"/>
      <c r="E158" s="194">
        <f>E137/C157</f>
        <v>2.3845373754209156</v>
      </c>
      <c r="F158" s="193"/>
      <c r="G158" s="194">
        <f>G137/E157</f>
        <v>3.3370507514702683</v>
      </c>
      <c r="H158" s="193"/>
      <c r="I158" s="194">
        <f>I137/G157</f>
        <v>2.2292207792207801</v>
      </c>
      <c r="J158" s="193"/>
      <c r="K158" s="194">
        <f>K137/I157</f>
        <v>3.0383619740030832</v>
      </c>
      <c r="L158" s="193"/>
      <c r="M158" s="194">
        <f>M137/K157</f>
        <v>2.14367126081379</v>
      </c>
      <c r="N158" s="193"/>
      <c r="O158" s="194">
        <f>O137/M157</f>
        <v>1.667639988273234</v>
      </c>
      <c r="P158" s="193"/>
      <c r="Q158" s="194">
        <f>Q137/O157</f>
        <v>2.0732322669755829</v>
      </c>
      <c r="R158" s="193"/>
      <c r="S158" s="337">
        <f>S137*4/Q157</f>
        <v>2.4480547132073043</v>
      </c>
      <c r="T158" s="193">
        <f>T137*4/S157</f>
        <v>2.7297559782940897</v>
      </c>
      <c r="U158" s="193">
        <f>U137*4/T157</f>
        <v>2.7406245916634</v>
      </c>
      <c r="V158" s="193">
        <f>V137*4/U157</f>
        <v>2.8746443124433689</v>
      </c>
      <c r="W158" s="194">
        <f>W137/Q157</f>
        <v>2.812013678301827</v>
      </c>
      <c r="X158" s="193"/>
      <c r="Y158" s="337">
        <f>Y137*4/W157</f>
        <v>4.510696102456544</v>
      </c>
      <c r="Z158" s="193">
        <f>Z137*4/Y157</f>
        <v>4.9328552432102395</v>
      </c>
      <c r="AA158" s="193">
        <f>AA137*4/Z157</f>
        <v>4.5470104760292642</v>
      </c>
      <c r="AB158" s="193">
        <f>AB137*4/AA157</f>
        <v>5.77723037737114</v>
      </c>
      <c r="AC158" s="194">
        <f>AC137/W157</f>
        <v>5.6096805568384962</v>
      </c>
      <c r="AD158" s="193"/>
      <c r="AE158" s="337">
        <f>AE137*4/AC157</f>
        <v>2.8487746563060381</v>
      </c>
      <c r="AF158" s="193">
        <f>AF137*4/AE157</f>
        <v>3.181598817241917</v>
      </c>
      <c r="AG158" s="193">
        <f>AG137*4/AF157</f>
        <v>2.3060327378542747</v>
      </c>
      <c r="AH158" s="193">
        <f>AH137*4/AG157</f>
        <v>2.9891510507548738</v>
      </c>
      <c r="AI158" s="194">
        <f>AI137/AC157</f>
        <v>3.3087268380155415</v>
      </c>
      <c r="AJ158" s="193"/>
      <c r="AK158" s="337">
        <f>AK137*4/AI157</f>
        <v>2.5000000000000004</v>
      </c>
      <c r="AL158" s="193">
        <f>AL137*4/AK157</f>
        <v>2.8733997155049789</v>
      </c>
      <c r="AM158" s="193">
        <f>AM137*4/AL157</f>
        <v>3.0048172286766777</v>
      </c>
      <c r="AN158" s="193">
        <f>AN137*4/AM157</f>
        <v>3.9155757413839165</v>
      </c>
      <c r="AO158" s="194">
        <f>AO137/AI157</f>
        <v>3.0219631236442521</v>
      </c>
      <c r="AP158" s="193"/>
      <c r="AQ158" s="337">
        <f>AQ137*4/AO157</f>
        <v>3.1974668969487623</v>
      </c>
      <c r="AR158" s="193">
        <f>AR137*4/AQ157</f>
        <v>3.4937590711175601</v>
      </c>
      <c r="AS158" s="193">
        <f>AS137*4/AR157</f>
        <v>3.5532646048109973</v>
      </c>
      <c r="AT158" s="193">
        <f>AT137*4/AS157</f>
        <v>3.9171569781124984</v>
      </c>
      <c r="AU158" s="194">
        <f>AU137/AO157</f>
        <v>3.7561888313183656</v>
      </c>
      <c r="AV158" s="193"/>
      <c r="AW158" s="337">
        <f>AW137*4/AU157</f>
        <v>2.3995967064358927</v>
      </c>
      <c r="AX158" s="193">
        <f>AX137*4/AW157</f>
        <v>2.3930808231434542</v>
      </c>
      <c r="AY158" s="193">
        <f>AY137*4/AX157</f>
        <v>2.2449362843729035</v>
      </c>
      <c r="AZ158" s="193">
        <f>AZ137*4/AY157</f>
        <v>2.6553025010479243</v>
      </c>
      <c r="BA158" s="194">
        <f>BA137/AU157</f>
        <v>2.7754999159805065</v>
      </c>
      <c r="BB158" s="193"/>
      <c r="BC158" s="337">
        <f>BC137*4/BA157</f>
        <v>2.3865842894969105</v>
      </c>
      <c r="BD158" s="193">
        <f>BD137*4/BC157</f>
        <v>2.2479294683409039</v>
      </c>
      <c r="BE158" s="193">
        <f>BE137*4/BD157</f>
        <v>2.4801993907504851</v>
      </c>
      <c r="BF158" s="193">
        <f>BF137*4/BE157</f>
        <v>2.6175838077166351</v>
      </c>
      <c r="BG158" s="194">
        <f>BG137/BA157</f>
        <v>2.6351868196528385</v>
      </c>
      <c r="BH158" s="193"/>
      <c r="BI158" s="337">
        <f>BI137*4/BG157</f>
        <v>2.137172348227625</v>
      </c>
      <c r="BJ158" s="193">
        <f>BJ137*4/BI157</f>
        <v>2.3948407475651492</v>
      </c>
      <c r="BK158" s="193">
        <f>BK137*4/BJ157</f>
        <v>2.1724607200296919</v>
      </c>
      <c r="BL158" s="193">
        <f>BL137*4/BK157</f>
        <v>2.6623267028330315</v>
      </c>
      <c r="BM158" s="194">
        <f>BM137/BG157</f>
        <v>2.4981665082167597</v>
      </c>
      <c r="BN158" s="193"/>
      <c r="BO158" s="337">
        <f>BO137*4/BM157</f>
        <v>2.2110893672537517</v>
      </c>
      <c r="BP158" s="193">
        <f>BP137*4/BO157</f>
        <v>2.3788844103497588</v>
      </c>
      <c r="BQ158" s="193">
        <f>BQ137*4/BP157</f>
        <v>2.143203573707722</v>
      </c>
      <c r="BR158" s="193">
        <f>BR137*4/BQ157</f>
        <v>2.7988980716253438</v>
      </c>
      <c r="BS158" s="194">
        <f>BS137/BM157</f>
        <v>2.3599478147423363</v>
      </c>
      <c r="BT158" s="193"/>
      <c r="BU158" s="337">
        <f>BU137*4/BS157</f>
        <v>2.2472981563890659</v>
      </c>
      <c r="BV158" s="193">
        <f>BV137*4/BU157</f>
        <v>2.7127932865216642</v>
      </c>
      <c r="BW158" s="193">
        <f>BW137*4/BV157</f>
        <v>2.4814408770555998</v>
      </c>
      <c r="BX158" s="193">
        <f>BX137*4/BW157</f>
        <v>3.1507165211661992</v>
      </c>
      <c r="BY158" s="194">
        <f>BY137/BS157</f>
        <v>2.580737444373808</v>
      </c>
      <c r="BZ158" s="193"/>
      <c r="CA158" s="337">
        <f>CA137*4/BY157</f>
        <v>2.8262751741012604</v>
      </c>
      <c r="CB158" s="193">
        <f>CB137*4/CA157</f>
        <v>2.5165876777251182</v>
      </c>
      <c r="CC158" s="193">
        <f>CC137*4/CB157</f>
        <v>2.6569983136593591</v>
      </c>
      <c r="CD158" s="193">
        <f>CD137*4/CC157</f>
        <v>3.0132948902771091</v>
      </c>
      <c r="CE158" s="194">
        <f>CE137/BY157</f>
        <v>3.0327498588368145</v>
      </c>
      <c r="CF158" s="193"/>
      <c r="CG158" s="337">
        <f>CG137*4/CE157</f>
        <v>2.5468982630272956</v>
      </c>
      <c r="CH158" s="193">
        <f>CH137*4/CG157</f>
        <v>2.545789231477221</v>
      </c>
      <c r="CI158" s="193">
        <f>CI137*4/CH157</f>
        <v>2.3121019108280256</v>
      </c>
      <c r="CJ158" s="193">
        <f>CJ137*4/CI157</f>
        <v>2.6820020222446921</v>
      </c>
      <c r="CK158" s="194">
        <f>CK137/CE157</f>
        <v>2.9212572373862704</v>
      </c>
      <c r="CL158" s="193"/>
      <c r="CM158" s="337">
        <f>CM137*4/CK157</f>
        <v>2.3872499908357074</v>
      </c>
      <c r="CN158" s="193">
        <f>CN137*4/CM157</f>
        <v>2.4445684239077989</v>
      </c>
      <c r="CO158" s="193">
        <f>CO137*4/CN157</f>
        <v>2.3535302141719705</v>
      </c>
      <c r="CP158" s="193">
        <f>CP137*4/CO157</f>
        <v>2.9413744196931235</v>
      </c>
      <c r="CQ158" s="194">
        <f>CQ137/CK157</f>
        <v>2.6295943258330299</v>
      </c>
      <c r="CR158" s="193"/>
      <c r="CS158" s="337">
        <f>CS137*4/CQ157</f>
        <v>2.2563655455272191</v>
      </c>
      <c r="CT158" s="193">
        <f>CT137*4/CS157</f>
        <v>2.6734349002739446</v>
      </c>
      <c r="CU158" s="193">
        <f>CU137*4/CT157</f>
        <v>2.4884451623535924</v>
      </c>
      <c r="CV158" s="193">
        <f>CV137*4/CU157</f>
        <v>3.0953874411412325</v>
      </c>
      <c r="CW158" s="194">
        <f>CW137/CQ157</f>
        <v>2.5167291454940068</v>
      </c>
      <c r="CY158" s="337">
        <f>CY137*4/CW157</f>
        <v>2.1657242336904807</v>
      </c>
      <c r="CZ158" s="193">
        <f>CZ137*4/CY157</f>
        <v>2.5657722403918162</v>
      </c>
      <c r="DA158" s="193">
        <f>DA137*4/CZ157</f>
        <v>2.4730282649905018</v>
      </c>
      <c r="DB158" s="193">
        <f>DB137*4/DA157</f>
        <v>2.9771750501094707</v>
      </c>
      <c r="DC158" s="194">
        <f>DC137/CW157</f>
        <v>2.4049864855136249</v>
      </c>
      <c r="DE158" s="337">
        <f>DE137*4/DC157</f>
        <v>2.0625786538030684</v>
      </c>
      <c r="DF158" s="193">
        <f>DF137*4/DE157</f>
        <v>2.5918387720403167</v>
      </c>
      <c r="DG158" s="193">
        <f>DG137*4/DF157</f>
        <v>2.4264044234805437</v>
      </c>
      <c r="DH158" s="193">
        <f>DH137*4/DG157</f>
        <v>2.9910586769503884</v>
      </c>
      <c r="DI158" s="194">
        <f>DI137/DC157</f>
        <v>2.3062000970647962</v>
      </c>
    </row>
    <row r="159" spans="1:113" ht="11.25" hidden="1" customHeight="1" outlineLevel="1">
      <c r="A159" s="27" t="s">
        <v>94</v>
      </c>
      <c r="B159" s="36"/>
      <c r="C159" s="27"/>
      <c r="D159" s="36"/>
      <c r="E159" s="27"/>
      <c r="F159" s="36"/>
      <c r="G159" s="27"/>
      <c r="H159" s="36"/>
      <c r="I159" s="27"/>
      <c r="J159" s="36"/>
      <c r="K159" s="27"/>
      <c r="L159" s="36"/>
      <c r="M159" s="27"/>
      <c r="N159" s="36"/>
      <c r="O159" s="27"/>
      <c r="P159" s="36"/>
      <c r="Q159" s="27"/>
      <c r="R159" s="36"/>
      <c r="S159" s="36"/>
      <c r="T159" s="36"/>
      <c r="U159" s="36"/>
      <c r="V159" s="36"/>
      <c r="W159" s="36"/>
      <c r="X159" s="36"/>
      <c r="Y159" s="36"/>
      <c r="Z159" s="36"/>
      <c r="AA159" s="36"/>
      <c r="AB159" s="36"/>
      <c r="AC159" s="36"/>
      <c r="AD159" s="36"/>
      <c r="AE159" s="36"/>
      <c r="AF159" s="36"/>
      <c r="AG159" s="36"/>
      <c r="AH159" s="36"/>
      <c r="AI159" s="36"/>
      <c r="AJ159" s="36"/>
      <c r="AK159" s="36"/>
      <c r="AL159" s="36"/>
      <c r="AM159" s="36"/>
      <c r="AN159" s="36"/>
      <c r="AO159" s="36"/>
      <c r="AP159" s="36"/>
      <c r="AQ159" s="36"/>
      <c r="AR159" s="36"/>
      <c r="AS159" s="36"/>
      <c r="AT159" s="36"/>
      <c r="AU159" s="36"/>
      <c r="AV159" s="36"/>
      <c r="AW159" s="36"/>
      <c r="AX159" s="36"/>
      <c r="AY159" s="36"/>
      <c r="AZ159" s="36"/>
      <c r="BA159" s="36"/>
      <c r="BB159" s="36"/>
      <c r="BC159" s="36"/>
      <c r="BD159" s="36"/>
      <c r="BE159" s="36"/>
      <c r="BF159" s="36"/>
      <c r="BG159" s="36"/>
      <c r="BH159" s="36"/>
      <c r="BI159" s="36"/>
      <c r="BJ159" s="36"/>
      <c r="BK159" s="36"/>
      <c r="BL159" s="36"/>
      <c r="BM159" s="36"/>
      <c r="BN159" s="36"/>
      <c r="BO159" s="36"/>
      <c r="BP159" s="36"/>
      <c r="BQ159" s="36"/>
      <c r="BR159" s="36"/>
      <c r="BS159" s="27"/>
      <c r="BT159" s="36"/>
      <c r="BU159" s="36"/>
      <c r="BV159" s="36"/>
      <c r="BW159" s="36"/>
      <c r="BX159" s="36"/>
      <c r="BY159" s="27"/>
      <c r="BZ159" s="36"/>
      <c r="CA159" s="36"/>
      <c r="CB159" s="36"/>
      <c r="CC159" s="36"/>
      <c r="CD159" s="36"/>
      <c r="CE159" s="27"/>
      <c r="CF159" s="36"/>
      <c r="CG159" s="36"/>
      <c r="CH159" s="36"/>
      <c r="CI159" s="36"/>
      <c r="CJ159" s="36"/>
      <c r="CK159" s="27"/>
      <c r="CL159" s="36"/>
      <c r="CM159" s="36"/>
      <c r="CN159" s="36"/>
      <c r="CO159" s="36"/>
      <c r="CP159" s="36"/>
      <c r="CQ159" s="27"/>
      <c r="CR159" s="36"/>
      <c r="CS159" s="36"/>
      <c r="CT159" s="36"/>
      <c r="CU159" s="36"/>
      <c r="CV159" s="36"/>
      <c r="CW159" s="27"/>
      <c r="CY159" s="36"/>
      <c r="CZ159" s="36"/>
      <c r="DA159" s="36"/>
      <c r="DB159" s="36"/>
      <c r="DC159" s="27"/>
      <c r="DE159" s="36"/>
      <c r="DF159" s="36"/>
      <c r="DG159" s="36"/>
      <c r="DH159" s="36"/>
      <c r="DI159" s="27"/>
    </row>
    <row r="160" spans="1:113" ht="11.25" customHeight="1" collapsed="1">
      <c r="A160" s="27"/>
      <c r="B160" s="36"/>
      <c r="C160" s="27"/>
      <c r="D160" s="36"/>
      <c r="E160" s="27"/>
      <c r="F160" s="36"/>
      <c r="G160" s="27"/>
      <c r="H160" s="36"/>
      <c r="I160" s="27"/>
      <c r="J160" s="36"/>
      <c r="K160" s="27"/>
      <c r="L160" s="36"/>
      <c r="M160" s="27"/>
      <c r="N160" s="36"/>
      <c r="O160" s="27"/>
      <c r="P160" s="36"/>
      <c r="Q160" s="27"/>
      <c r="R160" s="36"/>
      <c r="S160" s="36"/>
      <c r="T160" s="36"/>
      <c r="U160" s="36"/>
      <c r="V160" s="36"/>
      <c r="W160" s="36"/>
      <c r="X160" s="36"/>
      <c r="Y160" s="36"/>
      <c r="Z160" s="36"/>
      <c r="AA160" s="36"/>
      <c r="AB160" s="36"/>
      <c r="AC160" s="36"/>
      <c r="AD160" s="36"/>
      <c r="AE160" s="36"/>
      <c r="AF160" s="36"/>
      <c r="AG160" s="36"/>
      <c r="AH160" s="36"/>
      <c r="AI160" s="36"/>
      <c r="AJ160" s="36"/>
      <c r="AK160" s="36"/>
      <c r="AL160" s="36"/>
      <c r="AM160" s="36"/>
      <c r="AN160" s="36"/>
      <c r="AO160" s="36"/>
      <c r="AP160" s="36"/>
      <c r="AQ160" s="36"/>
      <c r="AR160" s="36"/>
      <c r="AS160" s="36"/>
      <c r="AT160" s="36"/>
      <c r="AU160" s="36"/>
      <c r="AV160" s="36"/>
      <c r="AW160" s="36"/>
      <c r="AX160" s="36"/>
      <c r="AY160" s="36"/>
      <c r="AZ160" s="36"/>
      <c r="BA160" s="36"/>
      <c r="BB160" s="36"/>
      <c r="BC160" s="36"/>
      <c r="BD160" s="36"/>
      <c r="BE160" s="36"/>
      <c r="BF160" s="36"/>
      <c r="BG160" s="36"/>
      <c r="BH160" s="36"/>
      <c r="BI160" s="36"/>
      <c r="BJ160" s="36"/>
      <c r="BK160" s="36"/>
      <c r="BL160" s="36"/>
      <c r="BM160" s="36"/>
      <c r="BN160" s="36"/>
      <c r="BO160" s="36"/>
      <c r="BP160" s="36"/>
      <c r="BQ160" s="36"/>
      <c r="BR160" s="36"/>
      <c r="BS160" s="27"/>
      <c r="BT160" s="36"/>
      <c r="BU160" s="36"/>
      <c r="BV160" s="36"/>
      <c r="BW160" s="36"/>
      <c r="BX160" s="36"/>
      <c r="BY160" s="27"/>
      <c r="BZ160" s="36"/>
      <c r="CA160" s="36"/>
      <c r="CB160" s="36"/>
      <c r="CC160" s="36"/>
      <c r="CD160" s="36"/>
      <c r="CE160" s="27"/>
      <c r="CF160" s="36"/>
      <c r="CG160" s="36"/>
      <c r="CH160" s="36"/>
      <c r="CI160" s="36"/>
      <c r="CJ160" s="36"/>
      <c r="CK160" s="27"/>
      <c r="CL160" s="36"/>
      <c r="CM160" s="36"/>
      <c r="CN160" s="36"/>
      <c r="CO160" s="36"/>
      <c r="CP160" s="36"/>
      <c r="CQ160" s="27"/>
      <c r="CR160" s="36"/>
      <c r="CS160" s="36"/>
      <c r="CT160" s="36"/>
      <c r="CU160" s="36"/>
      <c r="CV160" s="36"/>
      <c r="CW160" s="27"/>
      <c r="CY160" s="36"/>
      <c r="CZ160" s="36"/>
      <c r="DA160" s="36"/>
      <c r="DB160" s="36"/>
      <c r="DC160" s="27"/>
      <c r="DE160" s="36"/>
      <c r="DF160" s="36"/>
      <c r="DG160" s="36"/>
      <c r="DH160" s="36"/>
      <c r="DI160" s="27"/>
    </row>
    <row r="161" spans="1:113" ht="11.25" customHeight="1">
      <c r="A161" s="352" t="s">
        <v>164</v>
      </c>
      <c r="B161" s="195"/>
      <c r="C161" s="195"/>
      <c r="D161" s="195"/>
      <c r="E161" s="195"/>
      <c r="F161" s="195"/>
      <c r="G161" s="195"/>
      <c r="H161" s="195"/>
      <c r="I161" s="195"/>
      <c r="J161" s="195"/>
      <c r="K161" s="195"/>
      <c r="L161" s="195"/>
      <c r="M161" s="195"/>
      <c r="N161" s="195"/>
      <c r="O161" s="195"/>
      <c r="P161" s="195"/>
      <c r="Q161" s="195"/>
      <c r="R161" s="195"/>
      <c r="S161" s="195"/>
      <c r="T161" s="195"/>
      <c r="U161" s="195"/>
      <c r="V161" s="195"/>
      <c r="W161" s="195"/>
      <c r="X161" s="195"/>
      <c r="Y161" s="195"/>
      <c r="Z161" s="195"/>
      <c r="AA161" s="195"/>
      <c r="AB161" s="195"/>
      <c r="AC161" s="195"/>
      <c r="AD161" s="195"/>
      <c r="AE161" s="195"/>
      <c r="AF161" s="195"/>
      <c r="AG161" s="195"/>
      <c r="AH161" s="195"/>
      <c r="AI161" s="195"/>
      <c r="AJ161" s="195"/>
      <c r="AK161" s="195"/>
      <c r="AL161" s="195"/>
      <c r="AM161" s="195"/>
      <c r="AN161" s="195"/>
      <c r="AO161" s="195"/>
      <c r="AP161" s="195"/>
      <c r="AQ161" s="195"/>
      <c r="AR161" s="195"/>
      <c r="AS161" s="195"/>
      <c r="AT161" s="195"/>
      <c r="AU161" s="195"/>
      <c r="AV161" s="195"/>
      <c r="AW161" s="195"/>
      <c r="AX161" s="195"/>
      <c r="AY161" s="195"/>
      <c r="AZ161" s="195"/>
      <c r="BA161" s="195"/>
      <c r="BB161" s="195"/>
      <c r="BC161" s="195"/>
      <c r="BD161" s="195"/>
      <c r="BE161" s="195"/>
      <c r="BF161" s="195"/>
      <c r="BG161" s="195"/>
      <c r="BH161" s="195"/>
      <c r="BI161" s="195"/>
      <c r="BJ161" s="195"/>
      <c r="BK161" s="195"/>
      <c r="BL161" s="195"/>
      <c r="BM161" s="195"/>
      <c r="BN161" s="195"/>
      <c r="BO161" s="195"/>
      <c r="BP161" s="195"/>
      <c r="BQ161" s="195"/>
      <c r="BR161" s="195"/>
      <c r="BS161" s="196"/>
      <c r="BT161" s="195"/>
      <c r="BU161" s="195"/>
      <c r="BV161" s="195"/>
      <c r="BW161" s="195"/>
      <c r="BX161" s="195"/>
      <c r="BY161" s="196"/>
      <c r="BZ161" s="195"/>
      <c r="CA161" s="195"/>
      <c r="CB161" s="195"/>
      <c r="CC161" s="195"/>
      <c r="CD161" s="195"/>
      <c r="CE161" s="196"/>
      <c r="CF161" s="195"/>
      <c r="CG161" s="195"/>
      <c r="CH161" s="195"/>
      <c r="CI161" s="195"/>
      <c r="CJ161" s="195"/>
      <c r="CK161" s="196"/>
      <c r="CL161" s="195"/>
      <c r="CM161" s="195"/>
      <c r="CN161" s="195"/>
      <c r="CO161" s="195"/>
      <c r="CP161" s="195"/>
      <c r="CQ161" s="196"/>
      <c r="CR161" s="195"/>
      <c r="CS161" s="195"/>
      <c r="CT161" s="195"/>
      <c r="CU161" s="195"/>
      <c r="CV161" s="195"/>
      <c r="CW161" s="196"/>
      <c r="CY161" s="195"/>
      <c r="CZ161" s="195"/>
      <c r="DA161" s="195"/>
      <c r="DB161" s="195"/>
      <c r="DC161" s="196"/>
      <c r="DE161" s="195"/>
      <c r="DF161" s="195"/>
      <c r="DG161" s="195"/>
      <c r="DH161" s="195"/>
      <c r="DI161" s="196"/>
    </row>
    <row r="162" spans="1:113" ht="11.25" hidden="1" customHeight="1" outlineLevel="1">
      <c r="A162" s="197" t="s">
        <v>41</v>
      </c>
      <c r="B162" s="198"/>
      <c r="C162" s="1207">
        <f>IS!C42</f>
        <v>45.5</v>
      </c>
      <c r="D162" s="1208"/>
      <c r="E162" s="1207">
        <f>IS!E42</f>
        <v>45.5</v>
      </c>
      <c r="F162" s="1208"/>
      <c r="G162" s="1207">
        <f>IS!G42</f>
        <v>49.921999999999997</v>
      </c>
      <c r="H162" s="1208"/>
      <c r="I162" s="1207">
        <f>IS!I42</f>
        <v>55.177999999999997</v>
      </c>
      <c r="J162" s="1208"/>
      <c r="K162" s="1207">
        <f>IS!K42</f>
        <v>77.483000000000004</v>
      </c>
      <c r="L162" s="1208"/>
      <c r="M162" s="1207">
        <f>IS!M42</f>
        <v>81.28</v>
      </c>
      <c r="N162" s="1208"/>
      <c r="O162" s="1207">
        <f>IS!O42</f>
        <v>88.495000000000005</v>
      </c>
      <c r="P162" s="1208"/>
      <c r="Q162" s="1207">
        <f>IS!Q42</f>
        <v>101.13</v>
      </c>
      <c r="R162" s="1208"/>
      <c r="S162" s="1209">
        <f>IS!S42</f>
        <v>101.48</v>
      </c>
      <c r="T162" s="1208">
        <f>IS!T42</f>
        <v>101.869</v>
      </c>
      <c r="U162" s="1208">
        <f>IS!U42</f>
        <v>102.70399999999999</v>
      </c>
      <c r="V162" s="1208">
        <f>IS!V42</f>
        <v>103.37</v>
      </c>
      <c r="W162" s="1207">
        <f>IS!W42</f>
        <v>102.56100000000001</v>
      </c>
      <c r="X162" s="1208"/>
      <c r="Y162" s="1209">
        <f>IS!Y42</f>
        <v>162.90600000000001</v>
      </c>
      <c r="Z162" s="1208">
        <f>IS!Z42</f>
        <v>164.34299999999999</v>
      </c>
      <c r="AA162" s="1208">
        <f>IS!AA42</f>
        <v>164.22399999999999</v>
      </c>
      <c r="AB162" s="1208">
        <f>IS!AB42</f>
        <v>164.7</v>
      </c>
      <c r="AC162" s="1207">
        <f>IS!AC42</f>
        <v>164.3</v>
      </c>
      <c r="AD162" s="1208"/>
      <c r="AE162" s="1209">
        <f>IS!AE42</f>
        <v>162.30000000000001</v>
      </c>
      <c r="AF162" s="1208">
        <f>IS!AF42</f>
        <v>165.5</v>
      </c>
      <c r="AG162" s="1208">
        <f>IS!AG42</f>
        <v>165.9</v>
      </c>
      <c r="AH162" s="1208">
        <f>IS!AH42</f>
        <v>164.6</v>
      </c>
      <c r="AI162" s="1207">
        <f>IS!AI42</f>
        <v>165.6</v>
      </c>
      <c r="AJ162" s="1208"/>
      <c r="AK162" s="1209">
        <f>IS!AK42</f>
        <v>164.3</v>
      </c>
      <c r="AL162" s="1208">
        <f>IS!AL42</f>
        <v>164.7</v>
      </c>
      <c r="AM162" s="1208">
        <f>IS!AM42</f>
        <v>165</v>
      </c>
      <c r="AN162" s="1208">
        <f>IS!AN42</f>
        <v>165.2</v>
      </c>
      <c r="AO162" s="1207">
        <f>IS!AO42</f>
        <v>164.9</v>
      </c>
      <c r="AP162" s="1208"/>
      <c r="AQ162" s="1209">
        <f>IS!AQ42</f>
        <v>165.6</v>
      </c>
      <c r="AR162" s="1208">
        <f>IS!AR42</f>
        <v>165.8</v>
      </c>
      <c r="AS162" s="1208">
        <f>IS!AS42</f>
        <v>165.7</v>
      </c>
      <c r="AT162" s="1208">
        <f>IS!AT42</f>
        <v>166.1</v>
      </c>
      <c r="AU162" s="1207">
        <f>IS!AU42</f>
        <v>165.7</v>
      </c>
      <c r="AV162" s="1199"/>
      <c r="AW162" s="1209">
        <f>IS!AW42</f>
        <v>166.7</v>
      </c>
      <c r="AX162" s="1208">
        <f>IS!AX42</f>
        <v>167.3</v>
      </c>
      <c r="AY162" s="1208">
        <f>IS!AY42</f>
        <v>166.9</v>
      </c>
      <c r="AZ162" s="1208">
        <f>IS!AZ42</f>
        <v>166.7</v>
      </c>
      <c r="BA162" s="1207">
        <f>IS!BA42</f>
        <v>166.9</v>
      </c>
      <c r="BB162" s="1199"/>
      <c r="BC162" s="1209">
        <f>IS!BC42</f>
        <v>166.9</v>
      </c>
      <c r="BD162" s="1208">
        <f>IS!BD42</f>
        <v>167.1</v>
      </c>
      <c r="BE162" s="1208">
        <f>IS!BE42</f>
        <v>167.3</v>
      </c>
      <c r="BF162" s="1208">
        <f>IS!BF42</f>
        <v>167.7</v>
      </c>
      <c r="BG162" s="1207">
        <f>IS!BG42</f>
        <v>167.4</v>
      </c>
      <c r="BH162" s="1199"/>
      <c r="BI162" s="1209">
        <f>IS!BI42</f>
        <v>168.1</v>
      </c>
      <c r="BJ162" s="1208">
        <f>IS!BJ42</f>
        <v>168.4</v>
      </c>
      <c r="BK162" s="1208">
        <f>IS!BK42</f>
        <v>168.7</v>
      </c>
      <c r="BL162" s="1208">
        <f>IS!BL42</f>
        <v>169</v>
      </c>
      <c r="BM162" s="1207">
        <f>IS!BM42</f>
        <v>168.5</v>
      </c>
      <c r="BN162" s="1199"/>
      <c r="BO162" s="1209">
        <f>IS!BO42</f>
        <v>169.4</v>
      </c>
      <c r="BP162" s="1208">
        <f>IS!BP42</f>
        <v>169.5</v>
      </c>
      <c r="BQ162" s="1208">
        <f>IS!BQ42</f>
        <v>169.6</v>
      </c>
      <c r="BR162" s="1208">
        <f>IS!BR42</f>
        <v>169.6</v>
      </c>
      <c r="BS162" s="1207">
        <f>IS!BS42</f>
        <v>169.5</v>
      </c>
      <c r="BT162" s="1199"/>
      <c r="BU162" s="1209">
        <f>IS!BU42</f>
        <v>169.7</v>
      </c>
      <c r="BV162" s="1208">
        <f>IS!BV42</f>
        <v>169.7</v>
      </c>
      <c r="BW162" s="1208">
        <f>IS!BW42</f>
        <v>168.7</v>
      </c>
      <c r="BX162" s="1208">
        <f>IS!BX42</f>
        <v>168.7</v>
      </c>
      <c r="BY162" s="1207">
        <f>IS!BY42</f>
        <v>169.1</v>
      </c>
      <c r="BZ162" s="1199"/>
      <c r="CA162" s="1209">
        <f>IS!CA42</f>
        <v>164.3</v>
      </c>
      <c r="CB162" s="1208">
        <f>IS!CB42</f>
        <v>162.4</v>
      </c>
      <c r="CC162" s="1208">
        <f>IS!CC42</f>
        <v>161.5</v>
      </c>
      <c r="CD162" s="1208">
        <f>IS!CD42</f>
        <v>160.69999999999999</v>
      </c>
      <c r="CE162" s="1207">
        <f>IS!CE42</f>
        <v>162.19999999999999</v>
      </c>
      <c r="CF162" s="1199"/>
      <c r="CG162" s="1209">
        <f>IS!CG42</f>
        <v>160.5</v>
      </c>
      <c r="CH162" s="1208">
        <f>IS!CH42</f>
        <v>160.4</v>
      </c>
      <c r="CI162" s="1208">
        <f>IS!CI42</f>
        <v>158.69999999999999</v>
      </c>
      <c r="CJ162" s="1208">
        <f>IS!CJ42</f>
        <v>155.69999999999999</v>
      </c>
      <c r="CK162" s="1207">
        <f>IS!CK42</f>
        <v>159.1</v>
      </c>
      <c r="CL162" s="1199"/>
      <c r="CM162" s="1209">
        <f>IS!CM42</f>
        <v>158.1207974556732</v>
      </c>
      <c r="CN162" s="1208">
        <f>IS!CN42</f>
        <v>157.00846179234469</v>
      </c>
      <c r="CO162" s="1208">
        <f>IS!CO42</f>
        <v>155.92054491913933</v>
      </c>
      <c r="CP162" s="1208">
        <f>IS!CP42</f>
        <v>154.85651077726601</v>
      </c>
      <c r="CQ162" s="1207">
        <f>IS!CQ42</f>
        <v>156.47657873610581</v>
      </c>
      <c r="CR162" s="1199"/>
      <c r="CS162" s="1209">
        <f>IS!CS42</f>
        <v>155.2925775437576</v>
      </c>
      <c r="CT162" s="1208">
        <f>IS!CT42</f>
        <v>153.98263979574736</v>
      </c>
      <c r="CU162" s="1208">
        <f>IS!CU42</f>
        <v>152.70145874052116</v>
      </c>
      <c r="CV162" s="1208">
        <f>IS!CV42</f>
        <v>151.44840309053797</v>
      </c>
      <c r="CW162" s="1207">
        <f>IS!CW42</f>
        <v>153.356269792641</v>
      </c>
      <c r="CY162" s="1209">
        <f>IS!CY42</f>
        <v>152.2815967925961</v>
      </c>
      <c r="CZ162" s="1208">
        <f>IS!CZ42</f>
        <v>151.08176447303057</v>
      </c>
      <c r="DA162" s="1208">
        <f>IS!DA42</f>
        <v>149.90827173292871</v>
      </c>
      <c r="DB162" s="1208">
        <f>IS!DB42</f>
        <v>148.76054034695429</v>
      </c>
      <c r="DC162" s="1207">
        <f>IS!DC42</f>
        <v>150.50804333637743</v>
      </c>
      <c r="DE162" s="1209">
        <f>IS!DE42</f>
        <v>149.53351311439147</v>
      </c>
      <c r="DF162" s="1208">
        <f>IS!DF42</f>
        <v>148.43453250699929</v>
      </c>
      <c r="DG162" s="1208">
        <f>IS!DG42</f>
        <v>147.35967750996565</v>
      </c>
      <c r="DH162" s="1208">
        <f>IS!DH42</f>
        <v>146.30841850059176</v>
      </c>
      <c r="DI162" s="1207">
        <f>IS!DI42</f>
        <v>147.90903540798703</v>
      </c>
    </row>
    <row r="163" spans="1:113" ht="11.25" hidden="1" customHeight="1" outlineLevel="1">
      <c r="A163" s="200" t="s">
        <v>35</v>
      </c>
      <c r="B163" s="201"/>
      <c r="C163" s="1207">
        <f>IS!C32</f>
        <v>-0.88800000000000501</v>
      </c>
      <c r="D163" s="1208"/>
      <c r="E163" s="1207">
        <f>IS!E32</f>
        <v>1.2257000000000042</v>
      </c>
      <c r="F163" s="1208"/>
      <c r="G163" s="1207">
        <f>IS!G32</f>
        <v>2.9662499999999996</v>
      </c>
      <c r="H163" s="1208"/>
      <c r="I163" s="1207">
        <f>IS!I32</f>
        <v>3.4056000000000082</v>
      </c>
      <c r="J163" s="1208"/>
      <c r="K163" s="1207">
        <f>IS!K32</f>
        <v>5.3949999999999854</v>
      </c>
      <c r="L163" s="1208"/>
      <c r="M163" s="1207">
        <f>IS!M32</f>
        <v>2.2300000000000249</v>
      </c>
      <c r="N163" s="1208"/>
      <c r="O163" s="1207">
        <f>IS!O32</f>
        <v>-7.8309999999999951</v>
      </c>
      <c r="P163" s="1208"/>
      <c r="Q163" s="1207">
        <f>IS!Q32</f>
        <v>9.7469999999999963</v>
      </c>
      <c r="R163" s="1208"/>
      <c r="S163" s="1209">
        <f>IS!S32</f>
        <v>4.2862536687630985</v>
      </c>
      <c r="T163" s="1208">
        <f>IS!T32</f>
        <v>5.7630174703004782</v>
      </c>
      <c r="U163" s="1208">
        <f>IS!U32</f>
        <v>3.8154479385045499</v>
      </c>
      <c r="V163" s="1208">
        <f>IS!V32</f>
        <v>9.6162809224318835</v>
      </c>
      <c r="W163" s="1207">
        <f>IS!W32</f>
        <v>23.48099999999997</v>
      </c>
      <c r="X163" s="1208"/>
      <c r="Y163" s="1209">
        <f>IS!Y32</f>
        <v>14.634000000000006</v>
      </c>
      <c r="Z163" s="1208">
        <f>IS!Z32</f>
        <v>17.946999999999985</v>
      </c>
      <c r="AA163" s="1208">
        <f>IS!AA32</f>
        <v>27.718999999999966</v>
      </c>
      <c r="AB163" s="1208">
        <f>IS!AB32</f>
        <v>47.600000000000072</v>
      </c>
      <c r="AC163" s="1207">
        <f>IS!AC32</f>
        <v>107.90000000000005</v>
      </c>
      <c r="AD163" s="1208"/>
      <c r="AE163" s="1209">
        <f>IS!AE32</f>
        <v>5.4999999999999973</v>
      </c>
      <c r="AF163" s="1208">
        <f>IS!AF32</f>
        <v>23</v>
      </c>
      <c r="AG163" s="1208">
        <f>IS!AG32</f>
        <v>18.900000000000002</v>
      </c>
      <c r="AH163" s="1208">
        <f>IS!AH32</f>
        <v>30.499999999999904</v>
      </c>
      <c r="AI163" s="1207">
        <f>IS!AI32</f>
        <v>77.899999999999878</v>
      </c>
      <c r="AJ163" s="1208"/>
      <c r="AK163" s="1209">
        <f>IS!AK32</f>
        <v>9.1999999999999815</v>
      </c>
      <c r="AL163" s="1208">
        <f>IS!AL32</f>
        <v>12.299999999999986</v>
      </c>
      <c r="AM163" s="1208">
        <f>IS!AM32</f>
        <v>16.799999999999951</v>
      </c>
      <c r="AN163" s="1208">
        <f>IS!AN32</f>
        <v>40.199999999999967</v>
      </c>
      <c r="AO163" s="1207">
        <f>IS!AO32</f>
        <v>78.499999999999815</v>
      </c>
      <c r="AP163" s="1210"/>
      <c r="AQ163" s="1209">
        <f>IS!AQ32</f>
        <v>18.300000000000018</v>
      </c>
      <c r="AR163" s="1208">
        <f>IS!AR32</f>
        <v>26.499999999999968</v>
      </c>
      <c r="AS163" s="1208">
        <f>IS!AS32</f>
        <v>35.200000000000003</v>
      </c>
      <c r="AT163" s="1208">
        <f>IS!AT32</f>
        <v>46.999999999999943</v>
      </c>
      <c r="AU163" s="1207">
        <f>IS!AU32</f>
        <v>127.00000000000009</v>
      </c>
      <c r="AV163" s="1211"/>
      <c r="AW163" s="1209">
        <f>IS!AW32</f>
        <v>22.799999999999997</v>
      </c>
      <c r="AX163" s="1208">
        <f>IS!AX32</f>
        <v>33.900000000000105</v>
      </c>
      <c r="AY163" s="1208">
        <f>IS!AY32</f>
        <v>36.199999999999989</v>
      </c>
      <c r="AZ163" s="1208">
        <f>IS!AZ32</f>
        <v>50.799999999999812</v>
      </c>
      <c r="BA163" s="1207">
        <f>IS!BA32</f>
        <v>143.69999999999982</v>
      </c>
      <c r="BB163" s="1211"/>
      <c r="BC163" s="1209">
        <f>IS!BC32</f>
        <v>23.799999999999965</v>
      </c>
      <c r="BD163" s="1208">
        <f>IS!BD32</f>
        <v>20.500000000000028</v>
      </c>
      <c r="BE163" s="1208">
        <f>IS!BE32</f>
        <v>47.100000000000016</v>
      </c>
      <c r="BF163" s="1208">
        <f>IS!BF32</f>
        <v>46.900000000000112</v>
      </c>
      <c r="BG163" s="1207">
        <f>IS!BG32</f>
        <v>138.30000000000013</v>
      </c>
      <c r="BH163" s="1211"/>
      <c r="BI163" s="1209">
        <f>IS!BI32</f>
        <v>13.40000000000005</v>
      </c>
      <c r="BJ163" s="1208">
        <f>IS!BJ32</f>
        <v>29.899999999999981</v>
      </c>
      <c r="BK163" s="1208">
        <f>IS!BK32</f>
        <v>33.799999999999955</v>
      </c>
      <c r="BL163" s="1208">
        <f>IS!BL32</f>
        <v>52.200000000000088</v>
      </c>
      <c r="BM163" s="1207">
        <f>IS!BM32</f>
        <v>129.30000000000001</v>
      </c>
      <c r="BN163" s="1211"/>
      <c r="BO163" s="1209">
        <f>IS!BO32</f>
        <v>18.700000000000049</v>
      </c>
      <c r="BP163" s="1208">
        <f>IS!BP32</f>
        <v>34.899999999999956</v>
      </c>
      <c r="BQ163" s="1208">
        <f>IS!BQ32</f>
        <v>23.799999999999972</v>
      </c>
      <c r="BR163" s="1208">
        <f>IS!BR32</f>
        <v>50.300000000000104</v>
      </c>
      <c r="BS163" s="1207">
        <f>IS!BS32</f>
        <v>127.70000000000007</v>
      </c>
      <c r="BT163" s="1211"/>
      <c r="BU163" s="1209">
        <f>IS!BU32</f>
        <v>23.100000000000012</v>
      </c>
      <c r="BV163" s="1208">
        <f>IS!BV32</f>
        <v>31.899999999999981</v>
      </c>
      <c r="BW163" s="1208">
        <f>IS!BW32</f>
        <v>31.600000000000009</v>
      </c>
      <c r="BX163" s="1208">
        <f>IS!BX32</f>
        <v>64.39999999999992</v>
      </c>
      <c r="BY163" s="1207">
        <f>IS!BY32</f>
        <v>151.00000000000003</v>
      </c>
      <c r="BZ163" s="1211"/>
      <c r="CA163" s="1209">
        <f>IS!CA32</f>
        <v>34.30000000000004</v>
      </c>
      <c r="CB163" s="1208">
        <f>IS!CB32</f>
        <v>32.600000000000058</v>
      </c>
      <c r="CC163" s="1208">
        <f>IS!CC32</f>
        <v>51.699999999999967</v>
      </c>
      <c r="CD163" s="1208">
        <f>IS!CD32</f>
        <v>73.699999999999946</v>
      </c>
      <c r="CE163" s="1207">
        <f>IS!CE32</f>
        <v>192.30000000000007</v>
      </c>
      <c r="CF163" s="1211"/>
      <c r="CG163" s="1209">
        <f>IS!CG32</f>
        <v>29.899999999999988</v>
      </c>
      <c r="CH163" s="1208">
        <f>IS!CH32</f>
        <v>36.099999999999987</v>
      </c>
      <c r="CI163" s="1208">
        <f>IS!CI32</f>
        <v>46.399999999999942</v>
      </c>
      <c r="CJ163" s="1208">
        <f>IS!CJ32</f>
        <v>79.80000000000021</v>
      </c>
      <c r="CK163" s="1207">
        <f>IS!CK32</f>
        <v>192.20000000000005</v>
      </c>
      <c r="CL163" s="1211"/>
      <c r="CM163" s="1209">
        <f>IS!CM32</f>
        <v>38.171035372468715</v>
      </c>
      <c r="CN163" s="1208">
        <f>IS!CN32</f>
        <v>39.574398418900657</v>
      </c>
      <c r="CO163" s="1208">
        <f>IS!CO32</f>
        <v>55.63579832668038</v>
      </c>
      <c r="CP163" s="1208">
        <f>IS!CP32</f>
        <v>86.881600320252147</v>
      </c>
      <c r="CQ163" s="1207">
        <f>IS!CQ32</f>
        <v>220.26283243830196</v>
      </c>
      <c r="CR163" s="1211"/>
      <c r="CS163" s="1209">
        <f>IS!CS32</f>
        <v>53.707997695629821</v>
      </c>
      <c r="CT163" s="1208">
        <f>IS!CT32</f>
        <v>56.388498578707043</v>
      </c>
      <c r="CU163" s="1208">
        <f>IS!CU32</f>
        <v>57.427418535902319</v>
      </c>
      <c r="CV163" s="1208">
        <f>IS!CV32</f>
        <v>74.78141711651871</v>
      </c>
      <c r="CW163" s="1207">
        <f>IS!CW32</f>
        <v>242.30533192675767</v>
      </c>
      <c r="CY163" s="1209">
        <f>IS!CY32</f>
        <v>58.816190662377402</v>
      </c>
      <c r="CZ163" s="1208">
        <f>IS!CZ32</f>
        <v>68.698634067847493</v>
      </c>
      <c r="DA163" s="1208">
        <f>IS!DA32</f>
        <v>70.330037229501542</v>
      </c>
      <c r="DB163" s="1208">
        <f>IS!DB32</f>
        <v>87.509925419343929</v>
      </c>
      <c r="DC163" s="1207">
        <f>IS!DC32</f>
        <v>285.35478737907033</v>
      </c>
      <c r="DE163" s="1209">
        <f>IS!DE32</f>
        <v>69.238758634370782</v>
      </c>
      <c r="DF163" s="1208">
        <f>IS!DF32</f>
        <v>67.219012482739458</v>
      </c>
      <c r="DG163" s="1208">
        <f>IS!DG32</f>
        <v>68.934654772254106</v>
      </c>
      <c r="DH163" s="1208">
        <f>IS!DH32</f>
        <v>89.25939284800188</v>
      </c>
      <c r="DI163" s="1207">
        <f>IS!DI32</f>
        <v>294.65181873736606</v>
      </c>
    </row>
    <row r="164" spans="1:113" ht="11.25" hidden="1" customHeight="1" outlineLevel="1">
      <c r="A164" s="197" t="s">
        <v>43</v>
      </c>
      <c r="B164" s="198"/>
      <c r="C164" s="1207">
        <f>IS!C24</f>
        <v>2.3039999999999949</v>
      </c>
      <c r="D164" s="1208"/>
      <c r="E164" s="1207">
        <f>IS!E24</f>
        <v>6.4950000000000045</v>
      </c>
      <c r="F164" s="1208"/>
      <c r="G164" s="1207">
        <f>IS!G24</f>
        <v>5.319</v>
      </c>
      <c r="H164" s="1208"/>
      <c r="I164" s="1207">
        <f>IS!I24</f>
        <v>7.1570000000000089</v>
      </c>
      <c r="J164" s="1208"/>
      <c r="K164" s="1207">
        <f>IS!K24</f>
        <v>20.138999999999982</v>
      </c>
      <c r="L164" s="1208"/>
      <c r="M164" s="1207">
        <f>IS!M24</f>
        <v>13.445000000000025</v>
      </c>
      <c r="N164" s="1208"/>
      <c r="O164" s="1207">
        <f>IS!O24</f>
        <v>8.1750000000000043</v>
      </c>
      <c r="P164" s="1208"/>
      <c r="Q164" s="1207">
        <f>IS!Q24</f>
        <v>32.427999999999997</v>
      </c>
      <c r="R164" s="1208"/>
      <c r="S164" s="1209">
        <f>IS!S24</f>
        <v>9.2642499999999934</v>
      </c>
      <c r="T164" s="1208">
        <f>IS!T24</f>
        <v>9.7882499999999872</v>
      </c>
      <c r="U164" s="1208">
        <f>IS!U24</f>
        <v>10.967250000000007</v>
      </c>
      <c r="V164" s="1208">
        <f>IS!V24</f>
        <v>18.455250000000021</v>
      </c>
      <c r="W164" s="1207">
        <f>IS!W24</f>
        <v>48.474999999999966</v>
      </c>
      <c r="X164" s="1208"/>
      <c r="Y164" s="1209">
        <f>IS!Y24</f>
        <v>26.991000000000007</v>
      </c>
      <c r="Z164" s="1208">
        <f>IS!Z24</f>
        <v>29.077999999999982</v>
      </c>
      <c r="AA164" s="1208">
        <f>IS!AA24</f>
        <v>38.247999999999976</v>
      </c>
      <c r="AB164" s="1208">
        <f>IS!AB24</f>
        <v>78.883000000000081</v>
      </c>
      <c r="AC164" s="1207">
        <f>IS!AC24</f>
        <v>173.20000000000007</v>
      </c>
      <c r="AD164" s="1208"/>
      <c r="AE164" s="1209">
        <f>IS!AE24</f>
        <v>29.299999999999997</v>
      </c>
      <c r="AF164" s="1208">
        <f>IS!AF24</f>
        <v>36.700000000000003</v>
      </c>
      <c r="AG164" s="1208">
        <f>IS!AG24</f>
        <v>23.800000000000004</v>
      </c>
      <c r="AH164" s="1208">
        <f>IS!AH24</f>
        <v>58.899999999999906</v>
      </c>
      <c r="AI164" s="1207">
        <f>IS!AI24</f>
        <v>148.69999999999987</v>
      </c>
      <c r="AJ164" s="1208"/>
      <c r="AK164" s="1209">
        <f>IS!AK24</f>
        <v>21.299999999999979</v>
      </c>
      <c r="AL164" s="1208">
        <f>IS!AL24</f>
        <v>26.099999999999987</v>
      </c>
      <c r="AM164" s="1208">
        <f>IS!AM24</f>
        <v>32.899999999999949</v>
      </c>
      <c r="AN164" s="1208">
        <f>IS!AN24</f>
        <v>79.799999999999969</v>
      </c>
      <c r="AO164" s="1207">
        <f>IS!AO24</f>
        <v>160.09999999999982</v>
      </c>
      <c r="AP164" s="1208"/>
      <c r="AQ164" s="1209">
        <f>IS!AQ24</f>
        <v>36.500000000000014</v>
      </c>
      <c r="AR164" s="1208">
        <f>IS!AR24</f>
        <v>48.999999999999964</v>
      </c>
      <c r="AS164" s="1208">
        <f>IS!AS24</f>
        <v>56.800000000000004</v>
      </c>
      <c r="AT164" s="1208">
        <f>IS!AT24</f>
        <v>75.599999999999937</v>
      </c>
      <c r="AU164" s="1207">
        <f>IS!AU24</f>
        <v>217.90000000000009</v>
      </c>
      <c r="AV164" s="1199"/>
      <c r="AW164" s="1209">
        <f>IS!AW24</f>
        <v>45.599999999999994</v>
      </c>
      <c r="AX164" s="1208">
        <f>IS!AX24</f>
        <v>61.800000000000104</v>
      </c>
      <c r="AY164" s="1208">
        <f>IS!AY24</f>
        <v>60.799999999999983</v>
      </c>
      <c r="AZ164" s="1208">
        <f>IS!AZ24</f>
        <v>71.299999999999812</v>
      </c>
      <c r="BA164" s="1207">
        <f>IS!BA24</f>
        <v>239.49999999999983</v>
      </c>
      <c r="BB164" s="1199"/>
      <c r="BC164" s="1209">
        <f>IS!BC24</f>
        <v>52.099999999999966</v>
      </c>
      <c r="BD164" s="1208">
        <f>IS!BD24</f>
        <v>42.400000000000034</v>
      </c>
      <c r="BE164" s="1208">
        <f>IS!BE24</f>
        <v>77.800000000000011</v>
      </c>
      <c r="BF164" s="1208">
        <f>IS!BF24</f>
        <v>83.800000000000111</v>
      </c>
      <c r="BG164" s="1207">
        <f>IS!BG24</f>
        <v>256.10000000000014</v>
      </c>
      <c r="BH164" s="1199"/>
      <c r="BI164" s="1209">
        <f>IS!BI24</f>
        <v>33.700000000000053</v>
      </c>
      <c r="BJ164" s="1208">
        <f>IS!BJ24</f>
        <v>63.199999999999982</v>
      </c>
      <c r="BK164" s="1208">
        <f>IS!BK24</f>
        <v>57.399999999999956</v>
      </c>
      <c r="BL164" s="1208">
        <f>IS!BL24</f>
        <v>91.800000000000097</v>
      </c>
      <c r="BM164" s="1207">
        <f>IS!BM24</f>
        <v>246.1</v>
      </c>
      <c r="BN164" s="1199"/>
      <c r="BO164" s="1209">
        <f>IS!BO24</f>
        <v>42.100000000000051</v>
      </c>
      <c r="BP164" s="1208">
        <f>IS!BP24</f>
        <v>62.69999999999996</v>
      </c>
      <c r="BQ164" s="1208">
        <f>IS!BQ24</f>
        <v>48.399999999999977</v>
      </c>
      <c r="BR164" s="1208">
        <f>IS!BR24</f>
        <v>70.700000000000102</v>
      </c>
      <c r="BS164" s="1207">
        <f>IS!BS24</f>
        <v>223.90000000000009</v>
      </c>
      <c r="BT164" s="1199"/>
      <c r="BU164" s="1209">
        <f>IS!BU24</f>
        <v>44.100000000000009</v>
      </c>
      <c r="BV164" s="1208">
        <f>IS!BV24</f>
        <v>50.899999999999977</v>
      </c>
      <c r="BW164" s="1208">
        <f>IS!BW24</f>
        <v>61.000000000000014</v>
      </c>
      <c r="BX164" s="1208">
        <f>IS!BX24</f>
        <v>91.799999999999898</v>
      </c>
      <c r="BY164" s="1207">
        <f>IS!BY24</f>
        <v>247.80000000000004</v>
      </c>
      <c r="BZ164" s="1199"/>
      <c r="CA164" s="1209">
        <f>IS!CA24</f>
        <v>55.100000000000037</v>
      </c>
      <c r="CB164" s="1208">
        <f>IS!CB24</f>
        <v>48.100000000000058</v>
      </c>
      <c r="CC164" s="1208">
        <f>IS!CC24</f>
        <v>66.899999999999963</v>
      </c>
      <c r="CD164" s="1208">
        <f>IS!CD24</f>
        <v>100.39999999999993</v>
      </c>
      <c r="CE164" s="1207">
        <f>IS!CE24</f>
        <v>270.50000000000011</v>
      </c>
      <c r="CF164" s="1199"/>
      <c r="CG164" s="1209">
        <f>IS!CG24</f>
        <v>57.399999999999991</v>
      </c>
      <c r="CH164" s="1208">
        <f>IS!CH24</f>
        <v>60.199999999999989</v>
      </c>
      <c r="CI164" s="1208">
        <f>IS!CI24</f>
        <v>73.299999999999955</v>
      </c>
      <c r="CJ164" s="1208">
        <f>IS!CJ24</f>
        <v>119.5000000000002</v>
      </c>
      <c r="CK164" s="1207">
        <f>IS!CK24</f>
        <v>310.40000000000003</v>
      </c>
      <c r="CL164" s="1199"/>
      <c r="CM164" s="1209">
        <f>IS!CM24</f>
        <v>65.828977013052253</v>
      </c>
      <c r="CN164" s="1208">
        <f>IS!CN24</f>
        <v>67.44000802921434</v>
      </c>
      <c r="CO164" s="1208">
        <f>IS!CO24</f>
        <v>89.741669057913001</v>
      </c>
      <c r="CP164" s="1208">
        <f>IS!CP24</f>
        <v>131.64532274356461</v>
      </c>
      <c r="CQ164" s="1207">
        <f>IS!CQ24</f>
        <v>354.65597684374427</v>
      </c>
      <c r="CR164" s="1199"/>
      <c r="CS164" s="1209">
        <f>IS!CS24</f>
        <v>87.322147659803463</v>
      </c>
      <c r="CT164" s="1208">
        <f>IS!CT24</f>
        <v>90.836348228267255</v>
      </c>
      <c r="CU164" s="1208">
        <f>IS!CU24</f>
        <v>92.520667451350477</v>
      </c>
      <c r="CV164" s="1208">
        <f>IS!CV24</f>
        <v>116.05084947987416</v>
      </c>
      <c r="CW164" s="1207">
        <f>IS!CW24</f>
        <v>386.7300128192951</v>
      </c>
      <c r="CY164" s="1209">
        <f>IS!CY24</f>
        <v>94.935190235770918</v>
      </c>
      <c r="CZ164" s="1208">
        <f>IS!CZ24</f>
        <v>97.264450430899757</v>
      </c>
      <c r="DA164" s="1208">
        <f>IS!DA24</f>
        <v>101.26478161119317</v>
      </c>
      <c r="DB164" s="1208">
        <f>IS!DB24</f>
        <v>125.27439795375787</v>
      </c>
      <c r="DC164" s="1207">
        <f>IS!DC24</f>
        <v>418.73882023162167</v>
      </c>
      <c r="DE164" s="1209">
        <f>IS!DE24</f>
        <v>102.3549624639016</v>
      </c>
      <c r="DF164" s="1208">
        <f>IS!DF24</f>
        <v>106.36023840312794</v>
      </c>
      <c r="DG164" s="1208">
        <f>IS!DG24</f>
        <v>109.04197997611465</v>
      </c>
      <c r="DH164" s="1208">
        <f>IS!DH24</f>
        <v>136.52940065115078</v>
      </c>
      <c r="DI164" s="1207">
        <f>IS!DI24</f>
        <v>454.28658149429481</v>
      </c>
    </row>
    <row r="165" spans="1:113" ht="11.25" hidden="1" customHeight="1" outlineLevel="1">
      <c r="A165" s="197" t="s">
        <v>165</v>
      </c>
      <c r="B165" s="198"/>
      <c r="C165" s="1207">
        <f>IS!C20</f>
        <v>-0.16100000000000492</v>
      </c>
      <c r="D165" s="1208"/>
      <c r="E165" s="1207">
        <f>IS!E20</f>
        <v>3.1780000000000044</v>
      </c>
      <c r="F165" s="1208"/>
      <c r="G165" s="1207">
        <f>IS!G20</f>
        <v>2.1189999999999998</v>
      </c>
      <c r="H165" s="1208"/>
      <c r="I165" s="1207">
        <f>IS!I20</f>
        <v>2.9170000000000087</v>
      </c>
      <c r="J165" s="1208"/>
      <c r="K165" s="1207">
        <f>IS!K20</f>
        <v>8.3149999999999835</v>
      </c>
      <c r="L165" s="1208"/>
      <c r="M165" s="1207">
        <f>IS!M20</f>
        <v>3.2670000000000243</v>
      </c>
      <c r="N165" s="1208"/>
      <c r="O165" s="1207">
        <f>IS!O20</f>
        <v>-1.117999999999995</v>
      </c>
      <c r="P165" s="1208"/>
      <c r="Q165" s="1207">
        <f>IS!Q20</f>
        <v>22.421999999999997</v>
      </c>
      <c r="R165" s="1208"/>
      <c r="S165" s="1209">
        <f>IS!S20</f>
        <v>6.0419999999999945</v>
      </c>
      <c r="T165" s="1208">
        <f>IS!T20</f>
        <v>6.5659999999999883</v>
      </c>
      <c r="U165" s="1208">
        <f>IS!U20</f>
        <v>7.9450000000000074</v>
      </c>
      <c r="V165" s="1208">
        <f>IS!V20</f>
        <v>15.83300000000002</v>
      </c>
      <c r="W165" s="1207">
        <f>IS!W20</f>
        <v>36.385999999999967</v>
      </c>
      <c r="X165" s="1208"/>
      <c r="Y165" s="1209">
        <f>IS!Y20</f>
        <v>20.103000000000009</v>
      </c>
      <c r="Z165" s="1208">
        <f>IS!Z20</f>
        <v>22.189999999999984</v>
      </c>
      <c r="AA165" s="1208">
        <f>IS!AA20</f>
        <v>31.059999999999974</v>
      </c>
      <c r="AB165" s="1208">
        <f>IS!AB20</f>
        <v>73.947000000000088</v>
      </c>
      <c r="AC165" s="1207">
        <f>IS!AC20</f>
        <v>147.30000000000007</v>
      </c>
      <c r="AD165" s="1208"/>
      <c r="AE165" s="1209">
        <f>IS!AE20</f>
        <v>22.299999999999997</v>
      </c>
      <c r="AF165" s="1208">
        <f>IS!AF20</f>
        <v>29.900000000000006</v>
      </c>
      <c r="AG165" s="1208">
        <f>IS!AG20</f>
        <v>16.400000000000006</v>
      </c>
      <c r="AH165" s="1208">
        <f>IS!AH20</f>
        <v>52.599999999999909</v>
      </c>
      <c r="AI165" s="1207">
        <f>IS!AI20</f>
        <v>121.19999999999987</v>
      </c>
      <c r="AJ165" s="1208"/>
      <c r="AK165" s="1209">
        <f>IS!AK20</f>
        <v>15.09999999999998</v>
      </c>
      <c r="AL165" s="1208">
        <f>IS!AL20</f>
        <v>19.699999999999989</v>
      </c>
      <c r="AM165" s="1208">
        <f>IS!AM20</f>
        <v>26.399999999999949</v>
      </c>
      <c r="AN165" s="1208">
        <f>IS!AN20</f>
        <v>70.999999999999972</v>
      </c>
      <c r="AO165" s="1207">
        <f>IS!AO20</f>
        <v>132.19999999999982</v>
      </c>
      <c r="AP165" s="1208"/>
      <c r="AQ165" s="1209">
        <f>IS!AQ20</f>
        <v>29.500000000000014</v>
      </c>
      <c r="AR165" s="1208">
        <f>IS!AR20</f>
        <v>42.399999999999963</v>
      </c>
      <c r="AS165" s="1208">
        <f>IS!AS20</f>
        <v>48.7</v>
      </c>
      <c r="AT165" s="1208">
        <f>IS!AT20</f>
        <v>66.999999999999943</v>
      </c>
      <c r="AU165" s="1207">
        <f>IS!AU20</f>
        <v>187.60000000000008</v>
      </c>
      <c r="AV165" s="1199"/>
      <c r="AW165" s="1209">
        <f>IS!AW20</f>
        <v>37.599999999999994</v>
      </c>
      <c r="AX165" s="1208">
        <f>IS!AX20</f>
        <v>52.200000000000102</v>
      </c>
      <c r="AY165" s="1208">
        <f>IS!AY20</f>
        <v>52.199999999999989</v>
      </c>
      <c r="AZ165" s="1208">
        <f>IS!AZ20</f>
        <v>62.699999999999818</v>
      </c>
      <c r="BA165" s="1207">
        <f>IS!BA20</f>
        <v>204.69999999999982</v>
      </c>
      <c r="BB165" s="1199"/>
      <c r="BC165" s="1209">
        <f>IS!BC20</f>
        <v>43.599999999999966</v>
      </c>
      <c r="BD165" s="1208">
        <f>IS!BD20</f>
        <v>33.000000000000028</v>
      </c>
      <c r="BE165" s="1208">
        <f>IS!BE20</f>
        <v>69.400000000000006</v>
      </c>
      <c r="BF165" s="1208">
        <f>IS!BF20</f>
        <v>73.000000000000114</v>
      </c>
      <c r="BG165" s="1207">
        <f>IS!BG20</f>
        <v>219.00000000000011</v>
      </c>
      <c r="BH165" s="1199"/>
      <c r="BI165" s="1209">
        <f>IS!BI20</f>
        <v>23.600000000000051</v>
      </c>
      <c r="BJ165" s="1208">
        <f>IS!BJ20</f>
        <v>53.299999999999983</v>
      </c>
      <c r="BK165" s="1208">
        <f>IS!BK20</f>
        <v>47.299999999999955</v>
      </c>
      <c r="BL165" s="1208">
        <f>IS!BL20</f>
        <v>81.300000000000097</v>
      </c>
      <c r="BM165" s="1207">
        <f>IS!BM20</f>
        <v>205.5</v>
      </c>
      <c r="BN165" s="1199"/>
      <c r="BO165" s="1209">
        <f>IS!BO20</f>
        <v>32.100000000000051</v>
      </c>
      <c r="BP165" s="1208">
        <f>IS!BP20</f>
        <v>52.69999999999996</v>
      </c>
      <c r="BQ165" s="1208">
        <f>IS!BQ20</f>
        <v>35.899999999999977</v>
      </c>
      <c r="BR165" s="1208">
        <f>IS!BR20</f>
        <v>63.700000000000102</v>
      </c>
      <c r="BS165" s="1207">
        <f>IS!BS20</f>
        <v>184.40000000000009</v>
      </c>
      <c r="BT165" s="1199"/>
      <c r="BU165" s="1209">
        <f>IS!BU20</f>
        <v>35.800000000000011</v>
      </c>
      <c r="BV165" s="1208">
        <f>IS!BV20</f>
        <v>42.899999999999977</v>
      </c>
      <c r="BW165" s="1208">
        <f>IS!BW20</f>
        <v>52.800000000000011</v>
      </c>
      <c r="BX165" s="1208">
        <f>IS!BX20</f>
        <v>83.699999999999903</v>
      </c>
      <c r="BY165" s="1207">
        <f>IS!BY20</f>
        <v>215.20000000000005</v>
      </c>
      <c r="BZ165" s="1199"/>
      <c r="CA165" s="1209">
        <f>IS!CA20</f>
        <v>47.30000000000004</v>
      </c>
      <c r="CB165" s="1208">
        <f>IS!CB20</f>
        <v>40.000000000000057</v>
      </c>
      <c r="CC165" s="1208">
        <f>IS!CC20</f>
        <v>58.599999999999966</v>
      </c>
      <c r="CD165" s="1208">
        <f>IS!CD20</f>
        <v>91.999999999999943</v>
      </c>
      <c r="CE165" s="1207">
        <f>IS!CE20</f>
        <v>237.90000000000009</v>
      </c>
      <c r="CF165" s="1199"/>
      <c r="CG165" s="1209">
        <f>IS!CG20</f>
        <v>49.199999999999989</v>
      </c>
      <c r="CH165" s="1208">
        <f>IS!CH20</f>
        <v>51.699999999999989</v>
      </c>
      <c r="CI165" s="1208">
        <f>IS!CI20</f>
        <v>64.399999999999949</v>
      </c>
      <c r="CJ165" s="1208">
        <f>IS!CJ20</f>
        <v>110.80000000000021</v>
      </c>
      <c r="CK165" s="1207">
        <f>IS!CK20</f>
        <v>276.10000000000002</v>
      </c>
      <c r="CL165" s="1199"/>
      <c r="CM165" s="1209">
        <f>IS!CM20</f>
        <v>54.467452513052251</v>
      </c>
      <c r="CN165" s="1208">
        <f>IS!CN20</f>
        <v>55.931235580284778</v>
      </c>
      <c r="CO165" s="1208">
        <f>IS!CO20</f>
        <v>78.08196218073823</v>
      </c>
      <c r="CP165" s="1208">
        <f>IS!CP20</f>
        <v>119.82887201610956</v>
      </c>
      <c r="CQ165" s="1207">
        <f>IS!CQ20</f>
        <v>308.30952229018487</v>
      </c>
      <c r="CR165" s="1199"/>
      <c r="CS165" s="1209">
        <f>IS!CS20</f>
        <v>75.31183920758707</v>
      </c>
      <c r="CT165" s="1208">
        <f>IS!CT20</f>
        <v>78.690364805893353</v>
      </c>
      <c r="CU165" s="1208">
        <f>IS!CU20</f>
        <v>80.23322957665971</v>
      </c>
      <c r="CV165" s="1208">
        <f>IS!CV20</f>
        <v>103.61931784789238</v>
      </c>
      <c r="CW165" s="1207">
        <f>IS!CW20</f>
        <v>337.85475143803228</v>
      </c>
      <c r="CY165" s="1209">
        <f>IS!CY20</f>
        <v>82.319559383757593</v>
      </c>
      <c r="CZ165" s="1208">
        <f>IS!CZ20</f>
        <v>84.50948653010883</v>
      </c>
      <c r="DA165" s="1208">
        <f>IS!DA20</f>
        <v>88.366949782298576</v>
      </c>
      <c r="DB165" s="1208">
        <f>IS!DB20</f>
        <v>112.22747165761467</v>
      </c>
      <c r="DC165" s="1207">
        <f>IS!DC20</f>
        <v>367.42346735377964</v>
      </c>
      <c r="DE165" s="1209">
        <f>IS!DE20</f>
        <v>89.120427147353524</v>
      </c>
      <c r="DF165" s="1208">
        <f>IS!DF20</f>
        <v>92.984106054459573</v>
      </c>
      <c r="DG165" s="1208">
        <f>IS!DG20</f>
        <v>95.518375563573329</v>
      </c>
      <c r="DH165" s="1208">
        <f>IS!DH20</f>
        <v>122.8544706159409</v>
      </c>
      <c r="DI165" s="1207">
        <f>IS!DI20</f>
        <v>400.47737938132718</v>
      </c>
    </row>
    <row r="166" spans="1:113" ht="11.25" hidden="1" customHeight="1" outlineLevel="1">
      <c r="A166" s="197" t="s">
        <v>166</v>
      </c>
      <c r="B166" s="198"/>
      <c r="C166" s="1207">
        <f>IS!C27</f>
        <v>0</v>
      </c>
      <c r="D166" s="1208"/>
      <c r="E166" s="1207">
        <f>IS!E27</f>
        <v>0</v>
      </c>
      <c r="F166" s="1208"/>
      <c r="G166" s="1207">
        <f>IS!G27</f>
        <v>0</v>
      </c>
      <c r="H166" s="1208"/>
      <c r="I166" s="1207">
        <f>IS!I27</f>
        <v>0</v>
      </c>
      <c r="J166" s="1208"/>
      <c r="K166" s="1207">
        <f>IS!K27</f>
        <v>1.1880000000000006</v>
      </c>
      <c r="L166" s="1208"/>
      <c r="M166" s="1207">
        <f>IS!M27</f>
        <v>1.5349999999999999</v>
      </c>
      <c r="N166" s="1208"/>
      <c r="O166" s="1207">
        <f>IS!O27</f>
        <v>-3.161</v>
      </c>
      <c r="P166" s="1208"/>
      <c r="Q166" s="1207">
        <f>IS!Q27</f>
        <v>-1.2869999999999999</v>
      </c>
      <c r="R166" s="1208"/>
      <c r="S166" s="1209">
        <f>IS!S27</f>
        <v>1.254</v>
      </c>
      <c r="T166" s="1208">
        <f>IS!T27</f>
        <v>1.9079999999999999</v>
      </c>
      <c r="U166" s="1208">
        <f>IS!U27</f>
        <v>-2.3000000000000007E-2</v>
      </c>
      <c r="V166" s="1208">
        <f>IS!V27</f>
        <v>0.59500000000000008</v>
      </c>
      <c r="W166" s="1207">
        <f>IS!W27</f>
        <v>3.734</v>
      </c>
      <c r="X166" s="1208"/>
      <c r="Y166" s="1209">
        <f>IS!Y27</f>
        <v>-0.498</v>
      </c>
      <c r="Z166" s="1208">
        <f>IS!Z27</f>
        <v>0.42399999999999993</v>
      </c>
      <c r="AA166" s="1208">
        <f>IS!AA27</f>
        <v>-0.77</v>
      </c>
      <c r="AB166" s="1208">
        <f>IS!AB27</f>
        <v>-1.456</v>
      </c>
      <c r="AC166" s="1207">
        <f>IS!AC27</f>
        <v>-2.2999999999999998</v>
      </c>
      <c r="AD166" s="1208"/>
      <c r="AE166" s="1209">
        <f>IS!AE27</f>
        <v>-12</v>
      </c>
      <c r="AF166" s="1208">
        <f>IS!AF27</f>
        <v>5.5</v>
      </c>
      <c r="AG166" s="1208">
        <f>IS!AG27</f>
        <v>3.5</v>
      </c>
      <c r="AH166" s="1208">
        <f>IS!AH27</f>
        <v>-5.1999999999999993</v>
      </c>
      <c r="AI166" s="1207">
        <f>IS!AI27</f>
        <v>-8.1999999999999993</v>
      </c>
      <c r="AJ166" s="1208"/>
      <c r="AK166" s="1209">
        <f>IS!AK27</f>
        <v>2</v>
      </c>
      <c r="AL166" s="1208">
        <f>IS!AL27</f>
        <v>-1.2</v>
      </c>
      <c r="AM166" s="1208">
        <f>IS!AM27</f>
        <v>-0.4</v>
      </c>
      <c r="AN166" s="1208">
        <f>IS!AN27</f>
        <v>-1.5</v>
      </c>
      <c r="AO166" s="1207">
        <f>IS!AO27</f>
        <v>-1.1000000000000001</v>
      </c>
      <c r="AP166" s="1208"/>
      <c r="AQ166" s="1209">
        <f>IS!AQ27</f>
        <v>1.1000000000000001</v>
      </c>
      <c r="AR166" s="1208">
        <f>IS!AR27</f>
        <v>-3.0999999999999996</v>
      </c>
      <c r="AS166" s="1208">
        <f>IS!AS27</f>
        <v>0</v>
      </c>
      <c r="AT166" s="1208">
        <f>IS!AT27</f>
        <v>1.0999999999999996</v>
      </c>
      <c r="AU166" s="1207">
        <f>IS!AU27</f>
        <v>-0.89999999999999991</v>
      </c>
      <c r="AV166" s="1199"/>
      <c r="AW166" s="1209">
        <f>IS!AW27</f>
        <v>-3.7</v>
      </c>
      <c r="AX166" s="1208">
        <f>IS!AX27</f>
        <v>-4.3</v>
      </c>
      <c r="AY166" s="1208">
        <f>IS!AY27</f>
        <v>3.4</v>
      </c>
      <c r="AZ166" s="1208">
        <f>IS!AZ27</f>
        <v>0.79999999999999938</v>
      </c>
      <c r="BA166" s="1207">
        <f>IS!BA27</f>
        <v>-3.8000000000000003</v>
      </c>
      <c r="BB166" s="1199"/>
      <c r="BC166" s="1209">
        <f>IS!BC27</f>
        <v>-4.2</v>
      </c>
      <c r="BD166" s="1208">
        <f>IS!BD27</f>
        <v>0.7</v>
      </c>
      <c r="BE166" s="1208">
        <f>IS!BE27</f>
        <v>0.70000000000000007</v>
      </c>
      <c r="BF166" s="1208">
        <f>IS!BF27</f>
        <v>2.8</v>
      </c>
      <c r="BG166" s="1207">
        <f>IS!BG27</f>
        <v>0</v>
      </c>
      <c r="BH166" s="1199"/>
      <c r="BI166" s="1209">
        <f>IS!BI27</f>
        <v>-1.7000000000000002</v>
      </c>
      <c r="BJ166" s="1208">
        <f>IS!BJ27</f>
        <v>-6.2</v>
      </c>
      <c r="BK166" s="1208">
        <f>IS!BK27</f>
        <v>0</v>
      </c>
      <c r="BL166" s="1208">
        <f>IS!BL27</f>
        <v>5.5</v>
      </c>
      <c r="BM166" s="1207">
        <f>IS!BM27</f>
        <v>-2.4000000000000004</v>
      </c>
      <c r="BN166" s="1199"/>
      <c r="BO166" s="1209">
        <f>IS!BO27</f>
        <v>-2.1999999999999997</v>
      </c>
      <c r="BP166" s="1208">
        <f>IS!BP27</f>
        <v>0.8</v>
      </c>
      <c r="BQ166" s="1208">
        <f>IS!BQ27</f>
        <v>0.99999999999999956</v>
      </c>
      <c r="BR166" s="1208">
        <f>IS!BR27</f>
        <v>2.8999999999999995</v>
      </c>
      <c r="BS166" s="1207">
        <f>IS!BS27</f>
        <v>2.4999999999999991</v>
      </c>
      <c r="BT166" s="1199"/>
      <c r="BU166" s="1209">
        <f>IS!BU27</f>
        <v>-0.4</v>
      </c>
      <c r="BV166" s="1208">
        <f>IS!BV27</f>
        <v>0</v>
      </c>
      <c r="BW166" s="1208">
        <f>IS!BW27</f>
        <v>-2.5</v>
      </c>
      <c r="BX166" s="1208">
        <f>IS!BX27</f>
        <v>-2.8000000000000003</v>
      </c>
      <c r="BY166" s="1207">
        <f>IS!BY27</f>
        <v>-5.7</v>
      </c>
      <c r="BZ166" s="1199"/>
      <c r="CA166" s="1209">
        <f>IS!CA27</f>
        <v>0</v>
      </c>
      <c r="CB166" s="1208">
        <f>IS!CB27</f>
        <v>0</v>
      </c>
      <c r="CC166" s="1208">
        <f>IS!CC27</f>
        <v>0</v>
      </c>
      <c r="CD166" s="1208">
        <f>IS!CD27</f>
        <v>0</v>
      </c>
      <c r="CE166" s="1207">
        <f>IS!CE27</f>
        <v>0</v>
      </c>
      <c r="CF166" s="1199"/>
      <c r="CG166" s="1209">
        <f>IS!CG27</f>
        <v>0</v>
      </c>
      <c r="CH166" s="1208">
        <f>IS!CH27</f>
        <v>0.5</v>
      </c>
      <c r="CI166" s="1208">
        <f>IS!CI27</f>
        <v>-1.1000000000000001</v>
      </c>
      <c r="CJ166" s="1208">
        <f>IS!CJ27</f>
        <v>0</v>
      </c>
      <c r="CK166" s="1207">
        <f>IS!CK27</f>
        <v>-0.60000000000000009</v>
      </c>
      <c r="CL166" s="1199"/>
      <c r="CM166" s="1209">
        <f>IS!CM27</f>
        <v>-0.55078034976063728</v>
      </c>
      <c r="CN166" s="1208">
        <f>IS!CN27</f>
        <v>-0.56456961053891463</v>
      </c>
      <c r="CO166" s="1208">
        <f>IS!CO27</f>
        <v>-0.58629972986241585</v>
      </c>
      <c r="CP166" s="1208">
        <f>IS!CP27</f>
        <v>-0.72512402531956033</v>
      </c>
      <c r="CQ166" s="1207">
        <f>IS!CQ27</f>
        <v>-2.4267737154815281</v>
      </c>
      <c r="CR166" s="1199"/>
      <c r="CS166" s="1209">
        <f>IS!CS27</f>
        <v>-0.56035538570577825</v>
      </c>
      <c r="CT166" s="1208">
        <f>IS!CT27</f>
        <v>-0.58422540351989871</v>
      </c>
      <c r="CU166" s="1208">
        <f>IS!CU27</f>
        <v>-0.59512607853074784</v>
      </c>
      <c r="CV166" s="1208">
        <f>IS!CV27</f>
        <v>-0.76035387609923988</v>
      </c>
      <c r="CW166" s="1207">
        <f>IS!CW27</f>
        <v>-2.5000607438556646</v>
      </c>
      <c r="CY166" s="1209">
        <f>IS!CY27</f>
        <v>-0.57546372922505074</v>
      </c>
      <c r="CZ166" s="1208">
        <f>IS!CZ27</f>
        <v>-0.5900632435340587</v>
      </c>
      <c r="DA166" s="1208">
        <f>IS!DA27</f>
        <v>-0.6157796652153239</v>
      </c>
      <c r="DB166" s="1208">
        <f>IS!DB27</f>
        <v>-0.77484981105076411</v>
      </c>
      <c r="DC166" s="1207">
        <f>IS!DC27</f>
        <v>-2.5561564490251976</v>
      </c>
      <c r="DE166" s="1209">
        <f>IS!DE27</f>
        <v>-0.58481427677081899</v>
      </c>
      <c r="DF166" s="1208">
        <f>IS!DF27</f>
        <v>-0.60907892691206467</v>
      </c>
      <c r="DG166" s="1208">
        <f>IS!DG27</f>
        <v>-0.62499462914321413</v>
      </c>
      <c r="DH166" s="1208">
        <f>IS!DH27</f>
        <v>-0.79667058840929061</v>
      </c>
      <c r="DI166" s="1207">
        <f>IS!DI27</f>
        <v>-2.615558421235388</v>
      </c>
    </row>
    <row r="167" spans="1:113" ht="11.25" hidden="1" customHeight="1" outlineLevel="1">
      <c r="A167" s="197" t="s">
        <v>167</v>
      </c>
      <c r="B167" s="198"/>
      <c r="C167" s="1207">
        <f>IS!C9</f>
        <v>42.206999999999994</v>
      </c>
      <c r="D167" s="1208"/>
      <c r="E167" s="1207">
        <f>IS!E9</f>
        <v>64.69</v>
      </c>
      <c r="F167" s="1208"/>
      <c r="G167" s="1207">
        <f>IS!G9</f>
        <v>76.602000000000004</v>
      </c>
      <c r="H167" s="1208"/>
      <c r="I167" s="1207">
        <f>IS!I9</f>
        <v>92.691000000000003</v>
      </c>
      <c r="J167" s="1208"/>
      <c r="K167" s="1207">
        <f>IS!K9</f>
        <v>220.65799999999999</v>
      </c>
      <c r="L167" s="1208"/>
      <c r="M167" s="1207">
        <f>IS!M9</f>
        <v>260.67900000000003</v>
      </c>
      <c r="N167" s="1208"/>
      <c r="O167" s="1207">
        <f>IS!O9</f>
        <v>284.416</v>
      </c>
      <c r="P167" s="1208"/>
      <c r="Q167" s="1207">
        <f>IS!Q9</f>
        <v>372.25299999999999</v>
      </c>
      <c r="R167" s="1208"/>
      <c r="S167" s="1209">
        <f>IS!S9</f>
        <v>94.855999999999995</v>
      </c>
      <c r="T167" s="1208">
        <f>IS!T9</f>
        <v>100.48299999999999</v>
      </c>
      <c r="U167" s="1208">
        <f>IS!U9</f>
        <v>104.87</v>
      </c>
      <c r="V167" s="1208">
        <f>IS!V9</f>
        <v>135.62500000000003</v>
      </c>
      <c r="W167" s="1207">
        <f>IS!W9</f>
        <v>435.834</v>
      </c>
      <c r="X167" s="1208"/>
      <c r="Y167" s="1209">
        <f>IS!Y9</f>
        <v>207.536</v>
      </c>
      <c r="Z167" s="1208">
        <f>IS!Z9</f>
        <v>238.34199999999998</v>
      </c>
      <c r="AA167" s="1208">
        <f>IS!AA9</f>
        <v>241.76</v>
      </c>
      <c r="AB167" s="1208">
        <f>IS!AB9</f>
        <v>344.76200000000006</v>
      </c>
      <c r="AC167" s="1207">
        <f>IS!AC9</f>
        <v>1032.4000000000001</v>
      </c>
      <c r="AD167" s="1208"/>
      <c r="AE167" s="1209">
        <f>IS!AE9</f>
        <v>238.3</v>
      </c>
      <c r="AF167" s="1208">
        <f>IS!AF9</f>
        <v>311.5</v>
      </c>
      <c r="AG167" s="1208">
        <f>IS!AG9</f>
        <v>242.10000000000002</v>
      </c>
      <c r="AH167" s="1208">
        <f>IS!AH9</f>
        <v>315.19999999999993</v>
      </c>
      <c r="AI167" s="1207">
        <f>IS!AI9</f>
        <v>1107.0999999999999</v>
      </c>
      <c r="AJ167" s="1208"/>
      <c r="AK167" s="1209">
        <f>IS!AK9</f>
        <v>230.5</v>
      </c>
      <c r="AL167" s="1208">
        <f>IS!AL9</f>
        <v>252.5</v>
      </c>
      <c r="AM167" s="1208">
        <f>IS!AM9</f>
        <v>265.09999999999997</v>
      </c>
      <c r="AN167" s="1208">
        <f>IS!AN9</f>
        <v>366.40000000000003</v>
      </c>
      <c r="AO167" s="1207">
        <f>IS!AO9</f>
        <v>1114.5</v>
      </c>
      <c r="AP167" s="1208"/>
      <c r="AQ167" s="1209">
        <f>IS!AQ9</f>
        <v>277.7</v>
      </c>
      <c r="AR167" s="1208">
        <f>IS!AR9</f>
        <v>300.89999999999998</v>
      </c>
      <c r="AS167" s="1208">
        <f>IS!AS9</f>
        <v>310.2</v>
      </c>
      <c r="AT167" s="1208">
        <f>IS!AT9</f>
        <v>416.1</v>
      </c>
      <c r="AU167" s="1207">
        <f>IS!AU9</f>
        <v>1304.9000000000001</v>
      </c>
      <c r="AV167" s="1199"/>
      <c r="AW167" s="1209">
        <f>IS!AW9</f>
        <v>357</v>
      </c>
      <c r="AX167" s="1208">
        <f>IS!AX9</f>
        <v>401.20000000000005</v>
      </c>
      <c r="AY167" s="1208">
        <f>IS!AY9</f>
        <v>418.4</v>
      </c>
      <c r="AZ167" s="1208">
        <f>IS!AZ9</f>
        <v>475.09999999999991</v>
      </c>
      <c r="BA167" s="1207">
        <f>IS!BA9</f>
        <v>1651.6999999999998</v>
      </c>
      <c r="BB167" s="1199"/>
      <c r="BC167" s="1209">
        <f>IS!BC9</f>
        <v>405.6</v>
      </c>
      <c r="BD167" s="1208">
        <f>IS!BD9</f>
        <v>420.70000000000005</v>
      </c>
      <c r="BE167" s="1208">
        <f>IS!BE9</f>
        <v>447.8</v>
      </c>
      <c r="BF167" s="1208">
        <f>IS!BF9</f>
        <v>517.30000000000007</v>
      </c>
      <c r="BG167" s="1207">
        <f>IS!BG9</f>
        <v>1791.4</v>
      </c>
      <c r="BH167" s="1199"/>
      <c r="BI167" s="1209">
        <f>IS!BI9</f>
        <v>393.40000000000003</v>
      </c>
      <c r="BJ167" s="1208">
        <f>IS!BJ9</f>
        <v>454.90000000000003</v>
      </c>
      <c r="BK167" s="1208">
        <f>IS!BK9</f>
        <v>439</v>
      </c>
      <c r="BL167" s="1208">
        <f>IS!BL9</f>
        <v>552.1</v>
      </c>
      <c r="BM167" s="1207">
        <f>IS!BM9</f>
        <v>1839.4</v>
      </c>
      <c r="BN167" s="1199"/>
      <c r="BO167" s="1209">
        <f>IS!BO9</f>
        <v>423.70000000000005</v>
      </c>
      <c r="BP167" s="1208">
        <f>IS!BP9</f>
        <v>457.4</v>
      </c>
      <c r="BQ167" s="1208">
        <f>IS!BQ9</f>
        <v>419.8</v>
      </c>
      <c r="BR167" s="1208">
        <f>IS!BR9</f>
        <v>508.00000000000006</v>
      </c>
      <c r="BS167" s="1207">
        <f>IS!BS9</f>
        <v>1808.9</v>
      </c>
      <c r="BT167" s="1199"/>
      <c r="BU167" s="1209">
        <f>IS!BU9</f>
        <v>353.5</v>
      </c>
      <c r="BV167" s="1208">
        <f>IS!BV9</f>
        <v>396</v>
      </c>
      <c r="BW167" s="1208">
        <f>IS!BW9</f>
        <v>396.1</v>
      </c>
      <c r="BX167" s="1208">
        <f>IS!BX9</f>
        <v>478.19999999999982</v>
      </c>
      <c r="BY167" s="1207">
        <f>IS!BY9</f>
        <v>1623.8</v>
      </c>
      <c r="BZ167" s="1199"/>
      <c r="CA167" s="1209">
        <f>IS!CA9</f>
        <v>375.40000000000003</v>
      </c>
      <c r="CB167" s="1208">
        <f>IS!CB9</f>
        <v>371.70000000000005</v>
      </c>
      <c r="CC167" s="1208">
        <f>IS!CC9</f>
        <v>393.9</v>
      </c>
      <c r="CD167" s="1208">
        <f>IS!CD9</f>
        <v>470.29999999999995</v>
      </c>
      <c r="CE167" s="1207">
        <f>IS!CE9</f>
        <v>1611.3000000000002</v>
      </c>
      <c r="CF167" s="1199"/>
      <c r="CG167" s="1209">
        <f>IS!CG9</f>
        <v>384.9</v>
      </c>
      <c r="CH167" s="1208">
        <f>IS!CH9</f>
        <v>414.9</v>
      </c>
      <c r="CI167" s="1208">
        <f>IS!CI9</f>
        <v>435.59999999999997</v>
      </c>
      <c r="CJ167" s="1208">
        <f>IS!CJ9</f>
        <v>530.50000000000023</v>
      </c>
      <c r="CK167" s="1207">
        <f>IS!CK9</f>
        <v>1765.9</v>
      </c>
      <c r="CL167" s="1199"/>
      <c r="CM167" s="1209">
        <f>IS!CM9</f>
        <v>423.67719212356712</v>
      </c>
      <c r="CN167" s="1208">
        <f>IS!CN9</f>
        <v>434.28431579916509</v>
      </c>
      <c r="CO167" s="1208">
        <f>IS!CO9</f>
        <v>450.99979220185833</v>
      </c>
      <c r="CP167" s="1208">
        <f>IS!CP9</f>
        <v>557.78771178427723</v>
      </c>
      <c r="CQ167" s="1207">
        <f>IS!CQ9</f>
        <v>1866.7490119088677</v>
      </c>
      <c r="CR167" s="1199"/>
      <c r="CS167" s="1209">
        <f>IS!CS9</f>
        <v>431.04260438906022</v>
      </c>
      <c r="CT167" s="1208">
        <f>IS!CT9</f>
        <v>449.4041565537683</v>
      </c>
      <c r="CU167" s="1208">
        <f>IS!CU9</f>
        <v>457.78929117749834</v>
      </c>
      <c r="CV167" s="1208">
        <f>IS!CV9</f>
        <v>584.88759699941534</v>
      </c>
      <c r="CW167" s="1207">
        <f>IS!CW9</f>
        <v>1923.1236491197421</v>
      </c>
      <c r="CY167" s="1209">
        <f>IS!CY9</f>
        <v>442.66440709619286</v>
      </c>
      <c r="CZ167" s="1208">
        <f>IS!CZ9</f>
        <v>453.8948027185067</v>
      </c>
      <c r="DA167" s="1208">
        <f>IS!DA9</f>
        <v>473.67666555024914</v>
      </c>
      <c r="DB167" s="1208">
        <f>IS!DB9</f>
        <v>596.03831619289554</v>
      </c>
      <c r="DC167" s="1207">
        <f>IS!DC9</f>
        <v>1966.2741915578442</v>
      </c>
      <c r="DE167" s="1209">
        <f>IS!DE9</f>
        <v>449.85713597755313</v>
      </c>
      <c r="DF167" s="1208">
        <f>IS!DF9</f>
        <v>468.52225147081901</v>
      </c>
      <c r="DG167" s="1208">
        <f>IS!DG9</f>
        <v>480.76509934093394</v>
      </c>
      <c r="DH167" s="1208">
        <f>IS!DH9</f>
        <v>612.82352954560815</v>
      </c>
      <c r="DI167" s="1207">
        <f>IS!DI9</f>
        <v>2011.9680163349142</v>
      </c>
    </row>
    <row r="168" spans="1:113" ht="11.25" hidden="1" customHeight="1" outlineLevel="1">
      <c r="A168" s="197" t="s">
        <v>168</v>
      </c>
      <c r="B168" s="198"/>
      <c r="C168" s="1207">
        <f>IS!C12</f>
        <v>19.672000000000001</v>
      </c>
      <c r="D168" s="1208"/>
      <c r="E168" s="1207">
        <f>IS!E12</f>
        <v>31.617999999999999</v>
      </c>
      <c r="F168" s="1208"/>
      <c r="G168" s="1207">
        <f>IS!G12</f>
        <v>35.587000000000003</v>
      </c>
      <c r="H168" s="1208"/>
      <c r="I168" s="1207">
        <f>IS!I12</f>
        <v>43.588000000000001</v>
      </c>
      <c r="J168" s="1208"/>
      <c r="K168" s="1207">
        <f>IS!K12</f>
        <v>118.286</v>
      </c>
      <c r="L168" s="1208"/>
      <c r="M168" s="1207">
        <f>IS!M12</f>
        <v>153.30000000000001</v>
      </c>
      <c r="N168" s="1208"/>
      <c r="O168" s="1207">
        <f>IS!O12</f>
        <v>165.94</v>
      </c>
      <c r="P168" s="1208"/>
      <c r="Q168" s="1207">
        <f>IS!Q12</f>
        <v>206.274</v>
      </c>
      <c r="R168" s="1208"/>
      <c r="S168" s="1209">
        <f>IS!S12</f>
        <v>51.1</v>
      </c>
      <c r="T168" s="1208">
        <f>IS!T12</f>
        <v>54.260000000000005</v>
      </c>
      <c r="U168" s="1208">
        <f>IS!U12</f>
        <v>58.686999999999998</v>
      </c>
      <c r="V168" s="1208">
        <f>IS!V12</f>
        <v>72.452999999999989</v>
      </c>
      <c r="W168" s="1207">
        <f>IS!W12</f>
        <v>236.5</v>
      </c>
      <c r="X168" s="1208"/>
      <c r="Y168" s="1209">
        <f>IS!Y12</f>
        <v>112.988</v>
      </c>
      <c r="Z168" s="1208">
        <f>IS!Z12</f>
        <v>138.42699999999999</v>
      </c>
      <c r="AA168" s="1208">
        <f>IS!AA12</f>
        <v>130.65200000000002</v>
      </c>
      <c r="AB168" s="1208">
        <f>IS!AB12</f>
        <v>174.73299999999998</v>
      </c>
      <c r="AC168" s="1207">
        <f>IS!AC12</f>
        <v>556.80000000000007</v>
      </c>
      <c r="AD168" s="1208"/>
      <c r="AE168" s="1209">
        <f>IS!AE12</f>
        <v>124.30000000000001</v>
      </c>
      <c r="AF168" s="1208">
        <f>IS!AF12</f>
        <v>181.9</v>
      </c>
      <c r="AG168" s="1208">
        <f>IS!AG12</f>
        <v>131</v>
      </c>
      <c r="AH168" s="1208">
        <f>IS!AH12</f>
        <v>164.9</v>
      </c>
      <c r="AI168" s="1207">
        <f>IS!AI12</f>
        <v>602.1</v>
      </c>
      <c r="AJ168" s="1208"/>
      <c r="AK168" s="1209">
        <f>IS!AK12</f>
        <v>127.80000000000001</v>
      </c>
      <c r="AL168" s="1208">
        <f>IS!AL12</f>
        <v>141.30000000000001</v>
      </c>
      <c r="AM168" s="1208">
        <f>IS!AM12</f>
        <v>145.9</v>
      </c>
      <c r="AN168" s="1208">
        <f>IS!AN12</f>
        <v>187.60000000000008</v>
      </c>
      <c r="AO168" s="1207">
        <f>IS!AO12</f>
        <v>602.60000000000014</v>
      </c>
      <c r="AP168" s="1208"/>
      <c r="AQ168" s="1209">
        <f>IS!AQ12</f>
        <v>151.19999999999999</v>
      </c>
      <c r="AR168" s="1208">
        <f>IS!AR12</f>
        <v>164.8</v>
      </c>
      <c r="AS168" s="1208">
        <f>IS!AS12</f>
        <v>158.19999999999999</v>
      </c>
      <c r="AT168" s="1208">
        <f>IS!AT12</f>
        <v>213.10000000000005</v>
      </c>
      <c r="AU168" s="1207">
        <f>IS!AU12</f>
        <v>687.3</v>
      </c>
      <c r="AV168" s="1199"/>
      <c r="AW168" s="1209">
        <f>IS!AW12</f>
        <v>187.5</v>
      </c>
      <c r="AX168" s="1208">
        <f>IS!AX12</f>
        <v>208.79999999999995</v>
      </c>
      <c r="AY168" s="1208">
        <f>IS!AY12</f>
        <v>223.3</v>
      </c>
      <c r="AZ168" s="1208">
        <f>IS!AZ12</f>
        <v>254.10000000000008</v>
      </c>
      <c r="BA168" s="1207">
        <f>IS!BA12</f>
        <v>873.7</v>
      </c>
      <c r="BB168" s="1199"/>
      <c r="BC168" s="1209">
        <f>IS!BC12</f>
        <v>210.20000000000005</v>
      </c>
      <c r="BD168" s="1208">
        <f>IS!BD12</f>
        <v>226.10000000000002</v>
      </c>
      <c r="BE168" s="1208">
        <f>IS!BE12</f>
        <v>231.4</v>
      </c>
      <c r="BF168" s="1208">
        <f>IS!BF12</f>
        <v>270.39999999999998</v>
      </c>
      <c r="BG168" s="1207">
        <f>IS!BG12</f>
        <v>938.1</v>
      </c>
      <c r="BH168" s="1199"/>
      <c r="BI168" s="1209">
        <f>IS!BI12</f>
        <v>213.9</v>
      </c>
      <c r="BJ168" s="1208">
        <f>IS!BJ12</f>
        <v>248.40000000000003</v>
      </c>
      <c r="BK168" s="1208">
        <f>IS!BK12</f>
        <v>240.8</v>
      </c>
      <c r="BL168" s="1208">
        <f>IS!BL12</f>
        <v>303.8</v>
      </c>
      <c r="BM168" s="1207">
        <f>IS!BM12</f>
        <v>1006.9000000000001</v>
      </c>
      <c r="BN168" s="1199"/>
      <c r="BO168" s="1209">
        <f>IS!BO12</f>
        <v>236.5</v>
      </c>
      <c r="BP168" s="1208">
        <f>IS!BP12</f>
        <v>245.60000000000002</v>
      </c>
      <c r="BQ168" s="1208">
        <f>IS!BQ12</f>
        <v>234.3</v>
      </c>
      <c r="BR168" s="1208">
        <f>IS!BR12</f>
        <v>284.79999999999995</v>
      </c>
      <c r="BS168" s="1207">
        <f>IS!BS12</f>
        <v>1001.2</v>
      </c>
      <c r="BT168" s="1199"/>
      <c r="BU168" s="1209">
        <f>IS!BU12</f>
        <v>186.4</v>
      </c>
      <c r="BV168" s="1208">
        <f>IS!BV12</f>
        <v>217.60000000000002</v>
      </c>
      <c r="BW168" s="1208">
        <f>IS!BW12</f>
        <v>213.4</v>
      </c>
      <c r="BX168" s="1208">
        <f>IS!BX12</f>
        <v>255.39999999999992</v>
      </c>
      <c r="BY168" s="1207">
        <f>IS!BY12</f>
        <v>872.8</v>
      </c>
      <c r="BZ168" s="1199"/>
      <c r="CA168" s="1209">
        <f>IS!CA12</f>
        <v>200</v>
      </c>
      <c r="CB168" s="1208">
        <f>IS!CB12</f>
        <v>194.8</v>
      </c>
      <c r="CC168" s="1208">
        <f>IS!CC12</f>
        <v>201.3</v>
      </c>
      <c r="CD168" s="1208">
        <f>IS!CD12</f>
        <v>240.80000000000004</v>
      </c>
      <c r="CE168" s="1207">
        <f>IS!CE12</f>
        <v>836.90000000000009</v>
      </c>
      <c r="CF168" s="1199"/>
      <c r="CG168" s="1209">
        <f>IS!CG12</f>
        <v>201.5</v>
      </c>
      <c r="CH168" s="1208">
        <f>IS!CH12</f>
        <v>221.6</v>
      </c>
      <c r="CI168" s="1208">
        <f>IS!CI12</f>
        <v>228.2</v>
      </c>
      <c r="CJ168" s="1208">
        <f>IS!CJ12</f>
        <v>265.5</v>
      </c>
      <c r="CK168" s="1207">
        <f>IS!CK12</f>
        <v>916.8</v>
      </c>
      <c r="CL168" s="1199"/>
      <c r="CM168" s="1209">
        <f>IS!CM12</f>
        <v>231.32774689946766</v>
      </c>
      <c r="CN168" s="1208">
        <f>IS!CN12</f>
        <v>237.11923642634414</v>
      </c>
      <c r="CO168" s="1208">
        <f>IS!CO12</f>
        <v>226.40189568533287</v>
      </c>
      <c r="CP168" s="1208">
        <f>IS!CP12</f>
        <v>257.69792284433606</v>
      </c>
      <c r="CQ168" s="1207">
        <f>IS!CQ12</f>
        <v>952.54680185548068</v>
      </c>
      <c r="CR168" s="1199"/>
      <c r="CS168" s="1209">
        <f>IS!CS12</f>
        <v>217.24547261208636</v>
      </c>
      <c r="CT168" s="1208">
        <f>IS!CT12</f>
        <v>226.49969490309923</v>
      </c>
      <c r="CU168" s="1208">
        <f>IS!CU12</f>
        <v>230.72580275345916</v>
      </c>
      <c r="CV168" s="1208">
        <f>IS!CV12</f>
        <v>294.78334888770536</v>
      </c>
      <c r="CW168" s="1207">
        <f>IS!CW12</f>
        <v>969.25431915635022</v>
      </c>
      <c r="CY168" s="1209">
        <f>IS!CY12</f>
        <v>220.44687473390405</v>
      </c>
      <c r="CZ168" s="1208">
        <f>IS!CZ12</f>
        <v>226.03961175381633</v>
      </c>
      <c r="DA168" s="1208">
        <f>IS!DA12</f>
        <v>235.89097944402408</v>
      </c>
      <c r="DB168" s="1208">
        <f>IS!DB12</f>
        <v>296.82708146406196</v>
      </c>
      <c r="DC168" s="1207">
        <f>IS!DC12</f>
        <v>979.20454739580646</v>
      </c>
      <c r="DE168" s="1209">
        <f>IS!DE12</f>
        <v>220.87985376497858</v>
      </c>
      <c r="DF168" s="1208">
        <f>IS!DF12</f>
        <v>230.04442547217212</v>
      </c>
      <c r="DG168" s="1208">
        <f>IS!DG12</f>
        <v>236.05566377639857</v>
      </c>
      <c r="DH168" s="1208">
        <f>IS!DH12</f>
        <v>300.89635300689361</v>
      </c>
      <c r="DI168" s="1207">
        <f>IS!DI12</f>
        <v>987.87629602044285</v>
      </c>
    </row>
    <row r="169" spans="1:113" ht="11.25" hidden="1" customHeight="1" outlineLevel="1">
      <c r="A169" s="197" t="s">
        <v>169</v>
      </c>
      <c r="B169" s="198"/>
      <c r="C169" s="1207">
        <f>IS!C19</f>
        <v>22.695999999999998</v>
      </c>
      <c r="D169" s="1208"/>
      <c r="E169" s="1207">
        <f>IS!E19</f>
        <v>29.893999999999998</v>
      </c>
      <c r="F169" s="1208"/>
      <c r="G169" s="1207">
        <f>IS!G19</f>
        <v>38.896000000000001</v>
      </c>
      <c r="H169" s="1208"/>
      <c r="I169" s="1207">
        <f>IS!I19</f>
        <v>46.185999999999993</v>
      </c>
      <c r="J169" s="1208"/>
      <c r="K169" s="1207">
        <f>IS!K19</f>
        <v>94.057000000000002</v>
      </c>
      <c r="L169" s="1208"/>
      <c r="M169" s="1207">
        <f>IS!M19</f>
        <v>104.11199999999999</v>
      </c>
      <c r="N169" s="1208"/>
      <c r="O169" s="1207">
        <f>IS!O19</f>
        <v>119.59399999999999</v>
      </c>
      <c r="P169" s="1208"/>
      <c r="Q169" s="1207">
        <f>IS!Q19</f>
        <v>143.55699999999999</v>
      </c>
      <c r="R169" s="1208"/>
      <c r="S169" s="1209">
        <f>IS!S19</f>
        <v>37.713999999999999</v>
      </c>
      <c r="T169" s="1208">
        <f>IS!T19</f>
        <v>39.656999999999996</v>
      </c>
      <c r="U169" s="1208">
        <f>IS!U19</f>
        <v>38.238</v>
      </c>
      <c r="V169" s="1208">
        <f>IS!V19</f>
        <v>47.33900000000002</v>
      </c>
      <c r="W169" s="1207">
        <f>IS!W19</f>
        <v>162.94800000000004</v>
      </c>
      <c r="X169" s="1208"/>
      <c r="Y169" s="1209">
        <f>IS!Y19</f>
        <v>74.444999999999993</v>
      </c>
      <c r="Z169" s="1208">
        <f>IS!Z19</f>
        <v>77.725000000000009</v>
      </c>
      <c r="AA169" s="1208">
        <f>IS!AA19</f>
        <v>80.048000000000002</v>
      </c>
      <c r="AB169" s="1208">
        <f>IS!AB19</f>
        <v>96.081999999999994</v>
      </c>
      <c r="AC169" s="1207">
        <f>IS!AC19</f>
        <v>328.29999999999995</v>
      </c>
      <c r="AD169" s="1208"/>
      <c r="AE169" s="1209">
        <f>IS!AE19</f>
        <v>91.7</v>
      </c>
      <c r="AF169" s="1208">
        <f>IS!AF19</f>
        <v>99.699999999999989</v>
      </c>
      <c r="AG169" s="1208">
        <f>IS!AG19</f>
        <v>94.700000000000017</v>
      </c>
      <c r="AH169" s="1208">
        <f>IS!AH19</f>
        <v>97.700000000000017</v>
      </c>
      <c r="AI169" s="1207">
        <f>IS!AI19</f>
        <v>383.8</v>
      </c>
      <c r="AJ169" s="1208"/>
      <c r="AK169" s="1209">
        <f>IS!AK19</f>
        <v>87.600000000000009</v>
      </c>
      <c r="AL169" s="1208">
        <f>IS!AL19</f>
        <v>91.5</v>
      </c>
      <c r="AM169" s="1208">
        <f>IS!AM19</f>
        <v>92.800000000000011</v>
      </c>
      <c r="AN169" s="1208">
        <f>IS!AN19</f>
        <v>107.79999999999998</v>
      </c>
      <c r="AO169" s="1207">
        <f>IS!AO19</f>
        <v>379.70000000000005</v>
      </c>
      <c r="AP169" s="1208"/>
      <c r="AQ169" s="1209">
        <f>IS!AQ19</f>
        <v>96.999999999999986</v>
      </c>
      <c r="AR169" s="1208">
        <f>IS!AR19</f>
        <v>93.7</v>
      </c>
      <c r="AS169" s="1208">
        <f>IS!AS19</f>
        <v>103.3</v>
      </c>
      <c r="AT169" s="1208">
        <f>IS!AT19</f>
        <v>136.00000000000003</v>
      </c>
      <c r="AU169" s="1207">
        <f>IS!AU19</f>
        <v>430.00000000000006</v>
      </c>
      <c r="AV169" s="1199"/>
      <c r="AW169" s="1209">
        <f>IS!AW19</f>
        <v>131.9</v>
      </c>
      <c r="AX169" s="1208">
        <f>IS!AX19</f>
        <v>140.19999999999999</v>
      </c>
      <c r="AY169" s="1208">
        <f>IS!AY19</f>
        <v>142.89999999999998</v>
      </c>
      <c r="AZ169" s="1208">
        <f>IS!AZ19</f>
        <v>158.30000000000001</v>
      </c>
      <c r="BA169" s="1207">
        <f>IS!BA19</f>
        <v>573.29999999999995</v>
      </c>
      <c r="BB169" s="1199"/>
      <c r="BC169" s="1209">
        <f>IS!BC19</f>
        <v>151.80000000000001</v>
      </c>
      <c r="BD169" s="1208">
        <f>IS!BD19</f>
        <v>161.6</v>
      </c>
      <c r="BE169" s="1208">
        <f>IS!BE19</f>
        <v>147</v>
      </c>
      <c r="BF169" s="1208">
        <f>IS!BF19</f>
        <v>173.89999999999998</v>
      </c>
      <c r="BG169" s="1207">
        <f>IS!BG19</f>
        <v>634.29999999999995</v>
      </c>
      <c r="BH169" s="1199"/>
      <c r="BI169" s="1209">
        <f>IS!BI19</f>
        <v>155.89999999999998</v>
      </c>
      <c r="BJ169" s="1208">
        <f>IS!BJ19</f>
        <v>153.20000000000002</v>
      </c>
      <c r="BK169" s="1208">
        <f>IS!BK19</f>
        <v>150.90000000000003</v>
      </c>
      <c r="BL169" s="1208">
        <f>IS!BL19</f>
        <v>166.99999999999991</v>
      </c>
      <c r="BM169" s="1207">
        <f>IS!BM19</f>
        <v>627</v>
      </c>
      <c r="BN169" s="1199"/>
      <c r="BO169" s="1209">
        <f>IS!BO19</f>
        <v>155.1</v>
      </c>
      <c r="BP169" s="1208">
        <f>IS!BP19</f>
        <v>159.1</v>
      </c>
      <c r="BQ169" s="1208">
        <f>IS!BQ19</f>
        <v>149.60000000000002</v>
      </c>
      <c r="BR169" s="1208">
        <f>IS!BR19</f>
        <v>159.5</v>
      </c>
      <c r="BS169" s="1207">
        <f>IS!BS19</f>
        <v>623.29999999999995</v>
      </c>
      <c r="BT169" s="1199"/>
      <c r="BU169" s="1209">
        <f>IS!BU19</f>
        <v>131.29999999999998</v>
      </c>
      <c r="BV169" s="1208">
        <f>IS!BV19</f>
        <v>135.5</v>
      </c>
      <c r="BW169" s="1208">
        <f>IS!BW19</f>
        <v>129.9</v>
      </c>
      <c r="BX169" s="1208">
        <f>IS!BX19</f>
        <v>139.1</v>
      </c>
      <c r="BY169" s="1207">
        <f>IS!BY19</f>
        <v>535.79999999999995</v>
      </c>
      <c r="BZ169" s="1199"/>
      <c r="CA169" s="1209">
        <f>IS!CA19</f>
        <v>128.1</v>
      </c>
      <c r="CB169" s="1208">
        <f>IS!CB19</f>
        <v>136.89999999999998</v>
      </c>
      <c r="CC169" s="1208">
        <f>IS!CC19</f>
        <v>134</v>
      </c>
      <c r="CD169" s="1208">
        <f>IS!CD19</f>
        <v>137.49999999999997</v>
      </c>
      <c r="CE169" s="1207">
        <f>IS!CE19</f>
        <v>536.5</v>
      </c>
      <c r="CF169" s="1199"/>
      <c r="CG169" s="1209">
        <f>IS!CG19</f>
        <v>134.19999999999999</v>
      </c>
      <c r="CH169" s="1208">
        <f>IS!CH19</f>
        <v>141.6</v>
      </c>
      <c r="CI169" s="1208">
        <f>IS!CI19</f>
        <v>143.00000000000003</v>
      </c>
      <c r="CJ169" s="1208">
        <f>IS!CJ19</f>
        <v>154.20000000000002</v>
      </c>
      <c r="CK169" s="1207">
        <f>IS!CK19</f>
        <v>573.00000000000011</v>
      </c>
      <c r="CL169" s="1199"/>
      <c r="CM169" s="1209">
        <f>IS!CM19</f>
        <v>137.88199271104722</v>
      </c>
      <c r="CN169" s="1208">
        <f>IS!CN19</f>
        <v>141.23384379253616</v>
      </c>
      <c r="CO169" s="1208">
        <f>IS!CO19</f>
        <v>146.51593433578722</v>
      </c>
      <c r="CP169" s="1208">
        <f>IS!CP19</f>
        <v>180.26091692383162</v>
      </c>
      <c r="CQ169" s="1207">
        <f>IS!CQ19</f>
        <v>605.89268776320216</v>
      </c>
      <c r="CR169" s="1199"/>
      <c r="CS169" s="1209">
        <f>IS!CS19</f>
        <v>138.48529256938679</v>
      </c>
      <c r="CT169" s="1208">
        <f>IS!CT19</f>
        <v>144.21409684477572</v>
      </c>
      <c r="CU169" s="1208">
        <f>IS!CU19</f>
        <v>146.83025884737947</v>
      </c>
      <c r="CV169" s="1208">
        <f>IS!CV19</f>
        <v>186.4849302638176</v>
      </c>
      <c r="CW169" s="1207">
        <f>IS!CW19</f>
        <v>616.01457852535964</v>
      </c>
      <c r="CY169" s="1209">
        <f>IS!CY19</f>
        <v>139.89797297853121</v>
      </c>
      <c r="CZ169" s="1208">
        <f>IS!CZ19</f>
        <v>143.34570443458153</v>
      </c>
      <c r="DA169" s="1208">
        <f>IS!DA19</f>
        <v>149.41873632392648</v>
      </c>
      <c r="DB169" s="1208">
        <f>IS!DB19</f>
        <v>186.9837630712189</v>
      </c>
      <c r="DC169" s="1207">
        <f>IS!DC19</f>
        <v>619.64617680825813</v>
      </c>
      <c r="DE169" s="1209">
        <f>IS!DE19</f>
        <v>139.85685506522103</v>
      </c>
      <c r="DF169" s="1208">
        <f>IS!DF19</f>
        <v>145.49371994418732</v>
      </c>
      <c r="DG169" s="1208">
        <f>IS!DG19</f>
        <v>149.19106000096204</v>
      </c>
      <c r="DH169" s="1208">
        <f>IS!DH19</f>
        <v>189.07270592277365</v>
      </c>
      <c r="DI169" s="1207">
        <f>IS!DI19</f>
        <v>623.61434093314415</v>
      </c>
    </row>
    <row r="170" spans="1:113" ht="11.25" hidden="1" customHeight="1" outlineLevel="1">
      <c r="A170" s="197" t="s">
        <v>170</v>
      </c>
      <c r="B170" s="198"/>
      <c r="C170" s="1207">
        <f>IS!C34</f>
        <v>-0.505000000000005</v>
      </c>
      <c r="D170" s="1208"/>
      <c r="E170" s="1207">
        <f>IS!E34</f>
        <v>1.2490000000000041</v>
      </c>
      <c r="F170" s="1208"/>
      <c r="G170" s="1207">
        <f>IS!G34</f>
        <v>2.2499999999999996</v>
      </c>
      <c r="H170" s="1208"/>
      <c r="I170" s="1207">
        <f>IS!I34</f>
        <v>3.637000000000008</v>
      </c>
      <c r="J170" s="1208"/>
      <c r="K170" s="1207">
        <f>IS!K34</f>
        <v>-6.8020000000000156</v>
      </c>
      <c r="L170" s="1208"/>
      <c r="M170" s="1207">
        <f>IS!M34</f>
        <v>-17.553999999999974</v>
      </c>
      <c r="N170" s="1208"/>
      <c r="O170" s="1207">
        <f>IS!O34</f>
        <v>-7.8309999999999951</v>
      </c>
      <c r="P170" s="1208"/>
      <c r="Q170" s="1207">
        <f>IS!Q34</f>
        <v>9.7469999999999963</v>
      </c>
      <c r="R170" s="1208"/>
      <c r="S170" s="1209">
        <f>IS!S34</f>
        <v>3.2589999999999959</v>
      </c>
      <c r="T170" s="1208">
        <f>IS!T34</f>
        <v>2.5379999999999887</v>
      </c>
      <c r="U170" s="1208">
        <f>IS!U34</f>
        <v>2.9760000000000075</v>
      </c>
      <c r="V170" s="1208">
        <f>IS!V34</f>
        <v>9.7080000000000233</v>
      </c>
      <c r="W170" s="1207">
        <f>IS!W34</f>
        <v>18.480999999999973</v>
      </c>
      <c r="X170" s="1208"/>
      <c r="Y170" s="1209">
        <f>IS!Y34</f>
        <v>14.350000000000007</v>
      </c>
      <c r="Z170" s="1208">
        <f>IS!Z34</f>
        <v>17.656999999999986</v>
      </c>
      <c r="AA170" s="1208">
        <f>IS!AA34</f>
        <v>26.670999999999964</v>
      </c>
      <c r="AB170" s="1208">
        <f>IS!AB34</f>
        <v>40.222000000000065</v>
      </c>
      <c r="AC170" s="1207">
        <f>IS!AC34</f>
        <v>98.900000000000048</v>
      </c>
      <c r="AD170" s="1208"/>
      <c r="AE170" s="1209">
        <f>IS!AE34</f>
        <v>-0.80000000000000249</v>
      </c>
      <c r="AF170" s="1208">
        <f>IS!AF34</f>
        <v>21.7</v>
      </c>
      <c r="AG170" s="1208">
        <f>IS!AG34</f>
        <v>17.8</v>
      </c>
      <c r="AH170" s="1208">
        <f>IS!AH34</f>
        <v>26.199999999999907</v>
      </c>
      <c r="AI170" s="1207">
        <f>IS!AI34</f>
        <v>64.899999999999878</v>
      </c>
      <c r="AJ170" s="1208"/>
      <c r="AK170" s="1209">
        <f>IS!AK34</f>
        <v>8.3999999999999808</v>
      </c>
      <c r="AL170" s="1208">
        <f>IS!AL34</f>
        <v>12.899999999999986</v>
      </c>
      <c r="AM170" s="1208">
        <f>IS!AM34</f>
        <v>16.399999999999952</v>
      </c>
      <c r="AN170" s="1208">
        <f>IS!AN34</f>
        <v>43.499999999999972</v>
      </c>
      <c r="AO170" s="1207">
        <f>IS!AO34</f>
        <v>81.199999999999818</v>
      </c>
      <c r="AP170" s="1208"/>
      <c r="AQ170" s="1209">
        <f>IS!AQ34</f>
        <v>16.100000000000019</v>
      </c>
      <c r="AR170" s="1208">
        <f>IS!AR34</f>
        <v>22.599999999999966</v>
      </c>
      <c r="AS170" s="1208">
        <f>IS!AS34</f>
        <v>27.400000000000002</v>
      </c>
      <c r="AT170" s="1208">
        <f>IS!AT34</f>
        <v>29.29999999999994</v>
      </c>
      <c r="AU170" s="1207">
        <f>IS!AU34</f>
        <v>95.400000000000091</v>
      </c>
      <c r="AV170" s="1199"/>
      <c r="AW170" s="1209">
        <f>IS!AW34</f>
        <v>11.299999999999997</v>
      </c>
      <c r="AX170" s="1208">
        <f>IS!AX34</f>
        <v>22.100000000000108</v>
      </c>
      <c r="AY170" s="1208">
        <f>IS!AY34</f>
        <v>19.79999999999999</v>
      </c>
      <c r="AZ170" s="1208">
        <f>IS!AZ34</f>
        <v>39.099999999999817</v>
      </c>
      <c r="BA170" s="1207">
        <f>IS!BA34</f>
        <v>92.299999999999812</v>
      </c>
      <c r="BB170" s="1199"/>
      <c r="BC170" s="1209">
        <f>IS!BC34</f>
        <v>15.099999999999966</v>
      </c>
      <c r="BD170" s="1208">
        <f>IS!BD34</f>
        <v>9.900000000000027</v>
      </c>
      <c r="BE170" s="1208">
        <f>IS!BE34</f>
        <v>39.700000000000017</v>
      </c>
      <c r="BF170" s="1208">
        <f>IS!BF34</f>
        <v>12.800000000000111</v>
      </c>
      <c r="BG170" s="1207">
        <f>IS!BG34</f>
        <v>77.500000000000128</v>
      </c>
      <c r="BH170" s="1199"/>
      <c r="BI170" s="1209">
        <f>IS!BI34</f>
        <v>5.4000000000000501</v>
      </c>
      <c r="BJ170" s="1208">
        <f>IS!BJ34</f>
        <v>22.899999999999977</v>
      </c>
      <c r="BK170" s="1208">
        <f>IS!BK34</f>
        <v>16.599999999999952</v>
      </c>
      <c r="BL170" s="1208">
        <f>IS!BL34</f>
        <v>35.200000000000088</v>
      </c>
      <c r="BM170" s="1207">
        <f>IS!BM34</f>
        <v>80.100000000000009</v>
      </c>
      <c r="BN170" s="1199"/>
      <c r="BO170" s="1209">
        <f>IS!BO34</f>
        <v>8.700000000000049</v>
      </c>
      <c r="BP170" s="1208">
        <f>IS!BP34</f>
        <v>16.399999999999956</v>
      </c>
      <c r="BQ170" s="1208">
        <f>IS!BQ34</f>
        <v>5.4999999999999751</v>
      </c>
      <c r="BR170" s="1208">
        <f>IS!BR34</f>
        <v>26.100000000000101</v>
      </c>
      <c r="BS170" s="1207">
        <f>IS!BS34</f>
        <v>56.700000000000074</v>
      </c>
      <c r="BT170" s="1199"/>
      <c r="BU170" s="1209">
        <f>IS!BU34</f>
        <v>6.5000000000000107</v>
      </c>
      <c r="BV170" s="1208">
        <f>IS!BV34</f>
        <v>21.899999999999981</v>
      </c>
      <c r="BW170" s="1208">
        <f>IS!BW34</f>
        <v>11.800000000000008</v>
      </c>
      <c r="BX170" s="1208">
        <f>IS!BX34</f>
        <v>61.39999999999992</v>
      </c>
      <c r="BY170" s="1207">
        <f>IS!BY34</f>
        <v>101.60000000000002</v>
      </c>
      <c r="BZ170" s="1199"/>
      <c r="CA170" s="1209">
        <f>IS!CA34</f>
        <v>23.600000000000041</v>
      </c>
      <c r="CB170" s="1208">
        <f>IS!CB34</f>
        <v>14.500000000000057</v>
      </c>
      <c r="CC170" s="1208">
        <f>IS!CC34</f>
        <v>46.499999999999964</v>
      </c>
      <c r="CD170" s="1208">
        <f>IS!CD34</f>
        <v>68.999999999999943</v>
      </c>
      <c r="CE170" s="1207">
        <f>IS!CE34</f>
        <v>153.60000000000008</v>
      </c>
      <c r="CF170" s="1199"/>
      <c r="CG170" s="1209">
        <f>IS!CG34</f>
        <v>21.599999999999987</v>
      </c>
      <c r="CH170" s="1208">
        <f>IS!CH34</f>
        <v>23.399999999999988</v>
      </c>
      <c r="CI170" s="1208">
        <f>IS!CI34</f>
        <v>36.99999999999995</v>
      </c>
      <c r="CJ170" s="1208">
        <f>IS!CJ34</f>
        <v>-3.3999999999997783</v>
      </c>
      <c r="CK170" s="1207">
        <f>IS!CK34</f>
        <v>78.600000000000065</v>
      </c>
      <c r="CL170" s="1199"/>
      <c r="CM170" s="1209">
        <f>IS!CM34</f>
        <v>26.921035372468715</v>
      </c>
      <c r="CN170" s="1208">
        <f>IS!CN34</f>
        <v>28.324398418900657</v>
      </c>
      <c r="CO170" s="1208">
        <f>IS!CO34</f>
        <v>44.38579832668038</v>
      </c>
      <c r="CP170" s="1208">
        <f>IS!CP34</f>
        <v>75.631600320252147</v>
      </c>
      <c r="CQ170" s="1207">
        <f>IS!CQ34</f>
        <v>175.26283243830196</v>
      </c>
      <c r="CR170" s="1199"/>
      <c r="CS170" s="1209">
        <f>IS!CS34</f>
        <v>42.457997695629821</v>
      </c>
      <c r="CT170" s="1208">
        <f>IS!CT34</f>
        <v>45.138498578707043</v>
      </c>
      <c r="CU170" s="1208">
        <f>IS!CU34</f>
        <v>46.177418535902319</v>
      </c>
      <c r="CV170" s="1208">
        <f>IS!CV34</f>
        <v>63.53141711651871</v>
      </c>
      <c r="CW170" s="1207">
        <f>IS!CW34</f>
        <v>197.30533192675767</v>
      </c>
      <c r="CY170" s="1209">
        <f>IS!CY34</f>
        <v>47.566190662377402</v>
      </c>
      <c r="CZ170" s="1208">
        <f>IS!CZ34</f>
        <v>57.448634067847493</v>
      </c>
      <c r="DA170" s="1208">
        <f>IS!DA34</f>
        <v>59.080037229501542</v>
      </c>
      <c r="DB170" s="1208">
        <f>IS!DB34</f>
        <v>76.259925419343929</v>
      </c>
      <c r="DC170" s="1207">
        <f>IS!DC34</f>
        <v>240.35478737907033</v>
      </c>
      <c r="DE170" s="1209">
        <f>IS!DE34</f>
        <v>57.988758634370782</v>
      </c>
      <c r="DF170" s="1208">
        <f>IS!DF34</f>
        <v>55.969012482739458</v>
      </c>
      <c r="DG170" s="1208">
        <f>IS!DG34</f>
        <v>57.684654772254106</v>
      </c>
      <c r="DH170" s="1208">
        <f>IS!DH34</f>
        <v>78.00939284800188</v>
      </c>
      <c r="DI170" s="1207">
        <f>IS!DI34</f>
        <v>249.65181873736606</v>
      </c>
    </row>
    <row r="171" spans="1:113" ht="11.25" hidden="1" customHeight="1" outlineLevel="1">
      <c r="A171" s="197" t="s">
        <v>171</v>
      </c>
      <c r="B171" s="198"/>
      <c r="C171" s="1207">
        <f>CF!C17</f>
        <v>0</v>
      </c>
      <c r="D171" s="1208"/>
      <c r="E171" s="1207">
        <f>CF!E17</f>
        <v>0</v>
      </c>
      <c r="F171" s="1208"/>
      <c r="G171" s="1207">
        <f>CF!G17</f>
        <v>0.18099999999999999</v>
      </c>
      <c r="H171" s="1208"/>
      <c r="I171" s="1207">
        <f>CF!I17</f>
        <v>0.23799999999999999</v>
      </c>
      <c r="J171" s="1208"/>
      <c r="K171" s="1207">
        <f>CF!K17</f>
        <v>-0.1</v>
      </c>
      <c r="L171" s="1208"/>
      <c r="M171" s="1207">
        <f>CF!M17</f>
        <v>2E-3</v>
      </c>
      <c r="N171" s="1208"/>
      <c r="O171" s="1207">
        <f>CF!O17</f>
        <v>2.4E-2</v>
      </c>
      <c r="P171" s="1208"/>
      <c r="Q171" s="1207">
        <f>CF!Q17</f>
        <v>2.8000000000000001E-2</v>
      </c>
      <c r="R171" s="1208"/>
      <c r="S171" s="1209">
        <f>CF!S17</f>
        <v>0</v>
      </c>
      <c r="T171" s="1208">
        <f>CF!T17</f>
        <v>0</v>
      </c>
      <c r="U171" s="1208">
        <f>CF!U17</f>
        <v>0</v>
      </c>
      <c r="V171" s="1208">
        <f>CF!V17</f>
        <v>0</v>
      </c>
      <c r="W171" s="1207">
        <f>CF!W17</f>
        <v>1.474</v>
      </c>
      <c r="X171" s="1208"/>
      <c r="Y171" s="1209">
        <f>CF!Y17</f>
        <v>0.39400000000000002</v>
      </c>
      <c r="Z171" s="1208">
        <f>CF!Z17</f>
        <v>0.40300000000000002</v>
      </c>
      <c r="AA171" s="1208">
        <f>CF!AA17</f>
        <v>0.7</v>
      </c>
      <c r="AB171" s="1208">
        <f>CF!AB17</f>
        <v>0.70300000000000007</v>
      </c>
      <c r="AC171" s="1207">
        <f>CF!AC17</f>
        <v>2.2000000000000002</v>
      </c>
      <c r="AD171" s="1208"/>
      <c r="AE171" s="1209">
        <f>CF!AE17</f>
        <v>0.7</v>
      </c>
      <c r="AF171" s="1208">
        <f>CF!AF17</f>
        <v>1.1000000000000001</v>
      </c>
      <c r="AG171" s="1208">
        <f>CF!AG17</f>
        <v>1.3</v>
      </c>
      <c r="AH171" s="1208">
        <f>CF!AH17</f>
        <v>1.4</v>
      </c>
      <c r="AI171" s="1207">
        <f>CF!AI17</f>
        <v>4.5</v>
      </c>
      <c r="AJ171" s="1208"/>
      <c r="AK171" s="1209">
        <f>CF!AK17</f>
        <v>1.8</v>
      </c>
      <c r="AL171" s="1208">
        <f>CF!AL17</f>
        <v>1.4999999999999998</v>
      </c>
      <c r="AM171" s="1208">
        <f>CF!AM17</f>
        <v>1.5</v>
      </c>
      <c r="AN171" s="1208">
        <f>CF!AN17</f>
        <v>1.5</v>
      </c>
      <c r="AO171" s="1207">
        <f>CF!AO17</f>
        <v>6.3</v>
      </c>
      <c r="AP171" s="1208"/>
      <c r="AQ171" s="1209">
        <f>CF!AQ17</f>
        <v>1.6</v>
      </c>
      <c r="AR171" s="1208">
        <f>CF!AR17</f>
        <v>1.6999999999999997</v>
      </c>
      <c r="AS171" s="1208">
        <f>CF!AS17</f>
        <v>1.7000000000000002</v>
      </c>
      <c r="AT171" s="1208">
        <f>CF!AT17</f>
        <v>1.9000000000000004</v>
      </c>
      <c r="AU171" s="1207">
        <f>CF!AU17</f>
        <v>6.9</v>
      </c>
      <c r="AV171" s="1199"/>
      <c r="AW171" s="1209">
        <f>CF!AW17</f>
        <v>1.8</v>
      </c>
      <c r="AX171" s="1208">
        <f>CF!AX17</f>
        <v>1.9999999999999998</v>
      </c>
      <c r="AY171" s="1208">
        <f>CF!AY17</f>
        <v>2</v>
      </c>
      <c r="AZ171" s="1208">
        <f>CF!AZ17</f>
        <v>2.1000000000000005</v>
      </c>
      <c r="BA171" s="1207">
        <f>CF!BA17</f>
        <v>7.9</v>
      </c>
      <c r="BB171" s="1199"/>
      <c r="BC171" s="1209">
        <f>CF!BC17</f>
        <v>1.9</v>
      </c>
      <c r="BD171" s="1208">
        <f>CF!BD17</f>
        <v>1.9</v>
      </c>
      <c r="BE171" s="1208">
        <f>CF!BE17</f>
        <v>2.1000000000000005</v>
      </c>
      <c r="BF171" s="1208">
        <f>CF!BF17</f>
        <v>1.8999999999999995</v>
      </c>
      <c r="BG171" s="1207">
        <f>CF!BG17</f>
        <v>7.8</v>
      </c>
      <c r="BH171" s="1199"/>
      <c r="BI171" s="1209">
        <f>CF!BI17</f>
        <v>1.8</v>
      </c>
      <c r="BJ171" s="1208">
        <f>CF!BJ17</f>
        <v>1.4000000000000001</v>
      </c>
      <c r="BK171" s="1208">
        <f>CF!BK17</f>
        <v>1.6</v>
      </c>
      <c r="BL171" s="1208">
        <f>CF!BL17</f>
        <v>1.8</v>
      </c>
      <c r="BM171" s="1207">
        <f>CF!BM17</f>
        <v>6.6000000000000005</v>
      </c>
      <c r="BN171" s="1199"/>
      <c r="BO171" s="1209">
        <f>CF!BO17</f>
        <v>2</v>
      </c>
      <c r="BP171" s="1208">
        <f>CF!BP17</f>
        <v>3</v>
      </c>
      <c r="BQ171" s="1208">
        <f>CF!BQ17</f>
        <v>2.0999999999999996</v>
      </c>
      <c r="BR171" s="1208">
        <f>CF!BR17</f>
        <v>2.3000000000000007</v>
      </c>
      <c r="BS171" s="1207">
        <f>CF!BS17</f>
        <v>9.4</v>
      </c>
      <c r="BT171" s="1199"/>
      <c r="BU171" s="1209">
        <f>CF!BU17</f>
        <v>2.2000000000000002</v>
      </c>
      <c r="BV171" s="1208">
        <f>CF!BV17</f>
        <v>1.4</v>
      </c>
      <c r="BW171" s="1208">
        <f>CF!BW17</f>
        <v>2.1999999999999997</v>
      </c>
      <c r="BX171" s="1208">
        <f>CF!BX17</f>
        <v>2.2000000000000002</v>
      </c>
      <c r="BY171" s="1207">
        <f>CF!BY17</f>
        <v>8</v>
      </c>
      <c r="BZ171" s="1199"/>
      <c r="CA171" s="1209">
        <f>CF!CA17</f>
        <v>2.2000000000000002</v>
      </c>
      <c r="CB171" s="1208">
        <f>CF!CB17</f>
        <v>2.0999999999999996</v>
      </c>
      <c r="CC171" s="1208">
        <f>CF!CC17</f>
        <v>2.5</v>
      </c>
      <c r="CD171" s="1208">
        <f>CF!CD17</f>
        <v>2.6000000000000005</v>
      </c>
      <c r="CE171" s="1207">
        <f>CF!CE17</f>
        <v>9.4</v>
      </c>
      <c r="CF171" s="1199"/>
      <c r="CG171" s="1209">
        <f>CF!CG17</f>
        <v>2.6</v>
      </c>
      <c r="CH171" s="1208">
        <f>CF!CH17</f>
        <v>2.6999999999999997</v>
      </c>
      <c r="CI171" s="1208">
        <f>CF!CI17</f>
        <v>3.1000000000000005</v>
      </c>
      <c r="CJ171" s="1208">
        <f>CF!CJ17</f>
        <v>2.5999999999999996</v>
      </c>
      <c r="CK171" s="1207">
        <f>CF!CK17</f>
        <v>11</v>
      </c>
      <c r="CL171" s="1199"/>
      <c r="CM171" s="1209">
        <f>CF!CM17</f>
        <v>1.497848659022712</v>
      </c>
      <c r="CN171" s="1208">
        <f>CF!CN17</f>
        <v>1.5353485912091693</v>
      </c>
      <c r="CO171" s="1208">
        <f>CF!CO17</f>
        <v>1.5944437098045496</v>
      </c>
      <c r="CP171" s="1208">
        <f>CF!CP17</f>
        <v>1.9719767588333033</v>
      </c>
      <c r="CQ171" s="1207">
        <f>CF!CQ17</f>
        <v>6.5996177188697347</v>
      </c>
      <c r="CR171" s="1199"/>
      <c r="CS171" s="1209">
        <f>CF!CS17</f>
        <v>1.5238879953148592</v>
      </c>
      <c r="CT171" s="1208">
        <f>CF!CT17</f>
        <v>1.5888025736749383</v>
      </c>
      <c r="CU171" s="1208">
        <f>CF!CU17</f>
        <v>1.6184469890113578</v>
      </c>
      <c r="CV171" s="1208">
        <f>CF!CV17</f>
        <v>2.0677844338363167</v>
      </c>
      <c r="CW171" s="1207">
        <f>CF!CW17</f>
        <v>6.7989219918374717</v>
      </c>
      <c r="CY171" s="1209">
        <f>CF!CY17</f>
        <v>1.564975176602702</v>
      </c>
      <c r="CZ171" s="1208">
        <f>CF!CZ17</f>
        <v>1.604678595469468</v>
      </c>
      <c r="DA171" s="1208">
        <f>CF!DA17</f>
        <v>1.6746144741675473</v>
      </c>
      <c r="DB171" s="1208">
        <f>CF!DB17</f>
        <v>2.1072061683587213</v>
      </c>
      <c r="DC171" s="1207">
        <f>CF!DC17</f>
        <v>6.9514744145984384</v>
      </c>
      <c r="DE171" s="1209">
        <f>CF!DE17</f>
        <v>1.5904040160822583</v>
      </c>
      <c r="DF171" s="1208">
        <f>CF!DF17</f>
        <v>1.656391798129158</v>
      </c>
      <c r="DG171" s="1208">
        <f>CF!DG17</f>
        <v>1.6996745936295643</v>
      </c>
      <c r="DH171" s="1208">
        <f>CF!DH17</f>
        <v>2.1665478317268976</v>
      </c>
      <c r="DI171" s="1207">
        <f>CF!DI17</f>
        <v>7.1130182395678778</v>
      </c>
    </row>
    <row r="172" spans="1:113" ht="11.25" hidden="1" customHeight="1" outlineLevel="1">
      <c r="A172" s="504" t="s">
        <v>53</v>
      </c>
      <c r="B172" s="505"/>
      <c r="C172" s="1212">
        <f>IS!C29/IS!C28</f>
        <v>0</v>
      </c>
      <c r="D172" s="1213"/>
      <c r="E172" s="1212">
        <f>IS!E29/IS!E28</f>
        <v>0.48950437317784168</v>
      </c>
      <c r="F172" s="1213"/>
      <c r="G172" s="1212">
        <f>IS!G29/IS!G28</f>
        <v>0.19939271255060731</v>
      </c>
      <c r="H172" s="1213"/>
      <c r="I172" s="1212">
        <f>IS!I29/IS!I28</f>
        <v>0.39723893805309679</v>
      </c>
      <c r="J172" s="1213"/>
      <c r="K172" s="1212">
        <f>IS!K29/IS!K28</f>
        <v>0.38935041537383702</v>
      </c>
      <c r="L172" s="1213"/>
      <c r="M172" s="1212">
        <f>IS!M29/IS!M28</f>
        <v>0.47878077373973926</v>
      </c>
      <c r="N172" s="1213"/>
      <c r="O172" s="1212">
        <f>IS!O29/IS!O28</f>
        <v>-0.58505207269757065</v>
      </c>
      <c r="P172" s="1213"/>
      <c r="Q172" s="1212">
        <f>IS!Q29/IS!Q28</f>
        <v>0.54777746973477515</v>
      </c>
      <c r="R172" s="1213"/>
      <c r="S172" s="1214">
        <f>IS!S29/IS!S28</f>
        <v>0.43878626586001546</v>
      </c>
      <c r="T172" s="1213">
        <f>IS!T29/IS!T28</f>
        <v>0.34726708582822147</v>
      </c>
      <c r="U172" s="1213">
        <f>IS!U29/IS!U28</f>
        <v>0.49054897524757901</v>
      </c>
      <c r="V172" s="1213">
        <f>IS!V29/IS!V28</f>
        <v>0.40573271999303806</v>
      </c>
      <c r="W172" s="1212">
        <f>IS!W29/IS!W28</f>
        <v>0.41488142686329249</v>
      </c>
      <c r="X172" s="1213"/>
      <c r="Y172" s="1214">
        <f>IS!Y29/IS!Y28</f>
        <v>0.29410636359276837</v>
      </c>
      <c r="Z172" s="1213">
        <f>IS!Z29/IS!Z28</f>
        <v>0.26212915915423718</v>
      </c>
      <c r="AA172" s="1213">
        <f>IS!AA29/IS!AA28</f>
        <v>0.14742647058823544</v>
      </c>
      <c r="AB172" s="1213">
        <f>IS!AB29/IS!AB28</f>
        <v>0.36644814701541123</v>
      </c>
      <c r="AC172" s="1212">
        <f>IS!AC29/IS!AC28</f>
        <v>0.29327237099934672</v>
      </c>
      <c r="AD172" s="1213"/>
      <c r="AE172" s="1214">
        <f>IS!AE29/IS!AE28</f>
        <v>0.43564356435643575</v>
      </c>
      <c r="AF172" s="1213">
        <f>IS!AF29/IS!AF28</f>
        <v>0.31343283582089554</v>
      </c>
      <c r="AG172" s="1213">
        <f>IS!AG29/IS!AG28</f>
        <v>-0.10465116279069767</v>
      </c>
      <c r="AH172" s="1213">
        <f>IS!AH29/IS!AH28</f>
        <v>0.32819383259911966</v>
      </c>
      <c r="AI172" s="1212">
        <f>IS!AI29/IS!AI28</f>
        <v>0.26365348399246735</v>
      </c>
      <c r="AJ172" s="1213"/>
      <c r="AK172" s="1214">
        <f>IS!AK29/IS!AK28</f>
        <v>0.38157894736842152</v>
      </c>
      <c r="AL172" s="1213">
        <f>IS!AL29/IS!AL28</f>
        <v>0.27976190476190493</v>
      </c>
      <c r="AM172" s="1213">
        <f>IS!AM29/IS!AM28</f>
        <v>0.32926829268292751</v>
      </c>
      <c r="AN172" s="1213">
        <f>IS!AN29/IS!AN28</f>
        <v>0.40735294117647081</v>
      </c>
      <c r="AO172" s="1212">
        <f>IS!AO29/IS!AO28</f>
        <v>0.37158908507223171</v>
      </c>
      <c r="AP172" s="1213"/>
      <c r="AQ172" s="1214">
        <f>IS!AQ29/IS!AQ28</f>
        <v>0.37671232876712307</v>
      </c>
      <c r="AR172" s="1213">
        <f>IS!AR29/IS!AR28</f>
        <v>0.29842931937172801</v>
      </c>
      <c r="AS172" s="1213">
        <f>IS!AS29/IS!AS28</f>
        <v>0.25</v>
      </c>
      <c r="AT172" s="1213">
        <f>IS!AT29/IS!AT28</f>
        <v>0.28805970149253751</v>
      </c>
      <c r="AU172" s="1212">
        <f>IS!AU29/IS!AU28</f>
        <v>0.29450549450549435</v>
      </c>
      <c r="AV172" s="1215"/>
      <c r="AW172" s="1214">
        <f>IS!AW29/IS!AW28</f>
        <v>0.28834355828220865</v>
      </c>
      <c r="AX172" s="1213">
        <f>IS!AX29/IS!AX28</f>
        <v>0.26021505376344028</v>
      </c>
      <c r="AY172" s="1213">
        <f>IS!AY29/IS!AY28</f>
        <v>0.32532347504621084</v>
      </c>
      <c r="AZ172" s="1213">
        <f>IS!AZ29/IS!AZ28</f>
        <v>0.16449511400651518</v>
      </c>
      <c r="BA172" s="1212">
        <f>IS!BA29/IS!BA28</f>
        <v>0.25282631038026748</v>
      </c>
      <c r="BB172" s="1215"/>
      <c r="BC172" s="1214">
        <f>IS!BC29/IS!BC28</f>
        <v>0.34072022160664855</v>
      </c>
      <c r="BD172" s="1213">
        <f>IS!BD29/IS!BD28</f>
        <v>0.32119205298013215</v>
      </c>
      <c r="BE172" s="1213">
        <f>IS!BE29/IS!BE28</f>
        <v>0.29085457271364307</v>
      </c>
      <c r="BF172" s="1213">
        <f>IS!BF29/IS!BF28</f>
        <v>0.30600292825768616</v>
      </c>
      <c r="BG172" s="1212">
        <f>IS!BG29/IS!BG28</f>
        <v>0.30948832588176828</v>
      </c>
      <c r="BH172" s="1215"/>
      <c r="BI172" s="1214">
        <f>IS!BI29/IS!BI28</f>
        <v>0.2712765957446801</v>
      </c>
      <c r="BJ172" s="1213">
        <f>IS!BJ29/IS!BJ28</f>
        <v>0.31136363636363651</v>
      </c>
      <c r="BK172" s="1213">
        <f>IS!BK29/IS!BK28</f>
        <v>0.1995305164319251</v>
      </c>
      <c r="BL172" s="1213">
        <f>IS!BL29/IS!BL28</f>
        <v>0.28609986504723317</v>
      </c>
      <c r="BM172" s="1212">
        <f>IS!BM29/IS!BM28</f>
        <v>0.27019498607242337</v>
      </c>
      <c r="BN172" s="1215"/>
      <c r="BO172" s="1214">
        <f>IS!BO29/IS!BO28</f>
        <v>0.25650557620817793</v>
      </c>
      <c r="BP172" s="1213">
        <f>IS!BP29/IS!BP28</f>
        <v>0.29960317460317487</v>
      </c>
      <c r="BQ172" s="1213">
        <f>IS!BQ29/IS!BQ28</f>
        <v>0.27002967359050467</v>
      </c>
      <c r="BR172" s="1213">
        <f>IS!BR29/IS!BR28</f>
        <v>0.20031545741324883</v>
      </c>
      <c r="BS172" s="1212">
        <f>IS!BS29/IS!BS28</f>
        <v>0.25114678899082554</v>
      </c>
      <c r="BT172" s="1215"/>
      <c r="BU172" s="1214">
        <f>IS!BU29/IS!BU28</f>
        <v>0.27244582043343646</v>
      </c>
      <c r="BV172" s="1213">
        <f>IS!BV29/IS!BV28</f>
        <v>0.10298102981029816</v>
      </c>
      <c r="BW172" s="1213">
        <f>IS!BW29/IS!BW28</f>
        <v>0.32157676348547709</v>
      </c>
      <c r="BX172" s="1213">
        <f>IS!BX29/IS!BX28</f>
        <v>0.19053549190535513</v>
      </c>
      <c r="BY172" s="1212">
        <f>IS!BY29/IS!BY28</f>
        <v>0.21952453211937276</v>
      </c>
      <c r="BZ172" s="1215"/>
      <c r="CA172" s="1214">
        <f>IS!CA29/IS!CA28</f>
        <v>0.17745803357314133</v>
      </c>
      <c r="CB172" s="1213">
        <f>IS!CB29/IS!CB28</f>
        <v>0.12032085561497308</v>
      </c>
      <c r="CC172" s="1213">
        <f>IS!CC29/IS!CC28</f>
        <v>6.2836624775583522E-2</v>
      </c>
      <c r="CD172" s="1213">
        <f>IS!CD29/IS!CD28</f>
        <v>0.21739130434782622</v>
      </c>
      <c r="CE172" s="1212">
        <f>IS!CE29/IS!CE28</f>
        <v>0.15670013094718457</v>
      </c>
      <c r="CF172" s="1215"/>
      <c r="CG172" s="1214">
        <f>IS!CG29/IS!CG28</f>
        <v>0.30555555555555564</v>
      </c>
      <c r="CH172" s="1213">
        <f>IS!CH29/IS!CH28</f>
        <v>0.24173553719008267</v>
      </c>
      <c r="CI172" s="1213">
        <f>IS!CI29/IS!CI28</f>
        <v>0.22697368421052652</v>
      </c>
      <c r="CJ172" s="1213">
        <f>IS!CJ29/IS!CJ28</f>
        <v>0.2448210922787189</v>
      </c>
      <c r="CK172" s="1212">
        <f>IS!CK29/IS!CK28</f>
        <v>0.25019334880123745</v>
      </c>
      <c r="CL172" s="1215"/>
      <c r="CM172" s="1214">
        <f>IS!CM29/IS!CM28</f>
        <v>0.25</v>
      </c>
      <c r="CN172" s="1213">
        <f>IS!CN29/IS!CN28</f>
        <v>0.25</v>
      </c>
      <c r="CO172" s="1213">
        <f>IS!CO29/IS!CO28</f>
        <v>0.25</v>
      </c>
      <c r="CP172" s="1213">
        <f>IS!CP29/IS!CP28</f>
        <v>0.25</v>
      </c>
      <c r="CQ172" s="1212">
        <f>IS!CQ29/IS!CQ28</f>
        <v>0.24999999999999994</v>
      </c>
      <c r="CR172" s="1215"/>
      <c r="CS172" s="1214">
        <f>IS!CS29/IS!CS28</f>
        <v>0.25</v>
      </c>
      <c r="CT172" s="1213">
        <f>IS!CT29/IS!CT28</f>
        <v>0.25</v>
      </c>
      <c r="CU172" s="1213">
        <f>IS!CU29/IS!CU28</f>
        <v>0.25</v>
      </c>
      <c r="CV172" s="1213">
        <f>IS!CV29/IS!CV28</f>
        <v>0.25</v>
      </c>
      <c r="CW172" s="1212">
        <f>IS!CW29/IS!CW28</f>
        <v>0.25000000000000017</v>
      </c>
      <c r="CY172" s="1214">
        <f>IS!CY29/IS!CY28</f>
        <v>0.25</v>
      </c>
      <c r="CZ172" s="1213">
        <f>IS!CZ29/IS!CZ28</f>
        <v>0.25</v>
      </c>
      <c r="DA172" s="1213">
        <f>IS!DA29/IS!DA28</f>
        <v>0.25</v>
      </c>
      <c r="DB172" s="1213">
        <f>IS!DB29/IS!DB28</f>
        <v>0.25</v>
      </c>
      <c r="DC172" s="1212">
        <f>IS!DC29/IS!DC28</f>
        <v>0.25</v>
      </c>
      <c r="DE172" s="1214">
        <f>IS!DE29/IS!DE28</f>
        <v>0.25</v>
      </c>
      <c r="DF172" s="1213">
        <f>IS!DF29/IS!DF28</f>
        <v>0.25</v>
      </c>
      <c r="DG172" s="1213">
        <f>IS!DG29/IS!DG28</f>
        <v>0.25</v>
      </c>
      <c r="DH172" s="1213">
        <f>IS!DH29/IS!DH28</f>
        <v>0.25</v>
      </c>
      <c r="DI172" s="1212">
        <f>IS!DI29/IS!DI28</f>
        <v>0.25000000000000011</v>
      </c>
    </row>
    <row r="173" spans="1:113" ht="11.25" hidden="1" customHeight="1" outlineLevel="1">
      <c r="A173" s="206" t="s">
        <v>271</v>
      </c>
      <c r="B173" s="207"/>
      <c r="C173" s="1216">
        <f>CF!C17/IS!C9</f>
        <v>0</v>
      </c>
      <c r="D173" s="1217"/>
      <c r="E173" s="1216">
        <f>CF!E17/IS!E9</f>
        <v>0</v>
      </c>
      <c r="F173" s="1217"/>
      <c r="G173" s="1216">
        <f>CF!G17/IS!G9</f>
        <v>2.3628625884441657E-3</v>
      </c>
      <c r="H173" s="1217"/>
      <c r="I173" s="1216">
        <f>CF!I17/IS!I9</f>
        <v>2.5676710791770504E-3</v>
      </c>
      <c r="J173" s="1217"/>
      <c r="K173" s="1216">
        <f>CF!K17/IS!K9</f>
        <v>-4.531900044412621E-4</v>
      </c>
      <c r="L173" s="1217"/>
      <c r="M173" s="1216">
        <f>CF!M17/IS!M9</f>
        <v>7.6722712608226966E-6</v>
      </c>
      <c r="N173" s="1217"/>
      <c r="O173" s="1216">
        <f>CF!O17/IS!O9</f>
        <v>8.4383438343834383E-5</v>
      </c>
      <c r="P173" s="1217"/>
      <c r="Q173" s="1216">
        <f>CF!Q17/IS!Q9</f>
        <v>7.5217661106827887E-5</v>
      </c>
      <c r="R173" s="1217"/>
      <c r="S173" s="1218">
        <f>CF!S17/IS!S9</f>
        <v>0</v>
      </c>
      <c r="T173" s="1217">
        <f>CF!T17/IS!T9</f>
        <v>0</v>
      </c>
      <c r="U173" s="1217">
        <f>CF!U17/IS!U9</f>
        <v>0</v>
      </c>
      <c r="V173" s="1217">
        <f>CF!V17/IS!V9</f>
        <v>0</v>
      </c>
      <c r="W173" s="1216">
        <f>CF!W17/IS!W9</f>
        <v>3.3820215953780566E-3</v>
      </c>
      <c r="X173" s="1217"/>
      <c r="Y173" s="1218">
        <f>CF!Y17/IS!Y9</f>
        <v>1.8984658083416853E-3</v>
      </c>
      <c r="Z173" s="1217">
        <f>CF!Z17/IS!Z9</f>
        <v>1.6908476055416169E-3</v>
      </c>
      <c r="AA173" s="1217">
        <f>CF!AA17/IS!AA9</f>
        <v>2.8954334877564526E-3</v>
      </c>
      <c r="AB173" s="1217">
        <f>CF!AB17/IS!AB9</f>
        <v>2.0390878345061228E-3</v>
      </c>
      <c r="AC173" s="1216">
        <f>CF!AC17/IS!AC9</f>
        <v>2.1309569934134056E-3</v>
      </c>
      <c r="AD173" s="1217"/>
      <c r="AE173" s="1218">
        <f>CF!AE17/IS!AE9</f>
        <v>2.9374737725556019E-3</v>
      </c>
      <c r="AF173" s="1217">
        <f>CF!AF17/IS!AF9</f>
        <v>3.5313001605136438E-3</v>
      </c>
      <c r="AG173" s="1217">
        <f>CF!AG17/IS!AG9</f>
        <v>5.3696819496075994E-3</v>
      </c>
      <c r="AH173" s="1217">
        <f>CF!AH17/IS!AH9</f>
        <v>4.4416243654822338E-3</v>
      </c>
      <c r="AI173" s="1216">
        <f>CF!AI17/IS!AI9</f>
        <v>4.0646734712311448E-3</v>
      </c>
      <c r="AJ173" s="1217"/>
      <c r="AK173" s="1218">
        <f>CF!AK17/IS!AK9</f>
        <v>7.8091106290672455E-3</v>
      </c>
      <c r="AL173" s="1217">
        <f>CF!AL17/IS!AL9</f>
        <v>5.9405940594059398E-3</v>
      </c>
      <c r="AM173" s="1217">
        <f>CF!AM17/IS!AM9</f>
        <v>5.658242172764995E-3</v>
      </c>
      <c r="AN173" s="1217">
        <f>CF!AN17/IS!AN9</f>
        <v>4.0938864628820961E-3</v>
      </c>
      <c r="AO173" s="1216">
        <f>CF!AO17/IS!AO9</f>
        <v>5.652759084791386E-3</v>
      </c>
      <c r="AP173" s="1217"/>
      <c r="AQ173" s="1218">
        <f>CF!AQ17/IS!AQ9</f>
        <v>5.7616132517104793E-3</v>
      </c>
      <c r="AR173" s="1217">
        <f>CF!AR17/IS!AR9</f>
        <v>5.6497175141242929E-3</v>
      </c>
      <c r="AS173" s="1217">
        <f>CF!AS17/IS!AS9</f>
        <v>5.4803352675693107E-3</v>
      </c>
      <c r="AT173" s="1217">
        <f>CF!AT17/IS!AT9</f>
        <v>4.5662100456621011E-3</v>
      </c>
      <c r="AU173" s="1216">
        <f>CF!AU17/IS!AU9</f>
        <v>5.2877615142922826E-3</v>
      </c>
      <c r="AV173" s="1219"/>
      <c r="AW173" s="1218">
        <f>CF!AW17/IS!AW9</f>
        <v>5.0420168067226894E-3</v>
      </c>
      <c r="AX173" s="1217">
        <f>CF!AX17/IS!AX9</f>
        <v>4.9850448654037878E-3</v>
      </c>
      <c r="AY173" s="1217">
        <f>CF!AY17/IS!AY9</f>
        <v>4.7801147227533461E-3</v>
      </c>
      <c r="AZ173" s="1217">
        <f>CF!AZ17/IS!AZ9</f>
        <v>4.4201220795621991E-3</v>
      </c>
      <c r="BA173" s="1216">
        <f>CF!BA17/IS!BA9</f>
        <v>4.782950899073682E-3</v>
      </c>
      <c r="BB173" s="1219"/>
      <c r="BC173" s="1218">
        <f>CF!BC17/IS!BC9</f>
        <v>4.6844181459566071E-3</v>
      </c>
      <c r="BD173" s="1217">
        <f>CF!BD17/IS!BD9</f>
        <v>4.5162823864986924E-3</v>
      </c>
      <c r="BE173" s="1217">
        <f>CF!BE17/IS!BE9</f>
        <v>4.6895935685573927E-3</v>
      </c>
      <c r="BF173" s="1217">
        <f>CF!BF17/IS!BF9</f>
        <v>3.6729170693988E-3</v>
      </c>
      <c r="BG173" s="1216">
        <f>CF!BG17/IS!BG9</f>
        <v>4.3541364296081275E-3</v>
      </c>
      <c r="BH173" s="1219"/>
      <c r="BI173" s="1218">
        <f>CF!BI17/IS!BI9</f>
        <v>4.5754956786985251E-3</v>
      </c>
      <c r="BJ173" s="1217">
        <f>CF!BJ17/IS!BJ9</f>
        <v>3.0775994724115191E-3</v>
      </c>
      <c r="BK173" s="1217">
        <f>CF!BK17/IS!BK9</f>
        <v>3.6446469248291574E-3</v>
      </c>
      <c r="BL173" s="1217">
        <f>CF!BL17/IS!BL9</f>
        <v>3.2602789349755476E-3</v>
      </c>
      <c r="BM173" s="1216">
        <f>CF!BM17/IS!BM9</f>
        <v>3.5881265630096771E-3</v>
      </c>
      <c r="BN173" s="208"/>
      <c r="BO173" s="1218">
        <f>CF!BO17/IS!BO9</f>
        <v>4.7203209818267641E-3</v>
      </c>
      <c r="BP173" s="1217">
        <f>CF!BP17/IS!BP9</f>
        <v>6.5588106689986889E-3</v>
      </c>
      <c r="BQ173" s="1217">
        <f>CF!BQ17/IS!BQ9</f>
        <v>5.0023820867079556E-3</v>
      </c>
      <c r="BR173" s="1217">
        <f>CF!BR17/IS!BR9</f>
        <v>4.527559055118111E-3</v>
      </c>
      <c r="BS173" s="1216">
        <f>CF!BS17/IS!BS9</f>
        <v>5.196528276853336E-3</v>
      </c>
      <c r="BT173" s="208"/>
      <c r="BU173" s="1218">
        <f>CF!BU17/IS!BU9</f>
        <v>6.2234794908062243E-3</v>
      </c>
      <c r="BV173" s="1217">
        <f>CF!BV17/IS!BV9</f>
        <v>3.5353535353535351E-3</v>
      </c>
      <c r="BW173" s="1217">
        <f>CF!BW17/IS!BW9</f>
        <v>5.5541529916687694E-3</v>
      </c>
      <c r="BX173" s="1217">
        <f>CF!BX17/IS!BX9</f>
        <v>4.6005855290673376E-3</v>
      </c>
      <c r="BY173" s="1216">
        <f>CF!BY17/IS!BY9</f>
        <v>4.9267151126986082E-3</v>
      </c>
      <c r="BZ173" s="208"/>
      <c r="CA173" s="1218">
        <f>CF!CA17/IS!CA9</f>
        <v>5.8604155567394782E-3</v>
      </c>
      <c r="CB173" s="1217">
        <f>CF!CB17/IS!CB9</f>
        <v>5.649717514124292E-3</v>
      </c>
      <c r="CC173" s="1217">
        <f>CF!CC17/IS!CC9</f>
        <v>6.3467885250063473E-3</v>
      </c>
      <c r="CD173" s="1217">
        <f>CF!CD17/IS!CD9</f>
        <v>5.5283861365086132E-3</v>
      </c>
      <c r="CE173" s="1216">
        <f>CF!CE17/IS!CE9</f>
        <v>5.8337987960032272E-3</v>
      </c>
      <c r="CF173" s="208"/>
      <c r="CG173" s="1218">
        <f>CF!CG17/IS!CG9</f>
        <v>6.7550012990387123E-3</v>
      </c>
      <c r="CH173" s="1217">
        <f>CF!CH17/IS!CH9</f>
        <v>6.5075921908893707E-3</v>
      </c>
      <c r="CI173" s="1217">
        <f>CF!CI17/IS!CI9</f>
        <v>7.1166207529843907E-3</v>
      </c>
      <c r="CJ173" s="2305">
        <v>3.5353535353535351E-3</v>
      </c>
      <c r="CK173" s="1216">
        <f>CF!CK17/IS!CK9</f>
        <v>6.2291182966192869E-3</v>
      </c>
      <c r="CL173" s="208"/>
      <c r="CM173" s="1220">
        <f>CJ173</f>
        <v>3.5353535353535351E-3</v>
      </c>
      <c r="CN173" s="208">
        <f>CM173</f>
        <v>3.5353535353535351E-3</v>
      </c>
      <c r="CO173" s="208">
        <f>CN173</f>
        <v>3.5353535353535351E-3</v>
      </c>
      <c r="CP173" s="208">
        <f>CO173</f>
        <v>3.5353535353535351E-3</v>
      </c>
      <c r="CQ173" s="1216">
        <f>CF!CQ17/IS!CQ9</f>
        <v>3.5353535353535356E-3</v>
      </c>
      <c r="CR173" s="208"/>
      <c r="CS173" s="1220">
        <f>CP173</f>
        <v>3.5353535353535351E-3</v>
      </c>
      <c r="CT173" s="208">
        <f>CS173</f>
        <v>3.5353535353535351E-3</v>
      </c>
      <c r="CU173" s="208">
        <f>CT173</f>
        <v>3.5353535353535351E-3</v>
      </c>
      <c r="CV173" s="208">
        <f>CU173</f>
        <v>3.5353535353535351E-3</v>
      </c>
      <c r="CW173" s="1216">
        <f>CF!CW17/IS!CW9</f>
        <v>3.5353535353535351E-3</v>
      </c>
      <c r="CY173" s="1220">
        <f>CV173</f>
        <v>3.5353535353535351E-3</v>
      </c>
      <c r="CZ173" s="208">
        <f>CY173</f>
        <v>3.5353535353535351E-3</v>
      </c>
      <c r="DA173" s="208">
        <f>CZ173</f>
        <v>3.5353535353535351E-3</v>
      </c>
      <c r="DB173" s="208">
        <f>DA173</f>
        <v>3.5353535353535351E-3</v>
      </c>
      <c r="DC173" s="1216">
        <f>CF!DC17/IS!DC9</f>
        <v>3.5353535353535351E-3</v>
      </c>
      <c r="DE173" s="1220">
        <f>DB173</f>
        <v>3.5353535353535351E-3</v>
      </c>
      <c r="DF173" s="208">
        <f>DE173</f>
        <v>3.5353535353535351E-3</v>
      </c>
      <c r="DG173" s="208">
        <f>DF173</f>
        <v>3.5353535353535351E-3</v>
      </c>
      <c r="DH173" s="208">
        <f>DG173</f>
        <v>3.5353535353535351E-3</v>
      </c>
      <c r="DI173" s="1216">
        <f>CF!DI17/IS!DI9</f>
        <v>3.5353535353535351E-3</v>
      </c>
    </row>
    <row r="174" spans="1:113" ht="11.25" customHeight="1" collapsed="1">
      <c r="A174" s="210"/>
      <c r="B174" s="210"/>
      <c r="C174" s="210"/>
      <c r="D174" s="210"/>
      <c r="E174" s="210"/>
      <c r="F174" s="210"/>
      <c r="G174" s="210"/>
      <c r="H174" s="210"/>
      <c r="I174" s="210"/>
      <c r="J174" s="210"/>
      <c r="K174" s="210"/>
      <c r="L174" s="210"/>
      <c r="M174" s="210"/>
      <c r="N174" s="210"/>
      <c r="O174" s="210"/>
      <c r="P174" s="210"/>
      <c r="Q174" s="210"/>
      <c r="R174" s="210"/>
      <c r="S174" s="210"/>
      <c r="T174" s="210"/>
      <c r="U174" s="210"/>
      <c r="V174" s="210"/>
      <c r="W174" s="210"/>
      <c r="X174" s="210"/>
      <c r="Y174" s="210"/>
      <c r="Z174" s="210"/>
      <c r="AA174" s="210"/>
      <c r="AB174" s="210"/>
      <c r="AC174" s="210"/>
      <c r="AD174" s="210"/>
      <c r="AE174" s="210"/>
      <c r="AF174" s="210"/>
      <c r="AG174" s="210"/>
      <c r="AH174" s="210"/>
      <c r="AI174" s="210"/>
      <c r="AJ174" s="210"/>
      <c r="AK174" s="210"/>
      <c r="AL174" s="210"/>
      <c r="AM174" s="210"/>
      <c r="AN174" s="210"/>
      <c r="AO174" s="210"/>
      <c r="AP174" s="210"/>
      <c r="AQ174" s="210"/>
      <c r="AR174" s="210"/>
      <c r="AS174" s="210"/>
      <c r="AT174" s="210"/>
      <c r="AU174" s="210"/>
      <c r="AV174" s="210"/>
      <c r="AW174" s="210"/>
      <c r="AX174" s="210"/>
      <c r="AY174" s="210"/>
      <c r="AZ174" s="210"/>
      <c r="BA174" s="210"/>
      <c r="BB174" s="210"/>
      <c r="BC174" s="210"/>
      <c r="BD174" s="210"/>
      <c r="BE174" s="210"/>
      <c r="BF174" s="210"/>
      <c r="BG174" s="210"/>
      <c r="BH174" s="210"/>
      <c r="BI174" s="210"/>
      <c r="BJ174" s="210"/>
      <c r="BK174" s="210"/>
      <c r="BL174" s="210"/>
      <c r="BM174" s="210"/>
      <c r="BN174" s="210"/>
      <c r="BO174" s="210"/>
      <c r="BP174" s="210"/>
      <c r="BQ174" s="210"/>
      <c r="BR174" s="210"/>
      <c r="BS174" s="210"/>
      <c r="BT174" s="210"/>
      <c r="BU174" s="210"/>
      <c r="BV174" s="210"/>
      <c r="BW174" s="210"/>
      <c r="BX174" s="210"/>
      <c r="BY174" s="210"/>
      <c r="BZ174" s="210"/>
      <c r="CA174" s="210"/>
      <c r="CB174" s="210"/>
      <c r="CC174" s="210"/>
      <c r="CD174" s="210"/>
      <c r="CE174" s="210"/>
      <c r="CF174" s="210"/>
      <c r="CG174" s="210"/>
      <c r="CH174" s="210"/>
      <c r="CI174" s="210"/>
      <c r="CJ174" s="210"/>
      <c r="CK174" s="210"/>
      <c r="CL174" s="210"/>
      <c r="CM174" s="210"/>
      <c r="CN174" s="210"/>
      <c r="CO174" s="210"/>
      <c r="CP174" s="210"/>
      <c r="CQ174" s="210"/>
      <c r="CR174" s="210"/>
      <c r="CS174" s="210"/>
      <c r="CT174" s="210"/>
      <c r="CU174" s="210"/>
      <c r="CV174" s="210"/>
      <c r="CW174" s="210"/>
      <c r="CY174" s="210"/>
      <c r="CZ174" s="210"/>
      <c r="DA174" s="210"/>
      <c r="DB174" s="210"/>
      <c r="DC174" s="210"/>
      <c r="DE174" s="210"/>
      <c r="DF174" s="210"/>
      <c r="DG174" s="210"/>
      <c r="DH174" s="210"/>
      <c r="DI174" s="210"/>
    </row>
    <row r="175" spans="1:113" ht="11.25" customHeight="1">
      <c r="A175" s="210"/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0"/>
      <c r="P175" s="210"/>
      <c r="Q175" s="210"/>
      <c r="R175" s="210"/>
      <c r="S175" s="210"/>
      <c r="T175" s="210"/>
      <c r="U175" s="210"/>
      <c r="V175" s="210"/>
      <c r="W175" s="210"/>
      <c r="X175" s="210"/>
      <c r="Y175" s="210"/>
      <c r="Z175" s="210"/>
      <c r="AA175" s="210"/>
      <c r="AB175" s="210"/>
      <c r="AC175" s="210"/>
      <c r="AD175" s="210"/>
      <c r="AE175" s="210"/>
      <c r="AF175" s="210"/>
      <c r="AG175" s="210"/>
      <c r="AH175" s="210"/>
      <c r="AI175" s="210"/>
      <c r="AJ175" s="210"/>
      <c r="AK175" s="210"/>
      <c r="AL175" s="210"/>
      <c r="AM175" s="210"/>
      <c r="AN175" s="210"/>
      <c r="AO175" s="210"/>
      <c r="AP175" s="210"/>
      <c r="AQ175" s="210"/>
      <c r="AR175" s="210"/>
      <c r="AS175" s="210"/>
      <c r="AT175" s="210"/>
      <c r="AU175" s="210"/>
      <c r="AV175" s="210"/>
      <c r="AW175" s="210"/>
      <c r="AX175" s="210"/>
      <c r="AY175" s="210"/>
      <c r="AZ175" s="210"/>
      <c r="BA175" s="210"/>
      <c r="BB175" s="210"/>
      <c r="BC175" s="210"/>
      <c r="BD175" s="210"/>
      <c r="BE175" s="210"/>
      <c r="BF175" s="210"/>
      <c r="BG175" s="210"/>
      <c r="BH175" s="210"/>
      <c r="BI175" s="210"/>
      <c r="BJ175" s="210"/>
      <c r="BK175" s="210"/>
      <c r="BL175" s="210"/>
      <c r="BM175" s="210"/>
      <c r="BN175" s="210"/>
      <c r="BO175" s="210"/>
      <c r="BP175" s="210"/>
      <c r="BQ175" s="210"/>
      <c r="BR175" s="210"/>
      <c r="BS175" s="210"/>
      <c r="BT175" s="210"/>
      <c r="BU175" s="210"/>
      <c r="BV175" s="210"/>
      <c r="BW175" s="210"/>
      <c r="BX175" s="210"/>
      <c r="BY175" s="210"/>
      <c r="BZ175" s="210"/>
      <c r="CA175" s="210"/>
      <c r="CB175" s="210"/>
      <c r="CC175" s="210"/>
      <c r="CD175" s="210"/>
      <c r="CE175" s="210"/>
      <c r="CF175" s="210"/>
      <c r="CG175" s="210"/>
      <c r="CH175" s="210"/>
      <c r="CI175" s="210"/>
      <c r="CJ175" s="210"/>
      <c r="CK175" s="210"/>
      <c r="CL175" s="210"/>
      <c r="CM175" s="210"/>
      <c r="CN175" s="210"/>
      <c r="CO175" s="210"/>
      <c r="CP175" s="210"/>
      <c r="CQ175" s="210"/>
      <c r="CR175" s="210"/>
      <c r="CS175" s="210"/>
      <c r="CT175" s="210"/>
      <c r="CU175" s="210"/>
      <c r="CV175" s="210"/>
      <c r="CW175" s="210"/>
      <c r="CY175" s="210"/>
      <c r="CZ175" s="210"/>
      <c r="DA175" s="210"/>
      <c r="DB175" s="210"/>
      <c r="DC175" s="210"/>
      <c r="DE175" s="210"/>
      <c r="DF175" s="210"/>
      <c r="DG175" s="210"/>
      <c r="DH175" s="210"/>
      <c r="DI175" s="210"/>
    </row>
    <row r="176" spans="1:113" ht="11.25" customHeight="1">
      <c r="A176" s="2283" t="s">
        <v>102</v>
      </c>
      <c r="B176" s="210"/>
      <c r="C176" s="210"/>
      <c r="D176" s="210"/>
      <c r="E176" s="210"/>
      <c r="F176" s="210"/>
      <c r="G176" s="210"/>
      <c r="H176" s="210"/>
      <c r="I176" s="210"/>
      <c r="J176" s="210"/>
      <c r="K176" s="210"/>
      <c r="L176" s="210"/>
      <c r="M176" s="210"/>
      <c r="N176" s="210"/>
      <c r="O176" s="210"/>
      <c r="P176" s="210"/>
      <c r="Q176" s="210"/>
      <c r="R176" s="210"/>
      <c r="S176" s="210"/>
      <c r="T176" s="210"/>
      <c r="U176" s="210"/>
      <c r="V176" s="210"/>
      <c r="W176" s="210"/>
      <c r="X176" s="210"/>
      <c r="Y176" s="2285"/>
      <c r="Z176" s="2285"/>
      <c r="AA176" s="2285"/>
      <c r="AB176" s="2285"/>
      <c r="AC176" s="2286"/>
      <c r="AD176" s="2285"/>
      <c r="AE176" s="2285"/>
      <c r="AF176" s="2285"/>
      <c r="AG176" s="2285"/>
      <c r="AH176" s="2285"/>
      <c r="AI176" s="2285"/>
      <c r="AJ176" s="2285"/>
      <c r="AK176" s="2285"/>
      <c r="AL176" s="2285"/>
      <c r="AM176" s="2285"/>
      <c r="AN176" s="2285"/>
      <c r="AO176" s="2285"/>
      <c r="AP176" s="2285"/>
      <c r="AQ176" s="2285"/>
      <c r="AR176" s="2285"/>
      <c r="AS176" s="2285"/>
      <c r="AT176" s="2285"/>
      <c r="AU176" s="2285"/>
      <c r="AV176" s="2285"/>
      <c r="AW176" s="2285"/>
      <c r="AX176" s="2285"/>
      <c r="AY176" s="2285"/>
      <c r="AZ176" s="2285"/>
      <c r="BA176" s="2285"/>
      <c r="BB176" s="2285"/>
      <c r="BC176" s="2285"/>
      <c r="BD176" s="2285"/>
      <c r="BE176" s="2285"/>
      <c r="BF176" s="2285"/>
      <c r="BG176" s="2285"/>
      <c r="BH176" s="2285"/>
      <c r="BI176" s="2285"/>
      <c r="BJ176" s="2285"/>
      <c r="BK176" s="2285"/>
      <c r="BL176" s="2285"/>
      <c r="BM176" s="2285"/>
      <c r="BN176" s="2285"/>
      <c r="BO176" s="2285"/>
      <c r="BP176" s="2285"/>
      <c r="BQ176" s="2285"/>
      <c r="BR176" s="2285"/>
      <c r="BS176" s="2285"/>
      <c r="BT176" s="2285"/>
      <c r="BU176" s="2285"/>
      <c r="BV176" s="2285"/>
      <c r="BW176" s="2285"/>
      <c r="BX176" s="2285"/>
      <c r="BY176" s="2285"/>
      <c r="BZ176" s="2285"/>
      <c r="CA176" s="2285"/>
      <c r="CB176" s="2285"/>
      <c r="CC176" s="2285"/>
      <c r="CD176" s="2285"/>
      <c r="CE176" s="2285"/>
      <c r="CF176" s="2285"/>
      <c r="CG176" s="2285"/>
      <c r="CH176" s="2285"/>
      <c r="CI176" s="2285"/>
      <c r="CJ176" s="2285"/>
      <c r="CK176" s="2285"/>
      <c r="CL176" s="2285"/>
      <c r="CM176" s="2285"/>
      <c r="CN176" s="2285"/>
      <c r="CO176" s="2285"/>
      <c r="CP176" s="2285"/>
      <c r="CQ176" s="2285"/>
      <c r="CR176" s="2285"/>
      <c r="CS176" s="2285"/>
      <c r="CT176" s="2285"/>
      <c r="CU176" s="2285"/>
      <c r="CV176" s="2285"/>
      <c r="CW176" s="2285"/>
      <c r="CX176" s="2285"/>
      <c r="CY176" s="2285"/>
      <c r="CZ176" s="2285"/>
      <c r="DA176" s="2285"/>
      <c r="DB176" s="2285"/>
      <c r="DC176" s="2285"/>
      <c r="DD176" s="2285"/>
      <c r="DE176" s="2285"/>
      <c r="DF176" s="2285"/>
      <c r="DG176" s="2285"/>
      <c r="DH176" s="2285"/>
      <c r="DI176" s="2285"/>
    </row>
    <row r="177" spans="1:113" ht="11.25" customHeight="1">
      <c r="A177" s="69" t="s">
        <v>149</v>
      </c>
      <c r="B177" s="69"/>
      <c r="C177" s="69"/>
      <c r="D177" s="69"/>
      <c r="E177" s="69"/>
      <c r="F177" s="69"/>
      <c r="G177" s="69"/>
      <c r="H177" s="69"/>
      <c r="I177" s="69"/>
      <c r="J177" s="69"/>
      <c r="K177" s="69"/>
      <c r="L177" s="69"/>
      <c r="M177" s="69"/>
      <c r="N177" s="69"/>
      <c r="O177" s="69"/>
      <c r="P177" s="69"/>
      <c r="Q177" s="69"/>
      <c r="R177" s="69"/>
      <c r="S177" s="69"/>
      <c r="T177" s="69"/>
      <c r="U177" s="69"/>
      <c r="V177" s="69"/>
      <c r="W177" s="69"/>
      <c r="X177" s="69"/>
      <c r="Y177" s="2287">
        <v>207.536</v>
      </c>
      <c r="Z177" s="2288">
        <v>238.34199999999998</v>
      </c>
      <c r="AA177" s="2288">
        <v>241.76</v>
      </c>
      <c r="AB177" s="2288">
        <v>344.76200000000006</v>
      </c>
      <c r="AC177" s="2289">
        <v>1032.4000000000001</v>
      </c>
      <c r="AD177" s="69"/>
      <c r="AE177" s="2287">
        <v>238.3</v>
      </c>
      <c r="AF177" s="2288">
        <v>311.5</v>
      </c>
      <c r="AG177" s="2288">
        <v>242.10000000000002</v>
      </c>
      <c r="AH177" s="2288">
        <v>315.19999999999993</v>
      </c>
      <c r="AI177" s="2289">
        <v>1107.0999999999999</v>
      </c>
      <c r="AJ177" s="69"/>
      <c r="AK177" s="2287">
        <v>230.5</v>
      </c>
      <c r="AL177" s="2288">
        <v>252.5</v>
      </c>
      <c r="AM177" s="2288">
        <v>265.09999999999997</v>
      </c>
      <c r="AN177" s="2288">
        <v>366.40000000000003</v>
      </c>
      <c r="AO177" s="2289">
        <v>1114.5</v>
      </c>
      <c r="AP177" s="69"/>
      <c r="AQ177" s="2287">
        <v>277.7</v>
      </c>
      <c r="AR177" s="2288">
        <v>300.89999999999998</v>
      </c>
      <c r="AS177" s="2288">
        <v>310.2</v>
      </c>
      <c r="AT177" s="2288">
        <v>416.1</v>
      </c>
      <c r="AU177" s="2289">
        <v>1304.9000000000001</v>
      </c>
      <c r="AV177" s="69"/>
      <c r="AW177" s="2287">
        <v>357</v>
      </c>
      <c r="AX177" s="2288">
        <v>401.20000000000005</v>
      </c>
      <c r="AY177" s="2288">
        <v>418.4</v>
      </c>
      <c r="AZ177" s="2288">
        <v>475.09999999999991</v>
      </c>
      <c r="BA177" s="2289">
        <v>1651.6999999999998</v>
      </c>
      <c r="BB177" s="69"/>
      <c r="BC177" s="2287">
        <v>405.6</v>
      </c>
      <c r="BD177" s="2288">
        <v>420.70000000000005</v>
      </c>
      <c r="BE177" s="2288">
        <v>447.8</v>
      </c>
      <c r="BF177" s="2288">
        <v>517.30000000000007</v>
      </c>
      <c r="BG177" s="2289">
        <v>1791.4</v>
      </c>
      <c r="BH177" s="69"/>
      <c r="BI177" s="2287">
        <v>393.40000000000003</v>
      </c>
      <c r="BJ177" s="2288">
        <v>454.90000000000003</v>
      </c>
      <c r="BK177" s="2288">
        <v>439</v>
      </c>
      <c r="BL177" s="2288">
        <v>552.1</v>
      </c>
      <c r="BM177" s="2289">
        <v>1839.4</v>
      </c>
      <c r="BN177" s="69"/>
      <c r="BO177" s="2287">
        <v>423.70000000000005</v>
      </c>
      <c r="BP177" s="2288">
        <v>457.4</v>
      </c>
      <c r="BQ177" s="2288">
        <v>419.8</v>
      </c>
      <c r="BR177" s="2288">
        <v>508.00000000000006</v>
      </c>
      <c r="BS177" s="2289">
        <v>1808.9</v>
      </c>
      <c r="BT177" s="69"/>
      <c r="BU177" s="2287">
        <v>353.5</v>
      </c>
      <c r="BV177" s="2288">
        <v>396</v>
      </c>
      <c r="BW177" s="2288">
        <v>396.1</v>
      </c>
      <c r="BX177" s="2288">
        <v>478.19999999999982</v>
      </c>
      <c r="BY177" s="2289">
        <v>1623.8</v>
      </c>
      <c r="BZ177" s="69"/>
      <c r="CA177" s="2287">
        <v>375.40000000000003</v>
      </c>
      <c r="CB177" s="2288">
        <v>371.70000000000005</v>
      </c>
      <c r="CC177" s="2288">
        <v>393.9</v>
      </c>
      <c r="CD177" s="2288">
        <v>470.29999999999995</v>
      </c>
      <c r="CE177" s="2289">
        <v>1611.3000000000002</v>
      </c>
      <c r="CF177" s="69"/>
      <c r="CG177" s="2287">
        <v>384.9</v>
      </c>
      <c r="CH177" s="2288">
        <v>414.9</v>
      </c>
      <c r="CI177" s="2288">
        <v>435.59999999999997</v>
      </c>
      <c r="CJ177" s="2288">
        <v>530.50000000000023</v>
      </c>
      <c r="CK177" s="2289">
        <v>1765.9</v>
      </c>
      <c r="CL177" s="69"/>
      <c r="CM177" s="2287">
        <v>423.67719212356712</v>
      </c>
      <c r="CN177" s="2288">
        <v>434.28431579916509</v>
      </c>
      <c r="CO177" s="2288">
        <v>450.99979220185833</v>
      </c>
      <c r="CP177" s="2288">
        <v>557.78771178427723</v>
      </c>
      <c r="CQ177" s="2289">
        <v>1866.7490119088677</v>
      </c>
      <c r="CR177" s="69"/>
      <c r="CS177" s="2287">
        <v>431.04260438906022</v>
      </c>
      <c r="CT177" s="2288">
        <v>449.4041565537683</v>
      </c>
      <c r="CU177" s="2288">
        <v>457.78929117749834</v>
      </c>
      <c r="CV177" s="2288">
        <v>584.88759699941534</v>
      </c>
      <c r="CW177" s="2289">
        <v>1923.1236491197421</v>
      </c>
      <c r="CX177" s="69"/>
      <c r="CY177" s="2287">
        <v>442.66440709619286</v>
      </c>
      <c r="CZ177" s="2288">
        <v>453.8948027185067</v>
      </c>
      <c r="DA177" s="2288">
        <v>473.67666555024914</v>
      </c>
      <c r="DB177" s="2288">
        <v>596.03831619289554</v>
      </c>
      <c r="DC177" s="2289">
        <v>1966.2741915578442</v>
      </c>
      <c r="DD177" s="69"/>
      <c r="DE177" s="2287">
        <v>449.85713597755313</v>
      </c>
      <c r="DF177" s="2288">
        <v>468.52225147081901</v>
      </c>
      <c r="DG177" s="2288">
        <v>480.76509934093394</v>
      </c>
      <c r="DH177" s="2288">
        <v>612.82352954560815</v>
      </c>
      <c r="DI177" s="2289">
        <v>2011.9680163349142</v>
      </c>
    </row>
    <row r="178" spans="1:113" ht="11.25" customHeight="1">
      <c r="A178" s="69" t="s">
        <v>553</v>
      </c>
      <c r="B178" s="69"/>
      <c r="C178" s="69"/>
      <c r="D178" s="69"/>
      <c r="E178" s="69"/>
      <c r="F178" s="69"/>
      <c r="G178" s="69"/>
      <c r="H178" s="69"/>
      <c r="I178" s="69"/>
      <c r="J178" s="69"/>
      <c r="K178" s="69"/>
      <c r="L178" s="69"/>
      <c r="M178" s="69"/>
      <c r="N178" s="69"/>
      <c r="O178" s="69"/>
      <c r="P178" s="69"/>
      <c r="Q178" s="69"/>
      <c r="R178" s="69"/>
      <c r="S178" s="69"/>
      <c r="T178" s="69"/>
      <c r="U178" s="69"/>
      <c r="V178" s="69"/>
      <c r="W178" s="69"/>
      <c r="X178" s="69"/>
      <c r="Y178" s="2287">
        <v>20.103000000000009</v>
      </c>
      <c r="Z178" s="2288">
        <v>22.189999999999984</v>
      </c>
      <c r="AA178" s="2288">
        <v>31.059999999999974</v>
      </c>
      <c r="AB178" s="2288">
        <v>73.947000000000088</v>
      </c>
      <c r="AC178" s="2289">
        <v>147.30000000000007</v>
      </c>
      <c r="AD178" s="69"/>
      <c r="AE178" s="2287">
        <v>22.299999999999997</v>
      </c>
      <c r="AF178" s="2288">
        <v>29.900000000000006</v>
      </c>
      <c r="AG178" s="2288">
        <v>16.400000000000006</v>
      </c>
      <c r="AH178" s="2288">
        <v>52.599999999999909</v>
      </c>
      <c r="AI178" s="2289">
        <v>121.19999999999987</v>
      </c>
      <c r="AJ178" s="69"/>
      <c r="AK178" s="2287">
        <v>15.09999999999998</v>
      </c>
      <c r="AL178" s="2288">
        <v>19.699999999999989</v>
      </c>
      <c r="AM178" s="2288">
        <v>26.399999999999949</v>
      </c>
      <c r="AN178" s="2288">
        <v>70.999999999999972</v>
      </c>
      <c r="AO178" s="2289">
        <v>132.19999999999982</v>
      </c>
      <c r="AP178" s="69"/>
      <c r="AQ178" s="2287">
        <v>29.500000000000014</v>
      </c>
      <c r="AR178" s="2288">
        <v>42.399999999999963</v>
      </c>
      <c r="AS178" s="2288">
        <v>48.7</v>
      </c>
      <c r="AT178" s="2288">
        <v>66.999999999999943</v>
      </c>
      <c r="AU178" s="2289">
        <v>187.60000000000008</v>
      </c>
      <c r="AV178" s="69"/>
      <c r="AW178" s="2287">
        <v>37.599999999999994</v>
      </c>
      <c r="AX178" s="2288">
        <v>52.200000000000102</v>
      </c>
      <c r="AY178" s="2288">
        <v>52.199999999999989</v>
      </c>
      <c r="AZ178" s="2288">
        <v>62.699999999999818</v>
      </c>
      <c r="BA178" s="2289">
        <v>204.69999999999982</v>
      </c>
      <c r="BB178" s="69"/>
      <c r="BC178" s="2287">
        <v>43.599999999999966</v>
      </c>
      <c r="BD178" s="2288">
        <v>33.000000000000028</v>
      </c>
      <c r="BE178" s="2288">
        <v>69.400000000000006</v>
      </c>
      <c r="BF178" s="2288">
        <v>73.000000000000114</v>
      </c>
      <c r="BG178" s="2289">
        <v>219.00000000000011</v>
      </c>
      <c r="BH178" s="69"/>
      <c r="BI178" s="2287">
        <v>23.600000000000051</v>
      </c>
      <c r="BJ178" s="2288">
        <v>53.299999999999983</v>
      </c>
      <c r="BK178" s="2288">
        <v>47.299999999999955</v>
      </c>
      <c r="BL178" s="2288">
        <v>81.300000000000097</v>
      </c>
      <c r="BM178" s="2289">
        <v>205.5</v>
      </c>
      <c r="BN178" s="69"/>
      <c r="BO178" s="2287">
        <v>32.100000000000051</v>
      </c>
      <c r="BP178" s="2288">
        <v>52.69999999999996</v>
      </c>
      <c r="BQ178" s="2288">
        <v>35.899999999999977</v>
      </c>
      <c r="BR178" s="2288">
        <v>63.700000000000102</v>
      </c>
      <c r="BS178" s="2289">
        <v>184.40000000000009</v>
      </c>
      <c r="BT178" s="69"/>
      <c r="BU178" s="2287">
        <v>35.800000000000011</v>
      </c>
      <c r="BV178" s="2288">
        <v>42.899999999999977</v>
      </c>
      <c r="BW178" s="2288">
        <v>52.800000000000011</v>
      </c>
      <c r="BX178" s="2288">
        <v>83.699999999999903</v>
      </c>
      <c r="BY178" s="2289">
        <v>215.20000000000005</v>
      </c>
      <c r="BZ178" s="69"/>
      <c r="CA178" s="2287">
        <v>47.30000000000004</v>
      </c>
      <c r="CB178" s="2288">
        <v>40.000000000000057</v>
      </c>
      <c r="CC178" s="2288">
        <v>58.599999999999966</v>
      </c>
      <c r="CD178" s="2288">
        <v>91.999999999999943</v>
      </c>
      <c r="CE178" s="2289">
        <v>237.90000000000009</v>
      </c>
      <c r="CF178" s="69"/>
      <c r="CG178" s="2287">
        <v>49.199999999999989</v>
      </c>
      <c r="CH178" s="2288">
        <v>51.699999999999989</v>
      </c>
      <c r="CI178" s="2288">
        <v>64.399999999999949</v>
      </c>
      <c r="CJ178" s="2288">
        <v>110.80000000000021</v>
      </c>
      <c r="CK178" s="2289">
        <v>276.10000000000002</v>
      </c>
      <c r="CL178" s="69"/>
      <c r="CM178" s="2287">
        <v>54.467452513052251</v>
      </c>
      <c r="CN178" s="2288">
        <v>55.931235580284778</v>
      </c>
      <c r="CO178" s="2288">
        <v>78.08196218073823</v>
      </c>
      <c r="CP178" s="2288">
        <v>119.82887201610956</v>
      </c>
      <c r="CQ178" s="2289">
        <v>308.30952229018487</v>
      </c>
      <c r="CR178" s="69"/>
      <c r="CS178" s="2287">
        <v>75.31183920758707</v>
      </c>
      <c r="CT178" s="2288">
        <v>78.690364805893353</v>
      </c>
      <c r="CU178" s="2288">
        <v>80.23322957665971</v>
      </c>
      <c r="CV178" s="2288">
        <v>103.61931784789238</v>
      </c>
      <c r="CW178" s="2289">
        <v>337.85475143803228</v>
      </c>
      <c r="CX178" s="69"/>
      <c r="CY178" s="2287">
        <v>82.319559383757593</v>
      </c>
      <c r="CZ178" s="2288">
        <v>84.50948653010883</v>
      </c>
      <c r="DA178" s="2288">
        <v>88.366949782298576</v>
      </c>
      <c r="DB178" s="2288">
        <v>112.22747165761467</v>
      </c>
      <c r="DC178" s="2289">
        <v>367.42346735377964</v>
      </c>
      <c r="DD178" s="69"/>
      <c r="DE178" s="2287">
        <v>89.120427147353524</v>
      </c>
      <c r="DF178" s="2288">
        <v>92.984106054459573</v>
      </c>
      <c r="DG178" s="2288">
        <v>95.518375563573329</v>
      </c>
      <c r="DH178" s="2288">
        <v>122.8544706159409</v>
      </c>
      <c r="DI178" s="2289">
        <v>400.47737938132718</v>
      </c>
    </row>
    <row r="179" spans="1:113" ht="11.25" customHeight="1">
      <c r="A179" s="69" t="s">
        <v>150</v>
      </c>
      <c r="B179" s="69"/>
      <c r="C179" s="69"/>
      <c r="D179" s="69"/>
      <c r="E179" s="69"/>
      <c r="F179" s="69"/>
      <c r="G179" s="69"/>
      <c r="H179" s="69"/>
      <c r="I179" s="69"/>
      <c r="J179" s="69"/>
      <c r="K179" s="69"/>
      <c r="L179" s="69"/>
      <c r="M179" s="69"/>
      <c r="N179" s="69"/>
      <c r="O179" s="69"/>
      <c r="P179" s="69"/>
      <c r="Q179" s="69"/>
      <c r="R179" s="69"/>
      <c r="S179" s="69"/>
      <c r="T179" s="69"/>
      <c r="U179" s="69"/>
      <c r="V179" s="69"/>
      <c r="W179" s="69"/>
      <c r="X179" s="69"/>
      <c r="Y179" s="2290">
        <f>IS!Y115</f>
        <v>0.32799999999999996</v>
      </c>
      <c r="Z179" s="2291">
        <f>IS!Z115</f>
        <v>0.32799999999999996</v>
      </c>
      <c r="AA179" s="2291">
        <f>IS!AA115</f>
        <v>0.32799999999999996</v>
      </c>
      <c r="AB179" s="2291">
        <f>IS!AB115</f>
        <v>0.32799999999999996</v>
      </c>
      <c r="AC179" s="2292">
        <f>IS!AC115</f>
        <v>0.32799999999999996</v>
      </c>
      <c r="AD179" s="69"/>
      <c r="AE179" s="2290">
        <f>IS!AE115</f>
        <v>0.28499999999999998</v>
      </c>
      <c r="AF179" s="2291">
        <f>IS!AF115</f>
        <v>0.28499999999999998</v>
      </c>
      <c r="AG179" s="2291">
        <f>IS!AG115</f>
        <v>0.28499999999999998</v>
      </c>
      <c r="AH179" s="2291">
        <f>IS!AH115</f>
        <v>0.28499999999999998</v>
      </c>
      <c r="AI179" s="2292">
        <f>IS!AI115</f>
        <v>0.28499999999999998</v>
      </c>
      <c r="AJ179" s="69"/>
      <c r="AK179" s="2290">
        <f>IS!AK115</f>
        <v>0.25800000000000001</v>
      </c>
      <c r="AL179" s="2291">
        <f>IS!AL115</f>
        <v>0.25800000000000001</v>
      </c>
      <c r="AM179" s="2291">
        <f>IS!AM115</f>
        <v>0.25800000000000001</v>
      </c>
      <c r="AN179" s="2291">
        <f>IS!AN115</f>
        <v>0.25800000000000001</v>
      </c>
      <c r="AO179" s="2292">
        <f>IS!AO115</f>
        <v>0.25800000000000001</v>
      </c>
      <c r="AP179" s="69"/>
      <c r="AQ179" s="2290">
        <f>IS!AQ115</f>
        <v>0.29299999999999998</v>
      </c>
      <c r="AR179" s="2291">
        <f>IS!AR115</f>
        <v>0.29299999999999998</v>
      </c>
      <c r="AS179" s="2291">
        <f>IS!AS115</f>
        <v>0.29299999999999998</v>
      </c>
      <c r="AT179" s="2291">
        <f>IS!AT115</f>
        <v>0.29299999999999998</v>
      </c>
      <c r="AU179" s="2292">
        <f>IS!AU115</f>
        <v>0.29299999999999998</v>
      </c>
      <c r="AV179" s="69"/>
      <c r="AW179" s="2290">
        <f>IS!AW115</f>
        <v>0.26699999999999996</v>
      </c>
      <c r="AX179" s="2291">
        <f>IS!AX115</f>
        <v>0.26699999999999996</v>
      </c>
      <c r="AY179" s="2291">
        <f>IS!AY115</f>
        <v>0.26699999999999996</v>
      </c>
      <c r="AZ179" s="2291">
        <f>IS!AZ115</f>
        <v>0.26699999999999996</v>
      </c>
      <c r="BA179" s="2292">
        <f>IS!BA115</f>
        <v>0.26699999999999996</v>
      </c>
      <c r="BB179" s="69"/>
      <c r="BC179" s="2290">
        <f>IS!BC115</f>
        <v>0.26699999999999996</v>
      </c>
      <c r="BD179" s="2291">
        <f>IS!BD115</f>
        <v>0.26699999999999996</v>
      </c>
      <c r="BE179" s="2291">
        <f>IS!BE115</f>
        <v>0.26699999999999996</v>
      </c>
      <c r="BF179" s="2291">
        <f>IS!BF115</f>
        <v>0.26699999999999996</v>
      </c>
      <c r="BG179" s="2292">
        <f>IS!BG115</f>
        <v>0.26699999999999996</v>
      </c>
      <c r="BH179" s="69"/>
      <c r="BI179" s="2290">
        <f>IS!BI115</f>
        <v>0.26699999999999996</v>
      </c>
      <c r="BJ179" s="2291">
        <f>IS!BJ115</f>
        <v>0.31136363636363651</v>
      </c>
      <c r="BK179" s="2291">
        <f>IS!BK115</f>
        <v>0.1995305164319251</v>
      </c>
      <c r="BL179" s="2291">
        <f>IS!BL115</f>
        <v>0.28609986504723317</v>
      </c>
      <c r="BM179" s="2292">
        <f>IS!BM115</f>
        <v>0.27019498607242337</v>
      </c>
      <c r="BN179" s="69"/>
      <c r="BO179" s="2290">
        <f>IS!BO115</f>
        <v>0.25650557620817793</v>
      </c>
      <c r="BP179" s="2291">
        <f>IS!BP115</f>
        <v>0.29960317460317487</v>
      </c>
      <c r="BQ179" s="2291">
        <f>IS!BQ115</f>
        <v>0.27002967359050467</v>
      </c>
      <c r="BR179" s="2291">
        <f>IS!BR115</f>
        <v>0.20031545741324883</v>
      </c>
      <c r="BS179" s="2292">
        <f>IS!BS115</f>
        <v>0.25114678899082554</v>
      </c>
      <c r="BT179" s="69"/>
      <c r="BU179" s="2290">
        <f>IS!BU115</f>
        <v>0.27244582043343646</v>
      </c>
      <c r="BV179" s="2291">
        <f>IS!BV115</f>
        <v>0.10298102981029816</v>
      </c>
      <c r="BW179" s="2291">
        <f>IS!BW115</f>
        <v>0.32157676348547709</v>
      </c>
      <c r="BX179" s="2291">
        <f>IS!BX115</f>
        <v>0.19053549190535513</v>
      </c>
      <c r="BY179" s="2292">
        <f>IS!BY115</f>
        <v>0.21952453211937276</v>
      </c>
      <c r="BZ179" s="69"/>
      <c r="CA179" s="2290">
        <f>IS!CA115</f>
        <v>0.17745803357314133</v>
      </c>
      <c r="CB179" s="2291">
        <f>IS!CB115</f>
        <v>0.12032085561497308</v>
      </c>
      <c r="CC179" s="2291">
        <f>IS!CC115</f>
        <v>6.2836624775583522E-2</v>
      </c>
      <c r="CD179" s="2291">
        <f>IS!CD115</f>
        <v>0.21739130434782622</v>
      </c>
      <c r="CE179" s="2292">
        <f>IS!CE115</f>
        <v>0.15670013094718457</v>
      </c>
      <c r="CF179" s="69"/>
      <c r="CG179" s="2290">
        <f>IS!CG115</f>
        <v>0.30555555555555564</v>
      </c>
      <c r="CH179" s="2291">
        <f>IS!CH115</f>
        <v>0.24173553719008267</v>
      </c>
      <c r="CI179" s="2291">
        <f>IS!CI115</f>
        <v>0.22697368421052652</v>
      </c>
      <c r="CJ179" s="2291">
        <f>IS!CJ115</f>
        <v>0.2448210922787189</v>
      </c>
      <c r="CK179" s="2292">
        <f>IS!CK115</f>
        <v>0.25019334880123745</v>
      </c>
      <c r="CL179" s="69"/>
      <c r="CM179" s="2290">
        <f>IS!CM115</f>
        <v>0.25</v>
      </c>
      <c r="CN179" s="2291">
        <f>IS!CN115</f>
        <v>0.25</v>
      </c>
      <c r="CO179" s="2291">
        <f>IS!CO115</f>
        <v>0.25</v>
      </c>
      <c r="CP179" s="2291">
        <f>IS!CP115</f>
        <v>0.25</v>
      </c>
      <c r="CQ179" s="2292">
        <f>IS!CQ115</f>
        <v>0.24999999999999994</v>
      </c>
      <c r="CR179" s="69"/>
      <c r="CS179" s="2290">
        <f>IS!CS115</f>
        <v>0.25</v>
      </c>
      <c r="CT179" s="2291">
        <f>IS!CT115</f>
        <v>0.25</v>
      </c>
      <c r="CU179" s="2291">
        <f>IS!CU115</f>
        <v>0.25</v>
      </c>
      <c r="CV179" s="2291">
        <f>IS!CV115</f>
        <v>0.25</v>
      </c>
      <c r="CW179" s="2292">
        <f>IS!CW115</f>
        <v>0.25000000000000017</v>
      </c>
      <c r="CX179" s="69"/>
      <c r="CY179" s="2290">
        <f>IS!CY115</f>
        <v>0.25</v>
      </c>
      <c r="CZ179" s="2291">
        <f>IS!CZ115</f>
        <v>0.25</v>
      </c>
      <c r="DA179" s="2291">
        <f>IS!DA115</f>
        <v>0.25</v>
      </c>
      <c r="DB179" s="2291">
        <f>IS!DB115</f>
        <v>0.25</v>
      </c>
      <c r="DC179" s="2292">
        <f>IS!DC115</f>
        <v>0.25</v>
      </c>
      <c r="DD179" s="69"/>
      <c r="DE179" s="2290">
        <f>IS!DE115</f>
        <v>0.25</v>
      </c>
      <c r="DF179" s="2291">
        <f>IS!DF115</f>
        <v>0.25</v>
      </c>
      <c r="DG179" s="2291">
        <f>IS!DG115</f>
        <v>0.25</v>
      </c>
      <c r="DH179" s="2291">
        <f>IS!DH115</f>
        <v>0.25</v>
      </c>
      <c r="DI179" s="2292">
        <f>IS!DI115</f>
        <v>0.25000000000000011</v>
      </c>
    </row>
    <row r="180" spans="1:113">
      <c r="A180" s="69" t="s">
        <v>554</v>
      </c>
      <c r="B180" s="69"/>
      <c r="C180" s="69"/>
      <c r="D180" s="69"/>
      <c r="E180" s="69"/>
      <c r="F180" s="69"/>
      <c r="G180" s="69"/>
      <c r="H180" s="69"/>
      <c r="I180" s="69"/>
      <c r="J180" s="69"/>
      <c r="K180" s="69"/>
      <c r="L180" s="69"/>
      <c r="M180" s="69"/>
      <c r="N180" s="69"/>
      <c r="O180" s="69"/>
      <c r="P180" s="69"/>
      <c r="Q180" s="69"/>
      <c r="R180" s="69"/>
      <c r="S180" s="69"/>
      <c r="T180" s="69"/>
      <c r="U180" s="69"/>
      <c r="V180" s="69"/>
      <c r="W180" s="69"/>
      <c r="X180" s="69"/>
      <c r="Y180" s="2293">
        <f>Y178*Y179</f>
        <v>6.5937840000000021</v>
      </c>
      <c r="Z180" s="1449">
        <f t="shared" ref="Z180:AC180" si="104">Z178*Z179</f>
        <v>7.2783199999999937</v>
      </c>
      <c r="AA180" s="1449">
        <f t="shared" si="104"/>
        <v>10.18767999999999</v>
      </c>
      <c r="AB180" s="1449">
        <f t="shared" si="104"/>
        <v>24.254616000000027</v>
      </c>
      <c r="AC180" s="2294">
        <f t="shared" si="104"/>
        <v>48.314400000000013</v>
      </c>
      <c r="AD180" s="69"/>
      <c r="AE180" s="2293">
        <f>AE178*AE179</f>
        <v>6.3554999999999984</v>
      </c>
      <c r="AF180" s="1449">
        <f t="shared" ref="AF180:AI180" si="105">AF178*AF179</f>
        <v>8.5215000000000014</v>
      </c>
      <c r="AG180" s="1449">
        <f t="shared" si="105"/>
        <v>4.6740000000000013</v>
      </c>
      <c r="AH180" s="1449">
        <f t="shared" si="105"/>
        <v>14.990999999999973</v>
      </c>
      <c r="AI180" s="2294">
        <f t="shared" si="105"/>
        <v>34.541999999999959</v>
      </c>
      <c r="AJ180" s="69"/>
      <c r="AK180" s="2293">
        <f>AK178*AK179</f>
        <v>3.895799999999995</v>
      </c>
      <c r="AL180" s="1449">
        <f t="shared" ref="AL180:AO180" si="106">AL178*AL179</f>
        <v>5.0825999999999976</v>
      </c>
      <c r="AM180" s="1449">
        <f t="shared" si="106"/>
        <v>6.811199999999987</v>
      </c>
      <c r="AN180" s="1449">
        <f t="shared" si="106"/>
        <v>18.317999999999994</v>
      </c>
      <c r="AO180" s="2294">
        <f t="shared" si="106"/>
        <v>34.107599999999955</v>
      </c>
      <c r="AP180" s="69"/>
      <c r="AQ180" s="2293">
        <f>AQ178*AQ179</f>
        <v>8.6435000000000031</v>
      </c>
      <c r="AR180" s="1449">
        <f t="shared" ref="AR180:AU180" si="107">AR178*AR179</f>
        <v>12.423199999999989</v>
      </c>
      <c r="AS180" s="1449">
        <f t="shared" si="107"/>
        <v>14.2691</v>
      </c>
      <c r="AT180" s="1449">
        <f t="shared" si="107"/>
        <v>19.630999999999982</v>
      </c>
      <c r="AU180" s="2294">
        <f t="shared" si="107"/>
        <v>54.966800000000021</v>
      </c>
      <c r="AV180" s="69"/>
      <c r="AW180" s="2293">
        <f>AW178*AW179</f>
        <v>10.039199999999997</v>
      </c>
      <c r="AX180" s="1449">
        <f t="shared" ref="AX180:BA180" si="108">AX178*AX179</f>
        <v>13.937400000000025</v>
      </c>
      <c r="AY180" s="1449">
        <f t="shared" si="108"/>
        <v>13.937399999999995</v>
      </c>
      <c r="AZ180" s="1449">
        <f t="shared" si="108"/>
        <v>16.74089999999995</v>
      </c>
      <c r="BA180" s="2294">
        <f t="shared" si="108"/>
        <v>54.654899999999941</v>
      </c>
      <c r="BB180" s="69"/>
      <c r="BC180" s="2293">
        <f>BC178*BC179</f>
        <v>11.641199999999989</v>
      </c>
      <c r="BD180" s="1449">
        <f t="shared" ref="BD180:BG180" si="109">BD178*BD179</f>
        <v>8.811000000000007</v>
      </c>
      <c r="BE180" s="1449">
        <f t="shared" si="109"/>
        <v>18.529799999999998</v>
      </c>
      <c r="BF180" s="1449">
        <f t="shared" si="109"/>
        <v>19.491000000000028</v>
      </c>
      <c r="BG180" s="2294">
        <f t="shared" si="109"/>
        <v>58.47300000000002</v>
      </c>
      <c r="BH180" s="69"/>
      <c r="BI180" s="2293">
        <f>BI178*BI179</f>
        <v>6.301200000000013</v>
      </c>
      <c r="BJ180" s="1449">
        <f t="shared" ref="BJ180:BM180" si="110">BJ178*BJ179</f>
        <v>16.59568181818182</v>
      </c>
      <c r="BK180" s="1449">
        <f t="shared" si="110"/>
        <v>9.4377934272300479</v>
      </c>
      <c r="BL180" s="1449">
        <f t="shared" si="110"/>
        <v>23.259919028340086</v>
      </c>
      <c r="BM180" s="2294">
        <f t="shared" si="110"/>
        <v>55.525069637883</v>
      </c>
      <c r="BN180" s="69"/>
      <c r="BO180" s="2293">
        <f>BO178*BO179</f>
        <v>8.233828996282524</v>
      </c>
      <c r="BP180" s="1449">
        <f t="shared" ref="BP180:BS180" si="111">BP178*BP179</f>
        <v>15.789087301587303</v>
      </c>
      <c r="BQ180" s="1449">
        <f t="shared" si="111"/>
        <v>9.6940652818991122</v>
      </c>
      <c r="BR180" s="1449">
        <f t="shared" si="111"/>
        <v>12.76009463722397</v>
      </c>
      <c r="BS180" s="2294">
        <f t="shared" si="111"/>
        <v>46.311467889908251</v>
      </c>
      <c r="BT180" s="69"/>
      <c r="BU180" s="2293">
        <f>BU178*BU179</f>
        <v>9.7535603715170289</v>
      </c>
      <c r="BV180" s="1449">
        <f t="shared" ref="BV180:BY180" si="112">BV178*BV179</f>
        <v>4.4178861788617887</v>
      </c>
      <c r="BW180" s="1449">
        <f t="shared" si="112"/>
        <v>16.979253112033195</v>
      </c>
      <c r="BX180" s="1449">
        <f t="shared" si="112"/>
        <v>15.947820672478205</v>
      </c>
      <c r="BY180" s="2294">
        <f t="shared" si="112"/>
        <v>47.241679312089026</v>
      </c>
      <c r="BZ180" s="69"/>
      <c r="CA180" s="2293">
        <f>CA178*CA179</f>
        <v>8.3937649880095915</v>
      </c>
      <c r="CB180" s="1449">
        <f t="shared" ref="CB180:CE180" si="113">CB178*CB179</f>
        <v>4.8128342245989302</v>
      </c>
      <c r="CC180" s="1449">
        <f t="shared" si="113"/>
        <v>3.6822262118491924</v>
      </c>
      <c r="CD180" s="1449">
        <f t="shared" si="113"/>
        <v>20</v>
      </c>
      <c r="CE180" s="2294">
        <f t="shared" si="113"/>
        <v>37.278961152335228</v>
      </c>
      <c r="CF180" s="69"/>
      <c r="CG180" s="2293">
        <f>CG178*CG179</f>
        <v>15.033333333333333</v>
      </c>
      <c r="CH180" s="1449">
        <f t="shared" ref="CH180:CK180" si="114">CH178*CH179</f>
        <v>12.497727272727271</v>
      </c>
      <c r="CI180" s="1449">
        <f t="shared" si="114"/>
        <v>14.617105263157896</v>
      </c>
      <c r="CJ180" s="1449">
        <f t="shared" si="114"/>
        <v>27.126177024482107</v>
      </c>
      <c r="CK180" s="2294">
        <f t="shared" si="114"/>
        <v>69.078383604021667</v>
      </c>
      <c r="CL180" s="69"/>
      <c r="CM180" s="2293">
        <f>CM178*CM179</f>
        <v>13.616863128263063</v>
      </c>
      <c r="CN180" s="1449">
        <f t="shared" ref="CN180:CQ180" si="115">CN178*CN179</f>
        <v>13.982808895071194</v>
      </c>
      <c r="CO180" s="1449">
        <f t="shared" si="115"/>
        <v>19.520490545184558</v>
      </c>
      <c r="CP180" s="1449">
        <f t="shared" si="115"/>
        <v>29.957218004027389</v>
      </c>
      <c r="CQ180" s="2294">
        <f t="shared" si="115"/>
        <v>77.077380572546204</v>
      </c>
      <c r="CR180" s="69"/>
      <c r="CS180" s="2293">
        <f>CS178*CS179</f>
        <v>18.827959801896768</v>
      </c>
      <c r="CT180" s="1449">
        <f t="shared" ref="CT180:CW180" si="116">CT178*CT179</f>
        <v>19.672591201473338</v>
      </c>
      <c r="CU180" s="1449">
        <f t="shared" si="116"/>
        <v>20.058307394164927</v>
      </c>
      <c r="CV180" s="1449">
        <f t="shared" si="116"/>
        <v>25.904829461973094</v>
      </c>
      <c r="CW180" s="2294">
        <f t="shared" si="116"/>
        <v>84.463687859508127</v>
      </c>
      <c r="CX180" s="69"/>
      <c r="CY180" s="2293">
        <f>CY178*CY179</f>
        <v>20.579889845939398</v>
      </c>
      <c r="CZ180" s="1449">
        <f t="shared" ref="CZ180:DC180" si="117">CZ178*CZ179</f>
        <v>21.127371632527208</v>
      </c>
      <c r="DA180" s="1449">
        <f t="shared" si="117"/>
        <v>22.091737445574644</v>
      </c>
      <c r="DB180" s="1449">
        <f t="shared" si="117"/>
        <v>28.056867914403668</v>
      </c>
      <c r="DC180" s="2294">
        <f t="shared" si="117"/>
        <v>91.855866838444911</v>
      </c>
      <c r="DD180" s="69"/>
      <c r="DE180" s="2293">
        <f>DE178*DE179</f>
        <v>22.280106786838381</v>
      </c>
      <c r="DF180" s="1449">
        <f t="shared" ref="DF180:DI180" si="118">DF178*DF179</f>
        <v>23.246026513614893</v>
      </c>
      <c r="DG180" s="1449">
        <f t="shared" si="118"/>
        <v>23.879593890893332</v>
      </c>
      <c r="DH180" s="1449">
        <f t="shared" si="118"/>
        <v>30.713617653985224</v>
      </c>
      <c r="DI180" s="2294">
        <f t="shared" si="118"/>
        <v>100.11934484533184</v>
      </c>
    </row>
    <row r="181" spans="1:113">
      <c r="A181" s="771" t="s">
        <v>555</v>
      </c>
      <c r="B181" s="278"/>
      <c r="C181" s="278"/>
      <c r="D181" s="278"/>
      <c r="E181" s="278"/>
      <c r="F181" s="278"/>
      <c r="G181" s="278"/>
      <c r="H181" s="278"/>
      <c r="I181" s="278"/>
      <c r="J181" s="278"/>
      <c r="K181" s="278"/>
      <c r="L181" s="278"/>
      <c r="M181" s="278"/>
      <c r="N181" s="278"/>
      <c r="O181" s="278"/>
      <c r="P181" s="278"/>
      <c r="Q181" s="278"/>
      <c r="R181" s="278"/>
      <c r="S181" s="278"/>
      <c r="T181" s="278"/>
      <c r="U181" s="278"/>
      <c r="V181" s="278"/>
      <c r="W181" s="278"/>
      <c r="X181" s="278"/>
      <c r="Y181" s="2295">
        <f>Y178-Y180</f>
        <v>13.509216000000006</v>
      </c>
      <c r="Z181" s="2296">
        <f t="shared" ref="Z181:AC181" si="119">Z178-Z180</f>
        <v>14.91167999999999</v>
      </c>
      <c r="AA181" s="2296">
        <f t="shared" si="119"/>
        <v>20.872319999999984</v>
      </c>
      <c r="AB181" s="2296">
        <f t="shared" si="119"/>
        <v>49.692384000000061</v>
      </c>
      <c r="AC181" s="2297">
        <f t="shared" si="119"/>
        <v>98.985600000000062</v>
      </c>
      <c r="AD181" s="771"/>
      <c r="AE181" s="2295">
        <f>AE178-AE180</f>
        <v>15.944499999999998</v>
      </c>
      <c r="AF181" s="2296">
        <f t="shared" ref="AF181:AI181" si="120">AF178-AF180</f>
        <v>21.378500000000003</v>
      </c>
      <c r="AG181" s="2296">
        <f t="shared" si="120"/>
        <v>11.726000000000004</v>
      </c>
      <c r="AH181" s="2296">
        <f t="shared" si="120"/>
        <v>37.608999999999938</v>
      </c>
      <c r="AI181" s="2297">
        <f t="shared" si="120"/>
        <v>86.657999999999916</v>
      </c>
      <c r="AJ181" s="771"/>
      <c r="AK181" s="2295">
        <f>AK178-AK180</f>
        <v>11.204199999999986</v>
      </c>
      <c r="AL181" s="2296">
        <f t="shared" ref="AL181:AO181" si="121">AL178-AL180</f>
        <v>14.617399999999991</v>
      </c>
      <c r="AM181" s="2296">
        <f t="shared" si="121"/>
        <v>19.588799999999964</v>
      </c>
      <c r="AN181" s="2296">
        <f t="shared" si="121"/>
        <v>52.681999999999974</v>
      </c>
      <c r="AO181" s="2297">
        <f t="shared" si="121"/>
        <v>98.092399999999856</v>
      </c>
      <c r="AP181" s="771"/>
      <c r="AQ181" s="2295">
        <f>AQ178-AQ180</f>
        <v>20.856500000000011</v>
      </c>
      <c r="AR181" s="2296">
        <f t="shared" ref="AR181:AU181" si="122">AR178-AR180</f>
        <v>29.976799999999976</v>
      </c>
      <c r="AS181" s="2296">
        <f t="shared" si="122"/>
        <v>34.430900000000001</v>
      </c>
      <c r="AT181" s="2296">
        <f t="shared" si="122"/>
        <v>47.368999999999957</v>
      </c>
      <c r="AU181" s="2297">
        <f t="shared" si="122"/>
        <v>132.63320000000004</v>
      </c>
      <c r="AV181" s="771"/>
      <c r="AW181" s="2295">
        <f>AW178-AW180</f>
        <v>27.560799999999997</v>
      </c>
      <c r="AX181" s="2296">
        <f t="shared" ref="AX181:BA181" si="123">AX178-AX180</f>
        <v>38.262600000000077</v>
      </c>
      <c r="AY181" s="2296">
        <f t="shared" si="123"/>
        <v>38.262599999999992</v>
      </c>
      <c r="AZ181" s="2296">
        <f t="shared" si="123"/>
        <v>45.959099999999864</v>
      </c>
      <c r="BA181" s="2297">
        <f t="shared" si="123"/>
        <v>150.04509999999988</v>
      </c>
      <c r="BB181" s="771"/>
      <c r="BC181" s="2295">
        <f>BC178-BC180</f>
        <v>31.958799999999975</v>
      </c>
      <c r="BD181" s="2296">
        <f t="shared" ref="BD181:BG181" si="124">BD178-BD180</f>
        <v>24.189000000000021</v>
      </c>
      <c r="BE181" s="2296">
        <f t="shared" si="124"/>
        <v>50.870200000000011</v>
      </c>
      <c r="BF181" s="2296">
        <f t="shared" si="124"/>
        <v>53.509000000000086</v>
      </c>
      <c r="BG181" s="2297">
        <f t="shared" si="124"/>
        <v>160.5270000000001</v>
      </c>
      <c r="BH181" s="771"/>
      <c r="BI181" s="2295">
        <f>BI178-BI180</f>
        <v>17.298800000000039</v>
      </c>
      <c r="BJ181" s="2296">
        <f t="shared" ref="BJ181:BM181" si="125">BJ178-BJ180</f>
        <v>36.704318181818167</v>
      </c>
      <c r="BK181" s="2296">
        <f t="shared" si="125"/>
        <v>37.862206572769907</v>
      </c>
      <c r="BL181" s="2296">
        <f t="shared" si="125"/>
        <v>58.040080971660011</v>
      </c>
      <c r="BM181" s="2297">
        <f t="shared" si="125"/>
        <v>149.97493036211699</v>
      </c>
      <c r="BN181" s="771"/>
      <c r="BO181" s="2295">
        <f>BO178-BO180</f>
        <v>23.866171003717525</v>
      </c>
      <c r="BP181" s="2296">
        <f t="shared" ref="BP181:BS181" si="126">BP178-BP180</f>
        <v>36.910912698412659</v>
      </c>
      <c r="BQ181" s="2296">
        <f t="shared" si="126"/>
        <v>26.205934718100863</v>
      </c>
      <c r="BR181" s="2296">
        <f t="shared" si="126"/>
        <v>50.93990536277613</v>
      </c>
      <c r="BS181" s="2297">
        <f t="shared" si="126"/>
        <v>138.08853211009185</v>
      </c>
      <c r="BT181" s="771"/>
      <c r="BU181" s="2295">
        <f>BU178-BU180</f>
        <v>26.046439628482982</v>
      </c>
      <c r="BV181" s="2296">
        <f t="shared" ref="BV181:BY181" si="127">BV178-BV180</f>
        <v>38.482113821138185</v>
      </c>
      <c r="BW181" s="2296">
        <f t="shared" si="127"/>
        <v>35.82074688796682</v>
      </c>
      <c r="BX181" s="2296">
        <f t="shared" si="127"/>
        <v>67.752179327521702</v>
      </c>
      <c r="BY181" s="2297">
        <f t="shared" si="127"/>
        <v>167.95832068791103</v>
      </c>
      <c r="BZ181" s="771"/>
      <c r="CA181" s="2295">
        <f>CA178-CA180</f>
        <v>38.906235011990447</v>
      </c>
      <c r="CB181" s="2296">
        <f t="shared" ref="CB181:CE181" si="128">CB178-CB180</f>
        <v>35.187165775401127</v>
      </c>
      <c r="CC181" s="2296">
        <f t="shared" si="128"/>
        <v>54.917773788150775</v>
      </c>
      <c r="CD181" s="2296">
        <f t="shared" si="128"/>
        <v>71.999999999999943</v>
      </c>
      <c r="CE181" s="2297">
        <f t="shared" si="128"/>
        <v>200.62103884766486</v>
      </c>
      <c r="CF181" s="771"/>
      <c r="CG181" s="2295">
        <f>CG178-CG180</f>
        <v>34.166666666666657</v>
      </c>
      <c r="CH181" s="2296">
        <f t="shared" ref="CH181:CK181" si="129">CH178-CH180</f>
        <v>39.202272727272714</v>
      </c>
      <c r="CI181" s="2296">
        <f t="shared" si="129"/>
        <v>49.782894736842053</v>
      </c>
      <c r="CJ181" s="2296">
        <f t="shared" si="129"/>
        <v>83.673822975518107</v>
      </c>
      <c r="CK181" s="2297">
        <f t="shared" si="129"/>
        <v>207.02161639597836</v>
      </c>
      <c r="CL181" s="771"/>
      <c r="CM181" s="2295">
        <f>CM178-CM180</f>
        <v>40.850589384789188</v>
      </c>
      <c r="CN181" s="2296">
        <f t="shared" ref="CN181:CQ181" si="130">CN178-CN180</f>
        <v>41.948426685213583</v>
      </c>
      <c r="CO181" s="2296">
        <f t="shared" si="130"/>
        <v>58.561471635553673</v>
      </c>
      <c r="CP181" s="2296">
        <f t="shared" si="130"/>
        <v>89.871654012082161</v>
      </c>
      <c r="CQ181" s="2297">
        <f t="shared" si="130"/>
        <v>231.23214171763868</v>
      </c>
      <c r="CR181" s="771"/>
      <c r="CS181" s="2295">
        <f>CS178-CS180</f>
        <v>56.483879405690303</v>
      </c>
      <c r="CT181" s="2296">
        <f t="shared" ref="CT181:CW181" si="131">CT178-CT180</f>
        <v>59.017773604420015</v>
      </c>
      <c r="CU181" s="2296">
        <f t="shared" si="131"/>
        <v>60.174922182494782</v>
      </c>
      <c r="CV181" s="2296">
        <f t="shared" si="131"/>
        <v>77.714488385919282</v>
      </c>
      <c r="CW181" s="2297">
        <f t="shared" si="131"/>
        <v>253.39106357852415</v>
      </c>
      <c r="CX181" s="771"/>
      <c r="CY181" s="2295">
        <f>CY178-CY180</f>
        <v>61.739669537818195</v>
      </c>
      <c r="CZ181" s="2296">
        <f t="shared" ref="CZ181:DC181" si="132">CZ178-CZ180</f>
        <v>63.382114897581623</v>
      </c>
      <c r="DA181" s="2296">
        <f t="shared" si="132"/>
        <v>66.275212336723939</v>
      </c>
      <c r="DB181" s="2296">
        <f t="shared" si="132"/>
        <v>84.170603743211004</v>
      </c>
      <c r="DC181" s="2297">
        <f t="shared" si="132"/>
        <v>275.56760051533473</v>
      </c>
      <c r="DD181" s="771"/>
      <c r="DE181" s="2295">
        <f>DE178-DE180</f>
        <v>66.840320360515136</v>
      </c>
      <c r="DF181" s="2296">
        <f t="shared" ref="DF181:DI181" si="133">DF178-DF180</f>
        <v>69.73807954084468</v>
      </c>
      <c r="DG181" s="2296">
        <f t="shared" si="133"/>
        <v>71.638781672679997</v>
      </c>
      <c r="DH181" s="2296">
        <f t="shared" si="133"/>
        <v>92.140852961955673</v>
      </c>
      <c r="DI181" s="2297">
        <f t="shared" si="133"/>
        <v>300.35803453599533</v>
      </c>
    </row>
    <row r="182" spans="1:113">
      <c r="A182" s="771" t="s">
        <v>153</v>
      </c>
      <c r="B182" s="278"/>
      <c r="C182" s="278"/>
      <c r="D182" s="278"/>
      <c r="E182" s="278"/>
      <c r="F182" s="278"/>
      <c r="G182" s="278"/>
      <c r="H182" s="278"/>
      <c r="I182" s="278"/>
      <c r="J182" s="278"/>
      <c r="K182" s="278"/>
      <c r="L182" s="278"/>
      <c r="M182" s="278"/>
      <c r="N182" s="278"/>
      <c r="O182" s="278"/>
      <c r="P182" s="278"/>
      <c r="Q182" s="278"/>
      <c r="R182" s="278"/>
      <c r="S182" s="278"/>
      <c r="T182" s="278"/>
      <c r="U182" s="278"/>
      <c r="V182" s="278"/>
      <c r="W182" s="278"/>
      <c r="X182" s="278"/>
      <c r="Y182" s="1778">
        <f>Y181/Y177</f>
        <v>6.5093362115488426E-2</v>
      </c>
      <c r="Z182" s="2298">
        <f t="shared" ref="Z182:AC182" si="134">Z181/Z177</f>
        <v>6.2564214448145902E-2</v>
      </c>
      <c r="AA182" s="2298">
        <f t="shared" si="134"/>
        <v>8.6334877564526735E-2</v>
      </c>
      <c r="AB182" s="2298">
        <f t="shared" si="134"/>
        <v>0.14413532813941227</v>
      </c>
      <c r="AC182" s="2299">
        <f t="shared" si="134"/>
        <v>9.5879116621464602E-2</v>
      </c>
      <c r="AD182" s="771"/>
      <c r="AE182" s="1778">
        <f>AE181/AE177</f>
        <v>6.690935795216113E-2</v>
      </c>
      <c r="AF182" s="2298">
        <f t="shared" ref="AF182:AI182" si="135">AF181/AF177</f>
        <v>6.8630818619582673E-2</v>
      </c>
      <c r="AG182" s="2298">
        <f t="shared" si="135"/>
        <v>4.8434531185460566E-2</v>
      </c>
      <c r="AH182" s="2298">
        <f t="shared" si="135"/>
        <v>0.11931789340101506</v>
      </c>
      <c r="AI182" s="2299">
        <f t="shared" si="135"/>
        <v>7.8274771926655162E-2</v>
      </c>
      <c r="AJ182" s="771"/>
      <c r="AK182" s="1778">
        <f>AK181/AK177</f>
        <v>4.8608242950108398E-2</v>
      </c>
      <c r="AL182" s="2298">
        <f t="shared" ref="AL182:AO182" si="136">AL181/AL177</f>
        <v>5.7890693069306894E-2</v>
      </c>
      <c r="AM182" s="2298">
        <f t="shared" si="136"/>
        <v>7.3892116182572493E-2</v>
      </c>
      <c r="AN182" s="2298">
        <f t="shared" si="136"/>
        <v>0.14378275109170296</v>
      </c>
      <c r="AO182" s="2299">
        <f t="shared" si="136"/>
        <v>8.8014715118887268E-2</v>
      </c>
      <c r="AP182" s="771"/>
      <c r="AQ182" s="1778">
        <f>AQ181/AQ177</f>
        <v>7.5104429240187301E-2</v>
      </c>
      <c r="AR182" s="2298">
        <f t="shared" ref="AR182:AU182" si="137">AR181/AR177</f>
        <v>9.9623795280824115E-2</v>
      </c>
      <c r="AS182" s="2298">
        <f t="shared" si="137"/>
        <v>0.11099580915538364</v>
      </c>
      <c r="AT182" s="2298">
        <f t="shared" si="137"/>
        <v>0.11384042297524623</v>
      </c>
      <c r="AU182" s="2299">
        <f t="shared" si="137"/>
        <v>0.10164242470687412</v>
      </c>
      <c r="AV182" s="771"/>
      <c r="AW182" s="1778">
        <f>AW181/AW177</f>
        <v>7.720112044817927E-2</v>
      </c>
      <c r="AX182" s="2298">
        <f t="shared" ref="AX182:BA182" si="138">AX181/AX177</f>
        <v>9.5370388833499686E-2</v>
      </c>
      <c r="AY182" s="2298">
        <f t="shared" si="138"/>
        <v>9.1449808795411078E-2</v>
      </c>
      <c r="AZ182" s="2298">
        <f t="shared" si="138"/>
        <v>9.6735634603241152E-2</v>
      </c>
      <c r="BA182" s="2299">
        <f t="shared" si="138"/>
        <v>9.0842828600835437E-2</v>
      </c>
      <c r="BB182" s="771"/>
      <c r="BC182" s="1778">
        <f>BC181/BC177</f>
        <v>7.8793885601577837E-2</v>
      </c>
      <c r="BD182" s="2298">
        <f t="shared" ref="BD182:BG182" si="139">BD181/BD177</f>
        <v>5.7497028761587875E-2</v>
      </c>
      <c r="BE182" s="2298">
        <f t="shared" si="139"/>
        <v>0.11360026797677537</v>
      </c>
      <c r="BF182" s="2298">
        <f t="shared" si="139"/>
        <v>0.10343901024550566</v>
      </c>
      <c r="BG182" s="2299">
        <f t="shared" si="139"/>
        <v>8.9609802389192861E-2</v>
      </c>
      <c r="BH182" s="771"/>
      <c r="BI182" s="1778">
        <f>BI181/BI177</f>
        <v>4.3972547025927906E-2</v>
      </c>
      <c r="BJ182" s="2298">
        <f t="shared" ref="BJ182:BM182" si="140">BJ181/BJ177</f>
        <v>8.0686564479705791E-2</v>
      </c>
      <c r="BK182" s="2298">
        <f t="shared" si="140"/>
        <v>8.6246484220432587E-2</v>
      </c>
      <c r="BL182" s="2298">
        <f t="shared" si="140"/>
        <v>0.10512602965343236</v>
      </c>
      <c r="BM182" s="2299">
        <f t="shared" si="140"/>
        <v>8.1534701729975526E-2</v>
      </c>
      <c r="BN182" s="771"/>
      <c r="BO182" s="1778">
        <f>BO181/BO177</f>
        <v>5.6327993872356673E-2</v>
      </c>
      <c r="BP182" s="2298">
        <f t="shared" ref="BP182:BS182" si="141">BP181/BP177</f>
        <v>8.0697229336276044E-2</v>
      </c>
      <c r="BQ182" s="2298">
        <f t="shared" si="141"/>
        <v>6.2424808761555178E-2</v>
      </c>
      <c r="BR182" s="2298">
        <f t="shared" si="141"/>
        <v>0.10027540425743332</v>
      </c>
      <c r="BS182" s="2299">
        <f t="shared" si="141"/>
        <v>7.6338400193538533E-2</v>
      </c>
      <c r="BT182" s="771"/>
      <c r="BU182" s="1778">
        <f>BU181/BU177</f>
        <v>7.3681583107448323E-2</v>
      </c>
      <c r="BV182" s="2298">
        <f t="shared" ref="BV182:BY182" si="142">BV181/BV177</f>
        <v>9.7177055103884302E-2</v>
      </c>
      <c r="BW182" s="2298">
        <f t="shared" si="142"/>
        <v>9.0433594768913952E-2</v>
      </c>
      <c r="BX182" s="2298">
        <f t="shared" si="142"/>
        <v>0.14168167989862343</v>
      </c>
      <c r="BY182" s="2299">
        <f t="shared" si="142"/>
        <v>0.10343534960457632</v>
      </c>
      <c r="BZ182" s="771"/>
      <c r="CA182" s="1778">
        <f>CA181/CA177</f>
        <v>0.10363941132655952</v>
      </c>
      <c r="CB182" s="2298">
        <f t="shared" ref="CB182:CE182" si="143">CB181/CB177</f>
        <v>9.466549845413269E-2</v>
      </c>
      <c r="CC182" s="2298">
        <f t="shared" si="143"/>
        <v>0.13942059859901187</v>
      </c>
      <c r="CD182" s="2298">
        <f t="shared" si="143"/>
        <v>0.15309376993408452</v>
      </c>
      <c r="CE182" s="2299">
        <f t="shared" si="143"/>
        <v>0.12450880583855573</v>
      </c>
      <c r="CF182" s="771"/>
      <c r="CG182" s="1778">
        <f>CG181/CG177</f>
        <v>8.8767645275829199E-2</v>
      </c>
      <c r="CH182" s="2298">
        <f t="shared" ref="CH182:CK182" si="144">CH181/CH177</f>
        <v>9.448607550559826E-2</v>
      </c>
      <c r="CI182" s="2298">
        <f t="shared" si="144"/>
        <v>0.11428580058962823</v>
      </c>
      <c r="CJ182" s="2298">
        <f t="shared" si="144"/>
        <v>0.15772633925639598</v>
      </c>
      <c r="CK182" s="2299">
        <f t="shared" si="144"/>
        <v>0.11723292168071711</v>
      </c>
      <c r="CL182" s="771"/>
      <c r="CM182" s="1778">
        <f>CM181/CM177</f>
        <v>9.6419137362662069E-2</v>
      </c>
      <c r="CN182" s="2298">
        <f t="shared" ref="CN182:CQ182" si="145">CN181/CN177</f>
        <v>9.6592083018288519E-2</v>
      </c>
      <c r="CO182" s="2298">
        <f t="shared" si="145"/>
        <v>0.12984811223447915</v>
      </c>
      <c r="CP182" s="2298">
        <f t="shared" si="145"/>
        <v>0.16112160973320216</v>
      </c>
      <c r="CQ182" s="2299">
        <f t="shared" si="145"/>
        <v>0.12386889734104604</v>
      </c>
      <c r="CR182" s="771"/>
      <c r="CS182" s="1778">
        <f>CS181/CS177</f>
        <v>0.13104013113912008</v>
      </c>
      <c r="CT182" s="2298">
        <f t="shared" ref="CT182:CW182" si="146">CT181/CT177</f>
        <v>0.13132449431931081</v>
      </c>
      <c r="CU182" s="2298">
        <f t="shared" si="146"/>
        <v>0.13144676675969513</v>
      </c>
      <c r="CV182" s="2298">
        <f t="shared" si="146"/>
        <v>0.13287080933945153</v>
      </c>
      <c r="CW182" s="2299">
        <f t="shared" si="146"/>
        <v>0.13176015161297977</v>
      </c>
      <c r="CX182" s="771"/>
      <c r="CY182" s="1778">
        <f>CY181/CY177</f>
        <v>0.13947285697266801</v>
      </c>
      <c r="CZ182" s="2298">
        <f t="shared" ref="CZ182:DC182" si="147">CZ181/CZ177</f>
        <v>0.13964053899266501</v>
      </c>
      <c r="DA182" s="2298">
        <f t="shared" si="147"/>
        <v>0.13991656578593537</v>
      </c>
      <c r="DB182" s="2298">
        <f t="shared" si="147"/>
        <v>0.1412167665341349</v>
      </c>
      <c r="DC182" s="2299">
        <f t="shared" si="147"/>
        <v>0.14014708716540056</v>
      </c>
      <c r="DD182" s="771"/>
      <c r="DE182" s="1778">
        <f>DE181/DE177</f>
        <v>0.14858121615714531</v>
      </c>
      <c r="DF182" s="2298">
        <f t="shared" ref="DF182:DI182" si="148">DF181/DF177</f>
        <v>0.14884688896187501</v>
      </c>
      <c r="DG182" s="2298">
        <f t="shared" si="148"/>
        <v>0.14900994637690504</v>
      </c>
      <c r="DH182" s="2298">
        <f t="shared" si="148"/>
        <v>0.1503546266088634</v>
      </c>
      <c r="DI182" s="2299">
        <f t="shared" si="148"/>
        <v>0.14928569047689944</v>
      </c>
    </row>
    <row r="183" spans="1:113">
      <c r="A183" s="69"/>
      <c r="B183" s="278"/>
      <c r="C183" s="278"/>
      <c r="D183" s="278"/>
      <c r="E183" s="278"/>
      <c r="F183" s="278"/>
      <c r="G183" s="278"/>
      <c r="H183" s="278"/>
      <c r="I183" s="278"/>
      <c r="J183" s="278"/>
      <c r="K183" s="278"/>
      <c r="L183" s="278"/>
      <c r="M183" s="278"/>
      <c r="N183" s="278"/>
      <c r="O183" s="278"/>
      <c r="P183" s="278"/>
      <c r="Q183" s="278"/>
      <c r="R183" s="278"/>
      <c r="S183" s="278"/>
      <c r="T183" s="278"/>
      <c r="U183" s="278"/>
      <c r="V183" s="278"/>
      <c r="W183" s="278"/>
      <c r="X183" s="278"/>
      <c r="Y183" s="1434"/>
      <c r="Z183" s="585"/>
      <c r="AA183" s="585"/>
      <c r="AB183" s="585"/>
      <c r="AC183" s="732"/>
      <c r="AD183" s="69"/>
      <c r="AE183" s="1434"/>
      <c r="AF183" s="585"/>
      <c r="AG183" s="585"/>
      <c r="AH183" s="585"/>
      <c r="AI183" s="732"/>
      <c r="AJ183" s="69"/>
      <c r="AK183" s="1434"/>
      <c r="AL183" s="585"/>
      <c r="AM183" s="585"/>
      <c r="AN183" s="585"/>
      <c r="AO183" s="732"/>
      <c r="AP183" s="69"/>
      <c r="AQ183" s="1434"/>
      <c r="AR183" s="585"/>
      <c r="AS183" s="585"/>
      <c r="AT183" s="585"/>
      <c r="AU183" s="732"/>
      <c r="AV183" s="69"/>
      <c r="AW183" s="1434"/>
      <c r="AX183" s="585"/>
      <c r="AY183" s="585"/>
      <c r="AZ183" s="585"/>
      <c r="BA183" s="732"/>
      <c r="BB183" s="69"/>
      <c r="BC183" s="1434"/>
      <c r="BD183" s="585"/>
      <c r="BE183" s="585"/>
      <c r="BF183" s="585"/>
      <c r="BG183" s="732"/>
      <c r="BH183" s="69"/>
      <c r="BI183" s="1434"/>
      <c r="BJ183" s="585"/>
      <c r="BK183" s="585"/>
      <c r="BL183" s="585"/>
      <c r="BM183" s="732"/>
      <c r="BN183" s="69"/>
      <c r="BO183" s="1434"/>
      <c r="BP183" s="585"/>
      <c r="BQ183" s="585"/>
      <c r="BR183" s="585"/>
      <c r="BS183" s="732"/>
      <c r="BT183" s="69"/>
      <c r="BU183" s="1434"/>
      <c r="BV183" s="585"/>
      <c r="BW183" s="585"/>
      <c r="BX183" s="585"/>
      <c r="BY183" s="732"/>
      <c r="BZ183" s="69"/>
      <c r="CA183" s="1434"/>
      <c r="CB183" s="585"/>
      <c r="CC183" s="585"/>
      <c r="CD183" s="585"/>
      <c r="CE183" s="732"/>
      <c r="CF183" s="69"/>
      <c r="CG183" s="1434"/>
      <c r="CH183" s="585"/>
      <c r="CI183" s="585"/>
      <c r="CJ183" s="585"/>
      <c r="CK183" s="732"/>
      <c r="CL183" s="69"/>
      <c r="CM183" s="1434"/>
      <c r="CN183" s="585"/>
      <c r="CO183" s="585"/>
      <c r="CP183" s="585"/>
      <c r="CQ183" s="732"/>
      <c r="CR183" s="69"/>
      <c r="CS183" s="1434"/>
      <c r="CT183" s="585"/>
      <c r="CU183" s="585"/>
      <c r="CV183" s="585"/>
      <c r="CW183" s="732"/>
      <c r="CX183" s="69"/>
      <c r="CY183" s="1434"/>
      <c r="CZ183" s="585"/>
      <c r="DA183" s="585"/>
      <c r="DB183" s="585"/>
      <c r="DC183" s="732"/>
      <c r="DD183" s="69"/>
      <c r="DE183" s="1434"/>
      <c r="DF183" s="585"/>
      <c r="DG183" s="585"/>
      <c r="DH183" s="585"/>
      <c r="DI183" s="732"/>
    </row>
    <row r="184" spans="1:113">
      <c r="A184" s="771" t="s">
        <v>556</v>
      </c>
      <c r="B184" s="278"/>
      <c r="C184" s="278"/>
      <c r="D184" s="278"/>
      <c r="E184" s="278"/>
      <c r="F184" s="278"/>
      <c r="G184" s="278"/>
      <c r="H184" s="278"/>
      <c r="I184" s="278"/>
      <c r="J184" s="278"/>
      <c r="K184" s="278"/>
      <c r="L184" s="278"/>
      <c r="M184" s="278"/>
      <c r="N184" s="278"/>
      <c r="O184" s="278"/>
      <c r="P184" s="278"/>
      <c r="Q184" s="278"/>
      <c r="R184" s="278"/>
      <c r="S184" s="278"/>
      <c r="T184" s="278"/>
      <c r="U184" s="278"/>
      <c r="V184" s="278"/>
      <c r="W184" s="278"/>
      <c r="X184" s="278"/>
      <c r="Y184" s="1434"/>
      <c r="Z184" s="585"/>
      <c r="AA184" s="585"/>
      <c r="AB184" s="585"/>
      <c r="AC184" s="732"/>
      <c r="AD184" s="69"/>
      <c r="AE184" s="1434"/>
      <c r="AF184" s="585"/>
      <c r="AG184" s="585"/>
      <c r="AH184" s="585"/>
      <c r="AI184" s="732"/>
      <c r="AJ184" s="69"/>
      <c r="AK184" s="1434"/>
      <c r="AL184" s="585"/>
      <c r="AM184" s="585"/>
      <c r="AN184" s="585"/>
      <c r="AO184" s="732"/>
      <c r="AP184" s="69"/>
      <c r="AQ184" s="1434"/>
      <c r="AR184" s="585"/>
      <c r="AS184" s="585"/>
      <c r="AT184" s="585"/>
      <c r="AU184" s="732"/>
      <c r="AV184" s="69"/>
      <c r="AW184" s="1434"/>
      <c r="AX184" s="585"/>
      <c r="AY184" s="585"/>
      <c r="AZ184" s="585"/>
      <c r="BA184" s="732"/>
      <c r="BB184" s="69"/>
      <c r="BC184" s="1434"/>
      <c r="BD184" s="585"/>
      <c r="BE184" s="585"/>
      <c r="BF184" s="585"/>
      <c r="BG184" s="732"/>
      <c r="BH184" s="69"/>
      <c r="BI184" s="1434"/>
      <c r="BJ184" s="585"/>
      <c r="BK184" s="585"/>
      <c r="BL184" s="585"/>
      <c r="BM184" s="732"/>
      <c r="BN184" s="69"/>
      <c r="BO184" s="1434"/>
      <c r="BP184" s="585"/>
      <c r="BQ184" s="585"/>
      <c r="BR184" s="585"/>
      <c r="BS184" s="732"/>
      <c r="BT184" s="69"/>
      <c r="BU184" s="1434"/>
      <c r="BV184" s="585"/>
      <c r="BW184" s="585"/>
      <c r="BX184" s="585"/>
      <c r="BY184" s="732"/>
      <c r="BZ184" s="69"/>
      <c r="CA184" s="1434"/>
      <c r="CB184" s="585"/>
      <c r="CC184" s="585"/>
      <c r="CD184" s="585"/>
      <c r="CE184" s="732"/>
      <c r="CF184" s="69"/>
      <c r="CG184" s="1434"/>
      <c r="CH184" s="585"/>
      <c r="CI184" s="585"/>
      <c r="CJ184" s="585"/>
      <c r="CK184" s="732"/>
      <c r="CL184" s="69"/>
      <c r="CM184" s="1434"/>
      <c r="CN184" s="585"/>
      <c r="CO184" s="585"/>
      <c r="CP184" s="585"/>
      <c r="CQ184" s="732"/>
      <c r="CR184" s="69"/>
      <c r="CS184" s="1434"/>
      <c r="CT184" s="585"/>
      <c r="CU184" s="585"/>
      <c r="CV184" s="585"/>
      <c r="CW184" s="732"/>
      <c r="CX184" s="69"/>
      <c r="CY184" s="1434"/>
      <c r="CZ184" s="585"/>
      <c r="DA184" s="585"/>
      <c r="DB184" s="585"/>
      <c r="DC184" s="732"/>
      <c r="DD184" s="69"/>
      <c r="DE184" s="1434"/>
      <c r="DF184" s="585"/>
      <c r="DG184" s="585"/>
      <c r="DH184" s="585"/>
      <c r="DI184" s="732"/>
    </row>
    <row r="185" spans="1:113">
      <c r="A185" s="69" t="s">
        <v>96</v>
      </c>
      <c r="B185" s="278"/>
      <c r="C185" s="278"/>
      <c r="D185" s="278"/>
      <c r="E185" s="278"/>
      <c r="F185" s="278"/>
      <c r="G185" s="278"/>
      <c r="H185" s="278"/>
      <c r="I185" s="278"/>
      <c r="J185" s="278"/>
      <c r="K185" s="278"/>
      <c r="L185" s="278"/>
      <c r="M185" s="278"/>
      <c r="N185" s="278"/>
      <c r="O185" s="278"/>
      <c r="P185" s="278"/>
      <c r="Q185" s="278"/>
      <c r="R185" s="278"/>
      <c r="S185" s="278"/>
      <c r="T185" s="278"/>
      <c r="U185" s="278"/>
      <c r="V185" s="278"/>
      <c r="W185" s="278"/>
      <c r="X185" s="278"/>
      <c r="Y185" s="1450">
        <f t="shared" ref="Y185:Z185" si="149">Y49</f>
        <v>34.383000000000003</v>
      </c>
      <c r="Z185" s="1343">
        <f t="shared" si="149"/>
        <v>32.959000000000003</v>
      </c>
      <c r="AA185" s="1343">
        <f>AA49</f>
        <v>39.091999999999999</v>
      </c>
      <c r="AB185" s="1343">
        <f t="shared" ref="AB185:AC185" si="150">AB49</f>
        <v>44.199999999999996</v>
      </c>
      <c r="AC185" s="752">
        <f t="shared" si="150"/>
        <v>44.199999999999996</v>
      </c>
      <c r="AD185" s="69"/>
      <c r="AE185" s="1450">
        <f t="shared" ref="AE185:AF185" si="151">AE49</f>
        <v>422.524</v>
      </c>
      <c r="AF185" s="1343">
        <f t="shared" si="151"/>
        <v>242.14999999999998</v>
      </c>
      <c r="AG185" s="1343">
        <f>AG49</f>
        <v>213.97900000000001</v>
      </c>
      <c r="AH185" s="1343">
        <f t="shared" ref="AH185:AI185" si="152">AH49</f>
        <v>223.8</v>
      </c>
      <c r="AI185" s="752">
        <f t="shared" si="152"/>
        <v>223.8</v>
      </c>
      <c r="AJ185" s="69"/>
      <c r="AK185" s="1450">
        <f t="shared" ref="AK185:AL185" si="153">AK49</f>
        <v>203.6</v>
      </c>
      <c r="AL185" s="1343">
        <f t="shared" si="153"/>
        <v>170.7</v>
      </c>
      <c r="AM185" s="1343">
        <f>AM49</f>
        <v>151.30000000000001</v>
      </c>
      <c r="AN185" s="1343">
        <f t="shared" ref="AN185:AO185" si="154">AN49</f>
        <v>137.69999999999999</v>
      </c>
      <c r="AO185" s="752">
        <f t="shared" si="154"/>
        <v>137.69999999999999</v>
      </c>
      <c r="AP185" s="69"/>
      <c r="AQ185" s="1450">
        <f t="shared" ref="AQ185:AR185" si="155">AQ49</f>
        <v>133.19999999999999</v>
      </c>
      <c r="AR185" s="1343">
        <f t="shared" si="155"/>
        <v>126.69999999999999</v>
      </c>
      <c r="AS185" s="1343">
        <f>AS49</f>
        <v>121.4</v>
      </c>
      <c r="AT185" s="1343">
        <f t="shared" ref="AT185:AU185" si="156">AT49</f>
        <v>301</v>
      </c>
      <c r="AU185" s="752">
        <f t="shared" si="156"/>
        <v>301</v>
      </c>
      <c r="AV185" s="69"/>
      <c r="AW185" s="1450">
        <f t="shared" ref="AW185:AX185" si="157">AW49</f>
        <v>295.39999999999998</v>
      </c>
      <c r="AX185" s="1343">
        <f t="shared" si="157"/>
        <v>287.8</v>
      </c>
      <c r="AY185" s="1343">
        <f>AY49</f>
        <v>311.40000000000003</v>
      </c>
      <c r="AZ185" s="1343">
        <f t="shared" ref="AZ185:BA185" si="158">AZ49</f>
        <v>303.10000000000002</v>
      </c>
      <c r="BA185" s="752">
        <f t="shared" si="158"/>
        <v>303.10000000000002</v>
      </c>
      <c r="BB185" s="69"/>
      <c r="BC185" s="1450">
        <f t="shared" ref="BC185:BD185" si="159">BC49</f>
        <v>319.60000000000002</v>
      </c>
      <c r="BD185" s="1343">
        <f t="shared" si="159"/>
        <v>320.89999999999998</v>
      </c>
      <c r="BE185" s="1343">
        <f>BE49</f>
        <v>336.9</v>
      </c>
      <c r="BF185" s="1343">
        <f t="shared" ref="BF185:BG185" si="160">BF49</f>
        <v>337.2</v>
      </c>
      <c r="BG185" s="752">
        <f t="shared" si="160"/>
        <v>337.2</v>
      </c>
      <c r="BH185" s="69"/>
      <c r="BI185" s="1450">
        <f t="shared" ref="BI185:BJ185" si="161">BI49</f>
        <v>336.6</v>
      </c>
      <c r="BJ185" s="1343">
        <f t="shared" si="161"/>
        <v>336.5</v>
      </c>
      <c r="BK185" s="1343">
        <f>BK49</f>
        <v>355.7</v>
      </c>
      <c r="BL185" s="1343">
        <f t="shared" ref="BL185:BM185" si="162">BL49</f>
        <v>355</v>
      </c>
      <c r="BM185" s="752">
        <f t="shared" si="162"/>
        <v>355</v>
      </c>
      <c r="BN185" s="69"/>
      <c r="BO185" s="1450">
        <f t="shared" ref="BO185:BP185" si="163">BO49</f>
        <v>354.8</v>
      </c>
      <c r="BP185" s="1343">
        <f t="shared" si="163"/>
        <v>355.7</v>
      </c>
      <c r="BQ185" s="1343">
        <f>BQ49</f>
        <v>355.2</v>
      </c>
      <c r="BR185" s="1343">
        <f t="shared" ref="BR185:BS185" si="164">BR49</f>
        <v>355</v>
      </c>
      <c r="BS185" s="752">
        <f t="shared" si="164"/>
        <v>355</v>
      </c>
      <c r="BT185" s="69"/>
      <c r="BU185" s="1450">
        <f t="shared" ref="BU185:BV185" si="165">BU49</f>
        <v>354.59999999999997</v>
      </c>
      <c r="BV185" s="1343">
        <f t="shared" si="165"/>
        <v>364.6</v>
      </c>
      <c r="BW185" s="1343">
        <f>BW49</f>
        <v>371.4</v>
      </c>
      <c r="BX185" s="1343">
        <f t="shared" ref="BX185:BY185" si="166">BX49</f>
        <v>266.7</v>
      </c>
      <c r="BY185" s="752">
        <f t="shared" si="166"/>
        <v>266.7</v>
      </c>
      <c r="BZ185" s="69"/>
      <c r="CA185" s="1450">
        <f t="shared" ref="CA185:CB185" si="167">CA49</f>
        <v>302.2</v>
      </c>
      <c r="CB185" s="1343">
        <f t="shared" si="167"/>
        <v>343</v>
      </c>
      <c r="CC185" s="1343">
        <f>CC49</f>
        <v>364.9</v>
      </c>
      <c r="CD185" s="1343">
        <f t="shared" ref="CD185:CE185" si="168">CD49</f>
        <v>411.70000000000005</v>
      </c>
      <c r="CE185" s="752">
        <f t="shared" si="168"/>
        <v>411.70000000000005</v>
      </c>
      <c r="CF185" s="69"/>
      <c r="CG185" s="1450">
        <f t="shared" ref="CG185:CH185" si="169">CG49</f>
        <v>384.8</v>
      </c>
      <c r="CH185" s="1343">
        <f t="shared" si="169"/>
        <v>430.8</v>
      </c>
      <c r="CI185" s="1343">
        <f>CI49</f>
        <v>480.5</v>
      </c>
      <c r="CJ185" s="1343">
        <f t="shared" ref="CJ185:CK185" si="170">CJ49</f>
        <v>415.6</v>
      </c>
      <c r="CK185" s="752">
        <f t="shared" si="170"/>
        <v>415.6</v>
      </c>
      <c r="CL185" s="69"/>
      <c r="CM185" s="1450">
        <f t="shared" ref="CM185:CN185" si="171">CM49</f>
        <v>415.6</v>
      </c>
      <c r="CN185" s="1343">
        <f t="shared" si="171"/>
        <v>415.6</v>
      </c>
      <c r="CO185" s="1343">
        <f>CO49</f>
        <v>415.6</v>
      </c>
      <c r="CP185" s="1343">
        <f t="shared" ref="CP185:CQ185" si="172">CP49</f>
        <v>415.6</v>
      </c>
      <c r="CQ185" s="752">
        <f t="shared" si="172"/>
        <v>415.6</v>
      </c>
      <c r="CR185" s="69"/>
      <c r="CS185" s="1450">
        <f t="shared" ref="CS185:CT185" si="173">CS49</f>
        <v>415.6</v>
      </c>
      <c r="CT185" s="1343">
        <f t="shared" si="173"/>
        <v>415.6</v>
      </c>
      <c r="CU185" s="1343">
        <f>CU49</f>
        <v>415.6</v>
      </c>
      <c r="CV185" s="1343">
        <f t="shared" ref="CV185:CW185" si="174">CV49</f>
        <v>415.6</v>
      </c>
      <c r="CW185" s="752">
        <f t="shared" si="174"/>
        <v>415.6</v>
      </c>
      <c r="CX185" s="69"/>
      <c r="CY185" s="1450">
        <f t="shared" ref="CY185:CZ185" si="175">CY49</f>
        <v>415.6</v>
      </c>
      <c r="CZ185" s="1343">
        <f t="shared" si="175"/>
        <v>415.6</v>
      </c>
      <c r="DA185" s="1343">
        <f>DA49</f>
        <v>415.6</v>
      </c>
      <c r="DB185" s="1343">
        <f t="shared" ref="DB185:DC185" si="176">DB49</f>
        <v>415.6</v>
      </c>
      <c r="DC185" s="752">
        <f t="shared" si="176"/>
        <v>415.6</v>
      </c>
      <c r="DD185" s="69"/>
      <c r="DE185" s="1450">
        <f t="shared" ref="DE185:DF185" si="177">DE49</f>
        <v>415.6</v>
      </c>
      <c r="DF185" s="1343">
        <f t="shared" si="177"/>
        <v>415.6</v>
      </c>
      <c r="DG185" s="1343">
        <f>DG49</f>
        <v>415.6</v>
      </c>
      <c r="DH185" s="1343">
        <f t="shared" ref="DH185:DI185" si="178">DH49</f>
        <v>415.6</v>
      </c>
      <c r="DI185" s="752">
        <f t="shared" si="178"/>
        <v>415.6</v>
      </c>
    </row>
    <row r="186" spans="1:113">
      <c r="A186" s="69" t="s">
        <v>557</v>
      </c>
      <c r="B186" s="278"/>
      <c r="C186" s="278"/>
      <c r="D186" s="278"/>
      <c r="E186" s="278"/>
      <c r="F186" s="278"/>
      <c r="G186" s="278"/>
      <c r="H186" s="278"/>
      <c r="I186" s="278"/>
      <c r="J186" s="278"/>
      <c r="K186" s="278"/>
      <c r="L186" s="278"/>
      <c r="M186" s="278"/>
      <c r="N186" s="278"/>
      <c r="O186" s="278"/>
      <c r="P186" s="278"/>
      <c r="Q186" s="278"/>
      <c r="R186" s="278"/>
      <c r="S186" s="278"/>
      <c r="T186" s="278"/>
      <c r="U186" s="278"/>
      <c r="V186" s="278"/>
      <c r="W186" s="278"/>
      <c r="X186" s="278"/>
      <c r="Y186" s="2228">
        <v>0</v>
      </c>
      <c r="Z186" s="2032">
        <v>0</v>
      </c>
      <c r="AA186" s="2032">
        <v>0</v>
      </c>
      <c r="AB186" s="2032">
        <v>0</v>
      </c>
      <c r="AC186" s="2300">
        <v>0</v>
      </c>
      <c r="AD186" s="69"/>
      <c r="AE186" s="2228">
        <v>0</v>
      </c>
      <c r="AF186" s="2032">
        <v>0</v>
      </c>
      <c r="AG186" s="2032">
        <v>0</v>
      </c>
      <c r="AH186" s="2032">
        <v>0</v>
      </c>
      <c r="AI186" s="2300">
        <v>0</v>
      </c>
      <c r="AJ186" s="69"/>
      <c r="AK186" s="2228">
        <v>0</v>
      </c>
      <c r="AL186" s="2032">
        <v>0</v>
      </c>
      <c r="AM186" s="2032">
        <v>0</v>
      </c>
      <c r="AN186" s="2032">
        <v>0</v>
      </c>
      <c r="AO186" s="2300">
        <v>0</v>
      </c>
      <c r="AP186" s="69"/>
      <c r="AQ186" s="2228">
        <v>0</v>
      </c>
      <c r="AR186" s="2032">
        <v>0</v>
      </c>
      <c r="AS186" s="2032">
        <v>0</v>
      </c>
      <c r="AT186" s="2032">
        <v>0</v>
      </c>
      <c r="AU186" s="2300">
        <v>0</v>
      </c>
      <c r="AV186" s="69"/>
      <c r="AW186" s="2228">
        <v>0</v>
      </c>
      <c r="AX186" s="2032">
        <v>0</v>
      </c>
      <c r="AY186" s="2032">
        <v>0</v>
      </c>
      <c r="AZ186" s="2032">
        <v>0</v>
      </c>
      <c r="BA186" s="2300">
        <v>0</v>
      </c>
      <c r="BB186" s="69"/>
      <c r="BC186" s="2228">
        <v>0</v>
      </c>
      <c r="BD186" s="2032">
        <v>0</v>
      </c>
      <c r="BE186" s="2032">
        <v>0</v>
      </c>
      <c r="BF186" s="2032">
        <v>0</v>
      </c>
      <c r="BG186" s="2300">
        <v>0</v>
      </c>
      <c r="BH186" s="69"/>
      <c r="BI186" s="2228">
        <v>0</v>
      </c>
      <c r="BJ186" s="2032">
        <v>0</v>
      </c>
      <c r="BK186" s="2032">
        <v>0</v>
      </c>
      <c r="BL186" s="2032">
        <v>0</v>
      </c>
      <c r="BM186" s="2300">
        <v>0</v>
      </c>
      <c r="BN186" s="69"/>
      <c r="BO186" s="2228">
        <v>0</v>
      </c>
      <c r="BP186" s="2032">
        <v>0</v>
      </c>
      <c r="BQ186" s="2032">
        <v>0</v>
      </c>
      <c r="BR186" s="2032">
        <v>0</v>
      </c>
      <c r="BS186" s="2300">
        <v>0</v>
      </c>
      <c r="BT186" s="69"/>
      <c r="BU186" s="2228">
        <v>0</v>
      </c>
      <c r="BV186" s="2032">
        <v>0</v>
      </c>
      <c r="BW186" s="2032">
        <v>0</v>
      </c>
      <c r="BX186" s="2032">
        <v>0</v>
      </c>
      <c r="BY186" s="2300">
        <v>0</v>
      </c>
      <c r="BZ186" s="69"/>
      <c r="CA186" s="2228">
        <v>0</v>
      </c>
      <c r="CB186" s="2032">
        <v>0</v>
      </c>
      <c r="CC186" s="2032">
        <v>0</v>
      </c>
      <c r="CD186" s="2032">
        <v>0</v>
      </c>
      <c r="CE186" s="2300">
        <v>0</v>
      </c>
      <c r="CF186" s="69"/>
      <c r="CG186" s="2228">
        <v>0</v>
      </c>
      <c r="CH186" s="2032">
        <v>0</v>
      </c>
      <c r="CI186" s="2032">
        <v>0</v>
      </c>
      <c r="CJ186" s="2032">
        <v>0</v>
      </c>
      <c r="CK186" s="2300">
        <v>0</v>
      </c>
      <c r="CL186" s="69"/>
      <c r="CM186" s="2228">
        <v>0</v>
      </c>
      <c r="CN186" s="2032">
        <v>0</v>
      </c>
      <c r="CO186" s="2032">
        <v>0</v>
      </c>
      <c r="CP186" s="2032">
        <v>0</v>
      </c>
      <c r="CQ186" s="2300">
        <v>0</v>
      </c>
      <c r="CR186" s="69"/>
      <c r="CS186" s="2228">
        <v>0</v>
      </c>
      <c r="CT186" s="2032">
        <v>0</v>
      </c>
      <c r="CU186" s="2032">
        <v>0</v>
      </c>
      <c r="CV186" s="2032">
        <v>0</v>
      </c>
      <c r="CW186" s="2300">
        <v>0</v>
      </c>
      <c r="CX186" s="69"/>
      <c r="CY186" s="2228">
        <v>0</v>
      </c>
      <c r="CZ186" s="2032">
        <v>0</v>
      </c>
      <c r="DA186" s="2032">
        <v>0</v>
      </c>
      <c r="DB186" s="2032">
        <v>0</v>
      </c>
      <c r="DC186" s="2300">
        <v>0</v>
      </c>
      <c r="DD186" s="69"/>
      <c r="DE186" s="2228">
        <v>0</v>
      </c>
      <c r="DF186" s="2032">
        <v>0</v>
      </c>
      <c r="DG186" s="2032">
        <v>0</v>
      </c>
      <c r="DH186" s="2032">
        <v>0</v>
      </c>
      <c r="DI186" s="2300">
        <v>0</v>
      </c>
    </row>
    <row r="187" spans="1:113">
      <c r="A187" s="69" t="s">
        <v>558</v>
      </c>
      <c r="B187" s="278"/>
      <c r="C187" s="278"/>
      <c r="D187" s="278"/>
      <c r="E187" s="278"/>
      <c r="F187" s="278"/>
      <c r="G187" s="278"/>
      <c r="H187" s="278"/>
      <c r="I187" s="278"/>
      <c r="J187" s="278"/>
      <c r="K187" s="278"/>
      <c r="L187" s="278"/>
      <c r="M187" s="278"/>
      <c r="N187" s="278"/>
      <c r="O187" s="278"/>
      <c r="P187" s="278"/>
      <c r="Q187" s="278"/>
      <c r="R187" s="278"/>
      <c r="S187" s="278"/>
      <c r="T187" s="278"/>
      <c r="U187" s="278"/>
      <c r="V187" s="278"/>
      <c r="W187" s="278"/>
      <c r="X187" s="278"/>
      <c r="Y187" s="1450">
        <f t="shared" ref="Y187:Z187" si="179">Y30</f>
        <v>26.023</v>
      </c>
      <c r="Z187" s="1343">
        <f t="shared" si="179"/>
        <v>31.515000000000001</v>
      </c>
      <c r="AA187" s="1343">
        <f>AA30</f>
        <v>31.321000000000002</v>
      </c>
      <c r="AB187" s="1343">
        <f t="shared" ref="AB187:AC187" si="180">AB30</f>
        <v>106</v>
      </c>
      <c r="AC187" s="752">
        <f t="shared" si="180"/>
        <v>106</v>
      </c>
      <c r="AD187" s="69"/>
      <c r="AE187" s="1450">
        <f t="shared" ref="AE187:AF187" si="181">AE30</f>
        <v>106.005</v>
      </c>
      <c r="AF187" s="1343">
        <f t="shared" si="181"/>
        <v>109.71299999999999</v>
      </c>
      <c r="AG187" s="1343">
        <f>AG30</f>
        <v>103.274</v>
      </c>
      <c r="AH187" s="1343">
        <f t="shared" ref="AH187:AI187" si="182">AH30</f>
        <v>101.1</v>
      </c>
      <c r="AI187" s="752">
        <f t="shared" si="182"/>
        <v>101.1</v>
      </c>
      <c r="AJ187" s="69"/>
      <c r="AK187" s="1450">
        <f t="shared" ref="AK187:AL187" si="183">AK30</f>
        <v>96.7</v>
      </c>
      <c r="AL187" s="1343">
        <f t="shared" si="183"/>
        <v>104.2</v>
      </c>
      <c r="AM187" s="1343">
        <f>AM30</f>
        <v>109.3</v>
      </c>
      <c r="AN187" s="1343">
        <f t="shared" ref="AN187:AO187" si="184">AN30</f>
        <v>97.3</v>
      </c>
      <c r="AO187" s="752">
        <f t="shared" si="184"/>
        <v>97.3</v>
      </c>
      <c r="AP187" s="69"/>
      <c r="AQ187" s="1450">
        <f t="shared" ref="AQ187:AR187" si="185">AQ30</f>
        <v>88.1</v>
      </c>
      <c r="AR187" s="1343">
        <f t="shared" si="185"/>
        <v>83.1</v>
      </c>
      <c r="AS187" s="1343">
        <f>AS30</f>
        <v>97.2</v>
      </c>
      <c r="AT187" s="1343">
        <f t="shared" ref="AT187:AU187" si="186">AT30</f>
        <v>104.3</v>
      </c>
      <c r="AU187" s="752">
        <f t="shared" si="186"/>
        <v>104.3</v>
      </c>
      <c r="AV187" s="69"/>
      <c r="AW187" s="1450">
        <f t="shared" ref="AW187:AX187" si="187">AW30</f>
        <v>102.1</v>
      </c>
      <c r="AX187" s="1343">
        <f t="shared" si="187"/>
        <v>107.2</v>
      </c>
      <c r="AY187" s="1343">
        <f>AY30</f>
        <v>107</v>
      </c>
      <c r="AZ187" s="1343">
        <f t="shared" ref="AZ187:BA187" si="188">AZ30</f>
        <v>110.4</v>
      </c>
      <c r="BA187" s="752">
        <f t="shared" si="188"/>
        <v>110.4</v>
      </c>
      <c r="BB187" s="69"/>
      <c r="BC187" s="1450">
        <f t="shared" ref="BC187:BD187" si="189">BC30</f>
        <v>120.4</v>
      </c>
      <c r="BD187" s="1343">
        <f t="shared" si="189"/>
        <v>113.3</v>
      </c>
      <c r="BE187" s="1343">
        <f>BE30</f>
        <v>119.8</v>
      </c>
      <c r="BF187" s="1343">
        <f t="shared" ref="BF187:BG187" si="190">BF30</f>
        <v>129</v>
      </c>
      <c r="BG187" s="752">
        <f t="shared" si="190"/>
        <v>129</v>
      </c>
      <c r="BH187" s="69"/>
      <c r="BI187" s="1450">
        <f t="shared" ref="BI187:BJ187" si="191">BI30</f>
        <v>140.6</v>
      </c>
      <c r="BJ187" s="1343">
        <f t="shared" si="191"/>
        <v>140.9</v>
      </c>
      <c r="BK187" s="1343">
        <f>BK30</f>
        <v>154.1</v>
      </c>
      <c r="BL187" s="1343">
        <f t="shared" ref="BL187:BM187" si="192">BL30</f>
        <v>135.19999999999999</v>
      </c>
      <c r="BM187" s="752">
        <f t="shared" si="192"/>
        <v>135.19999999999999</v>
      </c>
      <c r="BN187" s="69"/>
      <c r="BO187" s="1450">
        <f t="shared" ref="BO187:BP187" si="193">BO30</f>
        <v>134.19999999999999</v>
      </c>
      <c r="BP187" s="1343">
        <f t="shared" si="193"/>
        <v>135.1</v>
      </c>
      <c r="BQ187" s="1343">
        <f>BQ30</f>
        <v>133</v>
      </c>
      <c r="BR187" s="1343">
        <f t="shared" ref="BR187:BS187" si="194">BR30</f>
        <v>156.20000000000002</v>
      </c>
      <c r="BS187" s="752">
        <f t="shared" si="194"/>
        <v>156.20000000000002</v>
      </c>
      <c r="BT187" s="69"/>
      <c r="BU187" s="1450">
        <f t="shared" ref="BU187:BV187" si="195">BU30</f>
        <v>156.69999999999999</v>
      </c>
      <c r="BV187" s="1343">
        <f t="shared" si="195"/>
        <v>159.5</v>
      </c>
      <c r="BW187" s="1343">
        <f>BW30</f>
        <v>157.69999999999999</v>
      </c>
      <c r="BX187" s="1343">
        <f t="shared" ref="BX187:BY187" si="196">BX30</f>
        <v>177.4</v>
      </c>
      <c r="BY187" s="752">
        <f t="shared" si="196"/>
        <v>177.4</v>
      </c>
      <c r="BZ187" s="69"/>
      <c r="CA187" s="1450">
        <f t="shared" ref="CA187:CB187" si="197">CA30</f>
        <v>207.2</v>
      </c>
      <c r="CB187" s="1343">
        <f t="shared" si="197"/>
        <v>192.3</v>
      </c>
      <c r="CC187" s="1343">
        <f>CC30</f>
        <v>199.7</v>
      </c>
      <c r="CD187" s="1343">
        <f t="shared" ref="CD187:CE187" si="198">CD30</f>
        <v>199</v>
      </c>
      <c r="CE187" s="752">
        <f t="shared" si="198"/>
        <v>199</v>
      </c>
      <c r="CF187" s="69"/>
      <c r="CG187" s="1450">
        <f t="shared" ref="CG187:CH187" si="199">CG30</f>
        <v>208.7</v>
      </c>
      <c r="CH187" s="1343">
        <f t="shared" si="199"/>
        <v>225.5</v>
      </c>
      <c r="CI187" s="1343">
        <f>CI30</f>
        <v>227.6</v>
      </c>
      <c r="CJ187" s="1343">
        <f t="shared" ref="CJ187:CK187" si="200">CJ30</f>
        <v>274.89999999999998</v>
      </c>
      <c r="CK187" s="752">
        <f t="shared" si="200"/>
        <v>274.89999999999998</v>
      </c>
      <c r="CL187" s="69"/>
      <c r="CM187" s="1450">
        <f t="shared" ref="CM187:CN187" si="201">CM30</f>
        <v>274.89999999999998</v>
      </c>
      <c r="CN187" s="1343">
        <f t="shared" si="201"/>
        <v>274.89999999999998</v>
      </c>
      <c r="CO187" s="1343">
        <f>CO30</f>
        <v>274.89999999999998</v>
      </c>
      <c r="CP187" s="1343">
        <f t="shared" ref="CP187:CQ187" si="202">CP30</f>
        <v>274.89999999999998</v>
      </c>
      <c r="CQ187" s="752">
        <f t="shared" si="202"/>
        <v>274.89999999999998</v>
      </c>
      <c r="CR187" s="69"/>
      <c r="CS187" s="1450">
        <f t="shared" ref="CS187:CT187" si="203">CS30</f>
        <v>274.89999999999998</v>
      </c>
      <c r="CT187" s="1343">
        <f t="shared" si="203"/>
        <v>274.89999999999998</v>
      </c>
      <c r="CU187" s="1343">
        <f>CU30</f>
        <v>274.89999999999998</v>
      </c>
      <c r="CV187" s="1343">
        <f t="shared" ref="CV187:CW187" si="204">CV30</f>
        <v>274.89999999999998</v>
      </c>
      <c r="CW187" s="752">
        <f t="shared" si="204"/>
        <v>274.89999999999998</v>
      </c>
      <c r="CX187" s="69"/>
      <c r="CY187" s="1450">
        <f t="shared" ref="CY187:CZ187" si="205">CY30</f>
        <v>274.89999999999998</v>
      </c>
      <c r="CZ187" s="1343">
        <f t="shared" si="205"/>
        <v>274.89999999999998</v>
      </c>
      <c r="DA187" s="1343">
        <f>DA30</f>
        <v>274.89999999999998</v>
      </c>
      <c r="DB187" s="1343">
        <f t="shared" ref="DB187:DC187" si="206">DB30</f>
        <v>274.89999999999998</v>
      </c>
      <c r="DC187" s="752">
        <f t="shared" si="206"/>
        <v>274.89999999999998</v>
      </c>
      <c r="DD187" s="69"/>
      <c r="DE187" s="1450">
        <f t="shared" ref="DE187:DF187" si="207">DE30</f>
        <v>274.89999999999998</v>
      </c>
      <c r="DF187" s="1343">
        <f t="shared" si="207"/>
        <v>274.89999999999998</v>
      </c>
      <c r="DG187" s="1343">
        <f>DG30</f>
        <v>274.89999999999998</v>
      </c>
      <c r="DH187" s="1343">
        <f t="shared" ref="DH187:DI187" si="208">DH30</f>
        <v>274.89999999999998</v>
      </c>
      <c r="DI187" s="752">
        <f t="shared" si="208"/>
        <v>274.89999999999998</v>
      </c>
    </row>
    <row r="188" spans="1:113">
      <c r="A188" s="755" t="s">
        <v>559</v>
      </c>
      <c r="B188" s="278"/>
      <c r="C188" s="278"/>
      <c r="D188" s="278"/>
      <c r="E188" s="278"/>
      <c r="F188" s="278"/>
      <c r="G188" s="278"/>
      <c r="H188" s="278"/>
      <c r="I188" s="278"/>
      <c r="J188" s="278"/>
      <c r="K188" s="278"/>
      <c r="L188" s="278"/>
      <c r="M188" s="278"/>
      <c r="N188" s="278"/>
      <c r="O188" s="278"/>
      <c r="P188" s="278"/>
      <c r="Q188" s="278"/>
      <c r="R188" s="278"/>
      <c r="S188" s="278"/>
      <c r="T188" s="278"/>
      <c r="U188" s="278"/>
      <c r="V188" s="278"/>
      <c r="W188" s="278"/>
      <c r="X188" s="278"/>
      <c r="Y188" s="1434"/>
      <c r="Z188" s="585"/>
      <c r="AA188" s="585"/>
      <c r="AB188" s="585"/>
      <c r="AC188" s="732"/>
      <c r="AD188" s="69"/>
      <c r="AE188" s="1434"/>
      <c r="AF188" s="585"/>
      <c r="AG188" s="585"/>
      <c r="AH188" s="585"/>
      <c r="AI188" s="732"/>
      <c r="AJ188" s="69"/>
      <c r="AK188" s="1434"/>
      <c r="AL188" s="585"/>
      <c r="AM188" s="585"/>
      <c r="AN188" s="585"/>
      <c r="AO188" s="732"/>
      <c r="AP188" s="69"/>
      <c r="AQ188" s="1434"/>
      <c r="AR188" s="585"/>
      <c r="AS188" s="585"/>
      <c r="AT188" s="585"/>
      <c r="AU188" s="732"/>
      <c r="AV188" s="69"/>
      <c r="AW188" s="1434"/>
      <c r="AX188" s="585"/>
      <c r="AY188" s="585"/>
      <c r="AZ188" s="585"/>
      <c r="BA188" s="732"/>
      <c r="BB188" s="69"/>
      <c r="BC188" s="1434"/>
      <c r="BD188" s="585"/>
      <c r="BE188" s="585"/>
      <c r="BF188" s="585"/>
      <c r="BG188" s="732"/>
      <c r="BH188" s="69"/>
      <c r="BI188" s="1434"/>
      <c r="BJ188" s="585"/>
      <c r="BK188" s="585"/>
      <c r="BL188" s="585"/>
      <c r="BM188" s="732"/>
      <c r="BN188" s="69"/>
      <c r="BO188" s="1434"/>
      <c r="BP188" s="585"/>
      <c r="BQ188" s="585"/>
      <c r="BR188" s="585"/>
      <c r="BS188" s="732"/>
      <c r="BT188" s="69"/>
      <c r="BU188" s="1434"/>
      <c r="BV188" s="585"/>
      <c r="BW188" s="585"/>
      <c r="BX188" s="585"/>
      <c r="BY188" s="732"/>
      <c r="BZ188" s="69"/>
      <c r="CA188" s="1434"/>
      <c r="CB188" s="585"/>
      <c r="CC188" s="585"/>
      <c r="CD188" s="585"/>
      <c r="CE188" s="732"/>
      <c r="CF188" s="69"/>
      <c r="CG188" s="1434"/>
      <c r="CH188" s="585"/>
      <c r="CI188" s="585"/>
      <c r="CJ188" s="585"/>
      <c r="CK188" s="732"/>
      <c r="CL188" s="69"/>
      <c r="CM188" s="1434"/>
      <c r="CN188" s="585"/>
      <c r="CO188" s="585"/>
      <c r="CP188" s="585"/>
      <c r="CQ188" s="732"/>
      <c r="CR188" s="69"/>
      <c r="CS188" s="1434"/>
      <c r="CT188" s="585"/>
      <c r="CU188" s="585"/>
      <c r="CV188" s="585"/>
      <c r="CW188" s="732"/>
      <c r="CX188" s="69"/>
      <c r="CY188" s="1434"/>
      <c r="CZ188" s="585"/>
      <c r="DA188" s="585"/>
      <c r="DB188" s="585"/>
      <c r="DC188" s="732"/>
      <c r="DD188" s="69"/>
      <c r="DE188" s="1434"/>
      <c r="DF188" s="585"/>
      <c r="DG188" s="585"/>
      <c r="DH188" s="585"/>
      <c r="DI188" s="732"/>
    </row>
    <row r="189" spans="1:113">
      <c r="A189" s="771" t="s">
        <v>560</v>
      </c>
      <c r="B189" s="278"/>
      <c r="C189" s="278"/>
      <c r="D189" s="278"/>
      <c r="E189" s="278"/>
      <c r="F189" s="278"/>
      <c r="G189" s="278"/>
      <c r="H189" s="278"/>
      <c r="I189" s="278"/>
      <c r="J189" s="278"/>
      <c r="K189" s="278"/>
      <c r="L189" s="278"/>
      <c r="M189" s="278"/>
      <c r="N189" s="278"/>
      <c r="O189" s="278"/>
      <c r="P189" s="278"/>
      <c r="Q189" s="278"/>
      <c r="R189" s="278"/>
      <c r="S189" s="278"/>
      <c r="T189" s="278"/>
      <c r="U189" s="278"/>
      <c r="V189" s="278"/>
      <c r="W189" s="278"/>
      <c r="X189" s="278"/>
      <c r="Y189" s="1434"/>
      <c r="Z189" s="585"/>
      <c r="AA189" s="585"/>
      <c r="AB189" s="585"/>
      <c r="AC189" s="732"/>
      <c r="AD189" s="69"/>
      <c r="AE189" s="1434"/>
      <c r="AF189" s="585"/>
      <c r="AG189" s="585"/>
      <c r="AH189" s="585"/>
      <c r="AI189" s="732"/>
      <c r="AJ189" s="69"/>
      <c r="AK189" s="1434"/>
      <c r="AL189" s="585"/>
      <c r="AM189" s="585"/>
      <c r="AN189" s="585"/>
      <c r="AO189" s="732"/>
      <c r="AP189" s="69"/>
      <c r="AQ189" s="1434"/>
      <c r="AR189" s="585"/>
      <c r="AS189" s="585"/>
      <c r="AT189" s="585"/>
      <c r="AU189" s="732"/>
      <c r="AV189" s="69"/>
      <c r="AW189" s="1434"/>
      <c r="AX189" s="585"/>
      <c r="AY189" s="585"/>
      <c r="AZ189" s="585"/>
      <c r="BA189" s="732"/>
      <c r="BB189" s="69"/>
      <c r="BC189" s="1434"/>
      <c r="BD189" s="585"/>
      <c r="BE189" s="585"/>
      <c r="BF189" s="585"/>
      <c r="BG189" s="732"/>
      <c r="BH189" s="69"/>
      <c r="BI189" s="1434"/>
      <c r="BJ189" s="585"/>
      <c r="BK189" s="585"/>
      <c r="BL189" s="585"/>
      <c r="BM189" s="732"/>
      <c r="BN189" s="69"/>
      <c r="BO189" s="1434"/>
      <c r="BP189" s="585"/>
      <c r="BQ189" s="585"/>
      <c r="BR189" s="585"/>
      <c r="BS189" s="732"/>
      <c r="BT189" s="69"/>
      <c r="BU189" s="1434"/>
      <c r="BV189" s="585"/>
      <c r="BW189" s="585"/>
      <c r="BX189" s="585"/>
      <c r="BY189" s="732"/>
      <c r="BZ189" s="69"/>
      <c r="CA189" s="1434"/>
      <c r="CB189" s="585"/>
      <c r="CC189" s="585"/>
      <c r="CD189" s="585"/>
      <c r="CE189" s="732"/>
      <c r="CF189" s="69"/>
      <c r="CG189" s="1434"/>
      <c r="CH189" s="585"/>
      <c r="CI189" s="585"/>
      <c r="CJ189" s="585"/>
      <c r="CK189" s="732"/>
      <c r="CL189" s="69"/>
      <c r="CM189" s="1434"/>
      <c r="CN189" s="585"/>
      <c r="CO189" s="585"/>
      <c r="CP189" s="585"/>
      <c r="CQ189" s="732"/>
      <c r="CR189" s="69"/>
      <c r="CS189" s="1434"/>
      <c r="CT189" s="585"/>
      <c r="CU189" s="585"/>
      <c r="CV189" s="585"/>
      <c r="CW189" s="732"/>
      <c r="CX189" s="69"/>
      <c r="CY189" s="1434"/>
      <c r="CZ189" s="585"/>
      <c r="DA189" s="585"/>
      <c r="DB189" s="585"/>
      <c r="DC189" s="732"/>
      <c r="DD189" s="69"/>
      <c r="DE189" s="1434"/>
      <c r="DF189" s="585"/>
      <c r="DG189" s="585"/>
      <c r="DH189" s="585"/>
      <c r="DI189" s="732"/>
    </row>
    <row r="190" spans="1:113">
      <c r="A190" s="69" t="s">
        <v>561</v>
      </c>
      <c r="B190" s="278"/>
      <c r="C190" s="278"/>
      <c r="D190" s="278"/>
      <c r="E190" s="278"/>
      <c r="F190" s="278"/>
      <c r="G190" s="278"/>
      <c r="H190" s="278"/>
      <c r="I190" s="278"/>
      <c r="J190" s="278"/>
      <c r="K190" s="278"/>
      <c r="L190" s="278"/>
      <c r="M190" s="278"/>
      <c r="N190" s="278"/>
      <c r="O190" s="278"/>
      <c r="P190" s="278"/>
      <c r="Q190" s="278"/>
      <c r="R190" s="278"/>
      <c r="S190" s="278"/>
      <c r="T190" s="278"/>
      <c r="U190" s="278"/>
      <c r="V190" s="278"/>
      <c r="W190" s="278"/>
      <c r="X190" s="278"/>
      <c r="Y190" s="1450">
        <f>Y41</f>
        <v>0</v>
      </c>
      <c r="Z190" s="1343">
        <f t="shared" ref="Z190:AC190" si="209">Z41</f>
        <v>0</v>
      </c>
      <c r="AA190" s="1343">
        <f t="shared" si="209"/>
        <v>0</v>
      </c>
      <c r="AB190" s="1343">
        <f t="shared" si="209"/>
        <v>0</v>
      </c>
      <c r="AC190" s="752">
        <f t="shared" si="209"/>
        <v>0</v>
      </c>
      <c r="AD190" s="69"/>
      <c r="AE190" s="1450">
        <f>AE41</f>
        <v>0.67200000000000004</v>
      </c>
      <c r="AF190" s="1343">
        <f t="shared" ref="AF190:AI190" si="210">AF41</f>
        <v>0.753</v>
      </c>
      <c r="AG190" s="1343">
        <f t="shared" si="210"/>
        <v>0.81</v>
      </c>
      <c r="AH190" s="1343">
        <f t="shared" si="210"/>
        <v>0.8</v>
      </c>
      <c r="AI190" s="752">
        <f t="shared" si="210"/>
        <v>0.8</v>
      </c>
      <c r="AJ190" s="69"/>
      <c r="AK190" s="1450">
        <f>AK41</f>
        <v>0.8</v>
      </c>
      <c r="AL190" s="1343">
        <f t="shared" ref="AL190:AO190" si="211">AL41</f>
        <v>1.2</v>
      </c>
      <c r="AM190" s="1343">
        <f t="shared" si="211"/>
        <v>0.8</v>
      </c>
      <c r="AN190" s="1343">
        <f t="shared" si="211"/>
        <v>1.6</v>
      </c>
      <c r="AO190" s="752">
        <f t="shared" si="211"/>
        <v>1.6</v>
      </c>
      <c r="AP190" s="69"/>
      <c r="AQ190" s="1450">
        <f>AQ41</f>
        <v>1.6</v>
      </c>
      <c r="AR190" s="1343">
        <f t="shared" ref="AR190:AU190" si="212">AR41</f>
        <v>1.7</v>
      </c>
      <c r="AS190" s="1343">
        <f t="shared" si="212"/>
        <v>2.2000000000000002</v>
      </c>
      <c r="AT190" s="1343">
        <f t="shared" si="212"/>
        <v>2.7</v>
      </c>
      <c r="AU190" s="752">
        <f t="shared" si="212"/>
        <v>2.7</v>
      </c>
      <c r="AV190" s="69"/>
      <c r="AW190" s="1450">
        <f>AW41</f>
        <v>3.2</v>
      </c>
      <c r="AX190" s="1343">
        <f t="shared" ref="AX190:BA190" si="213">AX41</f>
        <v>3.4</v>
      </c>
      <c r="AY190" s="1343">
        <f t="shared" si="213"/>
        <v>3.6</v>
      </c>
      <c r="AZ190" s="1343">
        <f t="shared" si="213"/>
        <v>3.4</v>
      </c>
      <c r="BA190" s="752">
        <f t="shared" si="213"/>
        <v>3.4</v>
      </c>
      <c r="BB190" s="69"/>
      <c r="BC190" s="1450">
        <f>BC41</f>
        <v>3.5</v>
      </c>
      <c r="BD190" s="1343">
        <f t="shared" ref="BD190:BG190" si="214">BD41</f>
        <v>2.9</v>
      </c>
      <c r="BE190" s="1343">
        <f t="shared" si="214"/>
        <v>3</v>
      </c>
      <c r="BF190" s="1343">
        <f t="shared" si="214"/>
        <v>3.1</v>
      </c>
      <c r="BG190" s="752">
        <f t="shared" si="214"/>
        <v>3.1</v>
      </c>
      <c r="BH190" s="69"/>
      <c r="BI190" s="1450">
        <f>BI41</f>
        <v>3.4</v>
      </c>
      <c r="BJ190" s="1343">
        <f t="shared" ref="BJ190:BM190" si="215">BJ41</f>
        <v>3.8</v>
      </c>
      <c r="BK190" s="1343">
        <f t="shared" si="215"/>
        <v>3.5</v>
      </c>
      <c r="BL190" s="1343">
        <f t="shared" si="215"/>
        <v>4.0999999999999996</v>
      </c>
      <c r="BM190" s="752">
        <f t="shared" si="215"/>
        <v>4.0999999999999996</v>
      </c>
      <c r="BN190" s="69"/>
      <c r="BO190" s="1450">
        <f>BO41</f>
        <v>5.7</v>
      </c>
      <c r="BP190" s="1343">
        <f t="shared" ref="BP190:BS190" si="216">BP41</f>
        <v>5.0999999999999996</v>
      </c>
      <c r="BQ190" s="1343">
        <f t="shared" si="216"/>
        <v>5.6</v>
      </c>
      <c r="BR190" s="1343">
        <f t="shared" si="216"/>
        <v>5.8</v>
      </c>
      <c r="BS190" s="752">
        <f t="shared" si="216"/>
        <v>5.8</v>
      </c>
      <c r="BT190" s="69"/>
      <c r="BU190" s="1450">
        <f>BU41</f>
        <v>5.8</v>
      </c>
      <c r="BV190" s="1343">
        <f t="shared" ref="BV190:BY190" si="217">BV41</f>
        <v>6.6</v>
      </c>
      <c r="BW190" s="1343">
        <f t="shared" si="217"/>
        <v>7.7</v>
      </c>
      <c r="BX190" s="1343">
        <f t="shared" si="217"/>
        <v>6.8</v>
      </c>
      <c r="BY190" s="752">
        <f t="shared" si="217"/>
        <v>6.8</v>
      </c>
      <c r="BZ190" s="69"/>
      <c r="CA190" s="1450">
        <f>CA41</f>
        <v>7</v>
      </c>
      <c r="CB190" s="1343">
        <f t="shared" ref="CB190:CE190" si="218">CB41</f>
        <v>7.1</v>
      </c>
      <c r="CC190" s="1343">
        <f t="shared" si="218"/>
        <v>7</v>
      </c>
      <c r="CD190" s="1343">
        <f t="shared" si="218"/>
        <v>6.7</v>
      </c>
      <c r="CE190" s="752">
        <f t="shared" si="218"/>
        <v>6.7</v>
      </c>
      <c r="CF190" s="69"/>
      <c r="CG190" s="1450">
        <f>CG41</f>
        <v>6.9</v>
      </c>
      <c r="CH190" s="1343">
        <f t="shared" ref="CH190:CK190" si="219">CH41</f>
        <v>7.4</v>
      </c>
      <c r="CI190" s="1343">
        <f t="shared" si="219"/>
        <v>8.1</v>
      </c>
      <c r="CJ190" s="1343">
        <f t="shared" si="219"/>
        <v>8.1</v>
      </c>
      <c r="CK190" s="752">
        <f t="shared" si="219"/>
        <v>8.1</v>
      </c>
      <c r="CL190" s="69"/>
      <c r="CM190" s="1450">
        <f>CM41</f>
        <v>8.5</v>
      </c>
      <c r="CN190" s="1343">
        <f t="shared" ref="CN190:CQ190" si="220">CN41</f>
        <v>8.9</v>
      </c>
      <c r="CO190" s="1343">
        <f t="shared" si="220"/>
        <v>9.3000000000000007</v>
      </c>
      <c r="CP190" s="1343">
        <f t="shared" si="220"/>
        <v>9.7000000000000011</v>
      </c>
      <c r="CQ190" s="752">
        <f t="shared" si="220"/>
        <v>9.7000000000000011</v>
      </c>
      <c r="CR190" s="69"/>
      <c r="CS190" s="1450">
        <f>CS41</f>
        <v>10.100000000000001</v>
      </c>
      <c r="CT190" s="1343">
        <f t="shared" ref="CT190:CW190" si="221">CT41</f>
        <v>10.500000000000002</v>
      </c>
      <c r="CU190" s="1343">
        <f t="shared" si="221"/>
        <v>10.900000000000002</v>
      </c>
      <c r="CV190" s="1343">
        <f t="shared" si="221"/>
        <v>11.300000000000002</v>
      </c>
      <c r="CW190" s="752">
        <f t="shared" si="221"/>
        <v>11.300000000000002</v>
      </c>
      <c r="CX190" s="69"/>
      <c r="CY190" s="1450">
        <f>CY41</f>
        <v>11.700000000000003</v>
      </c>
      <c r="CZ190" s="1343">
        <f t="shared" ref="CZ190:DC190" si="222">CZ41</f>
        <v>12.100000000000003</v>
      </c>
      <c r="DA190" s="1343">
        <f t="shared" si="222"/>
        <v>12.500000000000004</v>
      </c>
      <c r="DB190" s="1343">
        <f t="shared" si="222"/>
        <v>12.900000000000004</v>
      </c>
      <c r="DC190" s="752">
        <f t="shared" si="222"/>
        <v>12.900000000000004</v>
      </c>
      <c r="DD190" s="69"/>
      <c r="DE190" s="1450">
        <f>DE41</f>
        <v>13.300000000000004</v>
      </c>
      <c r="DF190" s="1343">
        <f t="shared" ref="DF190:DI190" si="223">DF41</f>
        <v>13.700000000000005</v>
      </c>
      <c r="DG190" s="1343">
        <f t="shared" si="223"/>
        <v>14.100000000000005</v>
      </c>
      <c r="DH190" s="1343">
        <f t="shared" si="223"/>
        <v>14.500000000000005</v>
      </c>
      <c r="DI190" s="752">
        <f t="shared" si="223"/>
        <v>14.500000000000005</v>
      </c>
    </row>
    <row r="191" spans="1:113">
      <c r="A191" s="69" t="s">
        <v>562</v>
      </c>
      <c r="B191" s="278"/>
      <c r="C191" s="278"/>
      <c r="D191" s="278"/>
      <c r="E191" s="278"/>
      <c r="F191" s="278"/>
      <c r="G191" s="278"/>
      <c r="H191" s="278"/>
      <c r="I191" s="278"/>
      <c r="J191" s="278"/>
      <c r="K191" s="278"/>
      <c r="L191" s="278"/>
      <c r="M191" s="278"/>
      <c r="N191" s="278"/>
      <c r="O191" s="278"/>
      <c r="P191" s="278"/>
      <c r="Q191" s="278"/>
      <c r="R191" s="278"/>
      <c r="S191" s="278"/>
      <c r="T191" s="278"/>
      <c r="U191" s="278"/>
      <c r="V191" s="278"/>
      <c r="W191" s="278"/>
      <c r="X191" s="278"/>
      <c r="Y191" s="1450">
        <f t="shared" ref="Y191:Z191" si="224">Y32</f>
        <v>0</v>
      </c>
      <c r="Z191" s="1343">
        <f t="shared" si="224"/>
        <v>0</v>
      </c>
      <c r="AA191" s="1343">
        <f>AA32</f>
        <v>0</v>
      </c>
      <c r="AB191" s="1343">
        <f t="shared" ref="AB191:AC191" si="225">AB32</f>
        <v>0</v>
      </c>
      <c r="AC191" s="752">
        <f t="shared" si="225"/>
        <v>0</v>
      </c>
      <c r="AD191" s="69"/>
      <c r="AE191" s="1450">
        <f t="shared" ref="AE191:AF191" si="226">AE32</f>
        <v>0</v>
      </c>
      <c r="AF191" s="1343">
        <f t="shared" si="226"/>
        <v>0</v>
      </c>
      <c r="AG191" s="1343">
        <f>AG32</f>
        <v>0</v>
      </c>
      <c r="AH191" s="1343">
        <f t="shared" ref="AH191:AI191" si="227">AH32</f>
        <v>0</v>
      </c>
      <c r="AI191" s="752">
        <f t="shared" si="227"/>
        <v>0</v>
      </c>
      <c r="AJ191" s="69"/>
      <c r="AK191" s="1450">
        <f t="shared" ref="AK191:AL191" si="228">AK32</f>
        <v>0</v>
      </c>
      <c r="AL191" s="1343">
        <f t="shared" si="228"/>
        <v>0</v>
      </c>
      <c r="AM191" s="1343">
        <f>AM32</f>
        <v>0</v>
      </c>
      <c r="AN191" s="1343">
        <f t="shared" ref="AN191:AO191" si="229">AN32</f>
        <v>0</v>
      </c>
      <c r="AO191" s="752">
        <f t="shared" si="229"/>
        <v>0</v>
      </c>
      <c r="AP191" s="69"/>
      <c r="AQ191" s="1450">
        <f t="shared" ref="AQ191:AR191" si="230">AQ32</f>
        <v>0</v>
      </c>
      <c r="AR191" s="1343">
        <f t="shared" si="230"/>
        <v>0</v>
      </c>
      <c r="AS191" s="1343">
        <f>AS32</f>
        <v>0</v>
      </c>
      <c r="AT191" s="1343">
        <f t="shared" ref="AT191:AU191" si="231">AT32</f>
        <v>0</v>
      </c>
      <c r="AU191" s="752">
        <f t="shared" si="231"/>
        <v>0</v>
      </c>
      <c r="AV191" s="69"/>
      <c r="AW191" s="1450">
        <f t="shared" ref="AW191:AX191" si="232">AW32</f>
        <v>0</v>
      </c>
      <c r="AX191" s="1343">
        <f t="shared" si="232"/>
        <v>0</v>
      </c>
      <c r="AY191" s="1343">
        <f>AY32</f>
        <v>0</v>
      </c>
      <c r="AZ191" s="1343">
        <f t="shared" ref="AZ191:BA191" si="233">AZ32</f>
        <v>0</v>
      </c>
      <c r="BA191" s="752">
        <f t="shared" si="233"/>
        <v>0</v>
      </c>
      <c r="BB191" s="69"/>
      <c r="BC191" s="1450">
        <f t="shared" ref="BC191:BD191" si="234">BC32</f>
        <v>0</v>
      </c>
      <c r="BD191" s="1343">
        <f t="shared" si="234"/>
        <v>0</v>
      </c>
      <c r="BE191" s="1343">
        <f>BE32</f>
        <v>0</v>
      </c>
      <c r="BF191" s="1343">
        <f t="shared" ref="BF191:BG191" si="235">BF32</f>
        <v>0</v>
      </c>
      <c r="BG191" s="752">
        <f t="shared" si="235"/>
        <v>0</v>
      </c>
      <c r="BH191" s="69"/>
      <c r="BI191" s="1450">
        <f t="shared" ref="BI191:BJ191" si="236">BI32</f>
        <v>0</v>
      </c>
      <c r="BJ191" s="1343">
        <f t="shared" si="236"/>
        <v>0</v>
      </c>
      <c r="BK191" s="1343">
        <f>BK32</f>
        <v>0</v>
      </c>
      <c r="BL191" s="1343">
        <f t="shared" ref="BL191:BM191" si="237">BL32</f>
        <v>0</v>
      </c>
      <c r="BM191" s="752">
        <f t="shared" si="237"/>
        <v>0</v>
      </c>
      <c r="BN191" s="69"/>
      <c r="BO191" s="1450">
        <f t="shared" ref="BO191:BP191" si="238">BO32</f>
        <v>0</v>
      </c>
      <c r="BP191" s="1343">
        <f t="shared" si="238"/>
        <v>0</v>
      </c>
      <c r="BQ191" s="1343">
        <f>BQ32</f>
        <v>0</v>
      </c>
      <c r="BR191" s="1343">
        <f t="shared" ref="BR191:BS191" si="239">BR32</f>
        <v>0</v>
      </c>
      <c r="BS191" s="752">
        <f t="shared" si="239"/>
        <v>0</v>
      </c>
      <c r="BT191" s="69"/>
      <c r="BU191" s="1450">
        <f t="shared" ref="BU191:BV191" si="240">BU32</f>
        <v>0</v>
      </c>
      <c r="BV191" s="1343">
        <f t="shared" si="240"/>
        <v>0</v>
      </c>
      <c r="BW191" s="1343">
        <f>BW32</f>
        <v>0</v>
      </c>
      <c r="BX191" s="1343">
        <f t="shared" ref="BX191:BY191" si="241">BX32</f>
        <v>0</v>
      </c>
      <c r="BY191" s="752">
        <f t="shared" si="241"/>
        <v>0</v>
      </c>
      <c r="BZ191" s="69"/>
      <c r="CA191" s="1450">
        <f t="shared" ref="CA191:CB191" si="242">CA32</f>
        <v>0</v>
      </c>
      <c r="CB191" s="1343">
        <f t="shared" si="242"/>
        <v>0</v>
      </c>
      <c r="CC191" s="1343">
        <f>CC32</f>
        <v>0</v>
      </c>
      <c r="CD191" s="1343">
        <f t="shared" ref="CD191:CE191" si="243">CD32</f>
        <v>0</v>
      </c>
      <c r="CE191" s="752">
        <f t="shared" si="243"/>
        <v>0</v>
      </c>
      <c r="CF191" s="69"/>
      <c r="CG191" s="1450">
        <f t="shared" ref="CG191:CH191" si="244">CG32</f>
        <v>0</v>
      </c>
      <c r="CH191" s="1343">
        <f t="shared" si="244"/>
        <v>0</v>
      </c>
      <c r="CI191" s="1343">
        <f>CI32</f>
        <v>0</v>
      </c>
      <c r="CJ191" s="1343">
        <f t="shared" ref="CJ191:CK191" si="245">CJ32</f>
        <v>0</v>
      </c>
      <c r="CK191" s="752">
        <f t="shared" si="245"/>
        <v>0</v>
      </c>
      <c r="CL191" s="69"/>
      <c r="CM191" s="1450">
        <f t="shared" ref="CM191:CN191" si="246">CM32</f>
        <v>0</v>
      </c>
      <c r="CN191" s="1343">
        <f t="shared" si="246"/>
        <v>0</v>
      </c>
      <c r="CO191" s="1343">
        <f>CO32</f>
        <v>0</v>
      </c>
      <c r="CP191" s="1343">
        <f t="shared" ref="CP191:CQ191" si="247">CP32</f>
        <v>0</v>
      </c>
      <c r="CQ191" s="752">
        <f t="shared" si="247"/>
        <v>0</v>
      </c>
      <c r="CR191" s="69"/>
      <c r="CS191" s="1450">
        <f t="shared" ref="CS191:CT191" si="248">CS32</f>
        <v>0</v>
      </c>
      <c r="CT191" s="1343">
        <f t="shared" si="248"/>
        <v>0</v>
      </c>
      <c r="CU191" s="1343">
        <f>CU32</f>
        <v>0</v>
      </c>
      <c r="CV191" s="1343">
        <f t="shared" ref="CV191:CW191" si="249">CV32</f>
        <v>0</v>
      </c>
      <c r="CW191" s="752">
        <f t="shared" si="249"/>
        <v>0</v>
      </c>
      <c r="CX191" s="69"/>
      <c r="CY191" s="1450">
        <f t="shared" ref="CY191:CZ191" si="250">CY32</f>
        <v>0</v>
      </c>
      <c r="CZ191" s="1343">
        <f t="shared" si="250"/>
        <v>0</v>
      </c>
      <c r="DA191" s="1343">
        <f>DA32</f>
        <v>0</v>
      </c>
      <c r="DB191" s="1343">
        <f t="shared" ref="DB191:DC191" si="251">DB32</f>
        <v>0</v>
      </c>
      <c r="DC191" s="752">
        <f t="shared" si="251"/>
        <v>0</v>
      </c>
      <c r="DD191" s="69"/>
      <c r="DE191" s="1450">
        <f t="shared" ref="DE191:DF191" si="252">DE32</f>
        <v>0</v>
      </c>
      <c r="DF191" s="1343">
        <f t="shared" si="252"/>
        <v>0</v>
      </c>
      <c r="DG191" s="1343">
        <f>DG32</f>
        <v>0</v>
      </c>
      <c r="DH191" s="1343">
        <f t="shared" ref="DH191:DI191" si="253">DH32</f>
        <v>0</v>
      </c>
      <c r="DI191" s="752">
        <f t="shared" si="253"/>
        <v>0</v>
      </c>
    </row>
    <row r="192" spans="1:113">
      <c r="A192" s="69" t="s">
        <v>370</v>
      </c>
      <c r="B192" s="278"/>
      <c r="C192" s="278"/>
      <c r="D192" s="278"/>
      <c r="E192" s="278"/>
      <c r="F192" s="278"/>
      <c r="G192" s="278"/>
      <c r="H192" s="278"/>
      <c r="I192" s="278"/>
      <c r="J192" s="278"/>
      <c r="K192" s="278"/>
      <c r="L192" s="278"/>
      <c r="M192" s="278"/>
      <c r="N192" s="278"/>
      <c r="O192" s="278"/>
      <c r="P192" s="278"/>
      <c r="Q192" s="278"/>
      <c r="R192" s="278"/>
      <c r="S192" s="278"/>
      <c r="T192" s="278"/>
      <c r="U192" s="278"/>
      <c r="V192" s="278"/>
      <c r="W192" s="278"/>
      <c r="X192" s="278"/>
      <c r="Y192" s="1450">
        <f t="shared" ref="Y192:Z192" si="254">Y42</f>
        <v>214.578</v>
      </c>
      <c r="Z192" s="1343">
        <f t="shared" si="254"/>
        <v>221.65</v>
      </c>
      <c r="AA192" s="1343">
        <f>AA42</f>
        <v>238.51600000000002</v>
      </c>
      <c r="AB192" s="1343">
        <f t="shared" ref="AB192:AC192" si="255">AB42</f>
        <v>635</v>
      </c>
      <c r="AC192" s="752">
        <f t="shared" si="255"/>
        <v>635</v>
      </c>
      <c r="AD192" s="69"/>
      <c r="AE192" s="1450">
        <f t="shared" ref="AE192:AF192" si="256">AE42</f>
        <v>290.38499999999999</v>
      </c>
      <c r="AF192" s="1343">
        <f t="shared" si="256"/>
        <v>309.58199999999999</v>
      </c>
      <c r="AG192" s="1343">
        <f>AG42</f>
        <v>295.18</v>
      </c>
      <c r="AH192" s="1343">
        <f t="shared" ref="AH192:AI192" si="257">AH42</f>
        <v>312.7</v>
      </c>
      <c r="AI192" s="752">
        <f t="shared" si="257"/>
        <v>312.7</v>
      </c>
      <c r="AJ192" s="69"/>
      <c r="AK192" s="1450">
        <f t="shared" ref="AK192:AL192" si="258">AK42</f>
        <v>297.8</v>
      </c>
      <c r="AL192" s="1343">
        <f t="shared" si="258"/>
        <v>336.5</v>
      </c>
      <c r="AM192" s="1343">
        <f>AM42</f>
        <v>373.5</v>
      </c>
      <c r="AN192" s="1343">
        <f t="shared" ref="AN192:AO192" si="259">AN42</f>
        <v>418.8</v>
      </c>
      <c r="AO192" s="752">
        <f t="shared" si="259"/>
        <v>418.8</v>
      </c>
      <c r="AP192" s="69"/>
      <c r="AQ192" s="1450">
        <f t="shared" ref="AQ192:AR192" si="260">AQ42</f>
        <v>417.9</v>
      </c>
      <c r="AR192" s="1343">
        <f t="shared" si="260"/>
        <v>412.59999999999997</v>
      </c>
      <c r="AS192" s="1343">
        <f>AS42</f>
        <v>493.99999999999994</v>
      </c>
      <c r="AT192" s="1343">
        <f t="shared" ref="AT192:AU192" si="261">AT42</f>
        <v>527.40000000000009</v>
      </c>
      <c r="AU192" s="752">
        <f t="shared" si="261"/>
        <v>527.40000000000009</v>
      </c>
      <c r="AV192" s="69"/>
      <c r="AW192" s="1450">
        <f t="shared" ref="AW192:AX192" si="262">AW42</f>
        <v>571.5</v>
      </c>
      <c r="AX192" s="1343">
        <f t="shared" si="262"/>
        <v>630.79999999999995</v>
      </c>
      <c r="AY192" s="1343">
        <f>AY42</f>
        <v>603.1</v>
      </c>
      <c r="AZ192" s="1343">
        <f t="shared" ref="AZ192:BA192" si="263">AZ42</f>
        <v>624.9</v>
      </c>
      <c r="BA192" s="752">
        <f t="shared" si="263"/>
        <v>624.9</v>
      </c>
      <c r="BB192" s="69"/>
      <c r="BC192" s="1450">
        <f t="shared" ref="BC192:BD192" si="264">BC42</f>
        <v>662.1</v>
      </c>
      <c r="BD192" s="1343">
        <f t="shared" si="264"/>
        <v>641.59999999999991</v>
      </c>
      <c r="BE192" s="1343">
        <f>BE42</f>
        <v>695.69999999999993</v>
      </c>
      <c r="BF192" s="1343">
        <f t="shared" ref="BF192:BG192" si="265">BF42</f>
        <v>709.69999999999993</v>
      </c>
      <c r="BG192" s="752">
        <f t="shared" si="265"/>
        <v>709.69999999999993</v>
      </c>
      <c r="BH192" s="69"/>
      <c r="BI192" s="1450">
        <f t="shared" ref="BI192:BJ192" si="266">BI42</f>
        <v>692.6</v>
      </c>
      <c r="BJ192" s="1343">
        <f t="shared" si="266"/>
        <v>722.69999999999993</v>
      </c>
      <c r="BK192" s="1343">
        <f>BK42</f>
        <v>780.60000000000014</v>
      </c>
      <c r="BL192" s="1343">
        <f t="shared" ref="BL192:BM192" si="267">BL42</f>
        <v>850.20000000000016</v>
      </c>
      <c r="BM192" s="752">
        <f t="shared" si="267"/>
        <v>850.20000000000016</v>
      </c>
      <c r="BN192" s="69"/>
      <c r="BO192" s="1450">
        <f t="shared" ref="BO192:BP192" si="268">BO42</f>
        <v>868.3</v>
      </c>
      <c r="BP192" s="1343">
        <f t="shared" si="268"/>
        <v>885.4</v>
      </c>
      <c r="BQ192" s="1343">
        <f>BQ42</f>
        <v>813.1</v>
      </c>
      <c r="BR192" s="1343">
        <f t="shared" ref="BR192:BS192" si="269">BR42</f>
        <v>771.70000000000027</v>
      </c>
      <c r="BS192" s="752">
        <f t="shared" si="269"/>
        <v>771.70000000000027</v>
      </c>
      <c r="BT192" s="69"/>
      <c r="BU192" s="1450">
        <f t="shared" ref="BU192:BV192" si="270">BU42</f>
        <v>721.59999999999991</v>
      </c>
      <c r="BV192" s="1343">
        <f t="shared" si="270"/>
        <v>767.50000000000011</v>
      </c>
      <c r="BW192" s="1343">
        <f>BW42</f>
        <v>768</v>
      </c>
      <c r="BX192" s="1343">
        <f t="shared" ref="BX192:BY192" si="271">BX42</f>
        <v>732.9</v>
      </c>
      <c r="BY192" s="752">
        <f t="shared" si="271"/>
        <v>732.9</v>
      </c>
      <c r="BZ192" s="69"/>
      <c r="CA192" s="1450">
        <f t="shared" ref="CA192:CB192" si="272">CA42</f>
        <v>709.1</v>
      </c>
      <c r="CB192" s="1343">
        <f t="shared" si="272"/>
        <v>670.4</v>
      </c>
      <c r="CC192" s="1343">
        <f>CC42</f>
        <v>700.9</v>
      </c>
      <c r="CD192" s="1343">
        <f t="shared" ref="CD192:CE192" si="273">CD42</f>
        <v>693.10000000000025</v>
      </c>
      <c r="CE192" s="752">
        <f t="shared" si="273"/>
        <v>693.10000000000025</v>
      </c>
      <c r="CF192" s="69"/>
      <c r="CG192" s="1450">
        <f t="shared" ref="CG192:CH192" si="274">CG42</f>
        <v>731.59999999999991</v>
      </c>
      <c r="CH192" s="1343">
        <f t="shared" si="274"/>
        <v>763.09999999999991</v>
      </c>
      <c r="CI192" s="1343">
        <f>CI42</f>
        <v>739.9</v>
      </c>
      <c r="CJ192" s="1343">
        <f t="shared" ref="CJ192:CK192" si="275">CJ42</f>
        <v>733.5</v>
      </c>
      <c r="CK192" s="752">
        <f t="shared" si="275"/>
        <v>733.5</v>
      </c>
      <c r="CL192" s="69"/>
      <c r="CM192" s="1450">
        <f t="shared" ref="CM192:CN192" si="276">CM42</f>
        <v>722.052866726969</v>
      </c>
      <c r="CN192" s="1343">
        <f t="shared" si="276"/>
        <v>712.07050988174603</v>
      </c>
      <c r="CO192" s="1343">
        <f>CO42</f>
        <v>718.2319969918301</v>
      </c>
      <c r="CP192" s="1343">
        <f t="shared" ref="CP192:CQ192" si="277">CP42</f>
        <v>756.03961673704362</v>
      </c>
      <c r="CQ192" s="752">
        <f t="shared" si="277"/>
        <v>756.03961673704362</v>
      </c>
      <c r="CR192" s="69"/>
      <c r="CS192" s="1450">
        <f t="shared" ref="CS192:CT192" si="278">CS42</f>
        <v>750.1952796951108</v>
      </c>
      <c r="CT192" s="1343">
        <f t="shared" si="278"/>
        <v>747.12963912670352</v>
      </c>
      <c r="CU192" s="1343">
        <f>CU42</f>
        <v>745.16507684993326</v>
      </c>
      <c r="CV192" s="1343">
        <f t="shared" ref="CV192:CW192" si="279">CV42</f>
        <v>761.03561499418902</v>
      </c>
      <c r="CW192" s="752">
        <f t="shared" si="279"/>
        <v>761.03561499418902</v>
      </c>
      <c r="CX192" s="69"/>
      <c r="CY192" s="1450">
        <f t="shared" ref="CY192:CZ192" si="280">CY42</f>
        <v>760.39346488277215</v>
      </c>
      <c r="CZ192" s="1343">
        <f t="shared" si="280"/>
        <v>769.70377806053546</v>
      </c>
      <c r="DA192" s="1343">
        <f>DA42</f>
        <v>780.74504756272495</v>
      </c>
      <c r="DB192" s="1343">
        <f t="shared" ref="DB192:DC192" si="281">DB42</f>
        <v>809.4277310742101</v>
      </c>
      <c r="DC192" s="752">
        <f t="shared" si="281"/>
        <v>809.4277310742101</v>
      </c>
      <c r="DD192" s="69"/>
      <c r="DE192" s="1450">
        <f t="shared" ref="DE192:DF192" si="282">DE42</f>
        <v>819.28145795624687</v>
      </c>
      <c r="DF192" s="1343">
        <f t="shared" si="282"/>
        <v>827.20904088975055</v>
      </c>
      <c r="DG192" s="1343">
        <f>DG42</f>
        <v>836.92252607822024</v>
      </c>
      <c r="DH192" s="1343">
        <f t="shared" ref="DH192:DI192" si="283">DH42</f>
        <v>867.45397710956922</v>
      </c>
      <c r="DI192" s="752">
        <f t="shared" si="283"/>
        <v>867.45397710956922</v>
      </c>
    </row>
    <row r="193" spans="1:113">
      <c r="A193" s="755" t="s">
        <v>563</v>
      </c>
      <c r="B193" s="278"/>
      <c r="C193" s="278"/>
      <c r="D193" s="278"/>
      <c r="E193" s="278"/>
      <c r="F193" s="278"/>
      <c r="G193" s="278"/>
      <c r="H193" s="278"/>
      <c r="I193" s="278"/>
      <c r="J193" s="278"/>
      <c r="K193" s="278"/>
      <c r="L193" s="278"/>
      <c r="M193" s="278"/>
      <c r="N193" s="278"/>
      <c r="O193" s="278"/>
      <c r="P193" s="278"/>
      <c r="Q193" s="278"/>
      <c r="R193" s="278"/>
      <c r="S193" s="278"/>
      <c r="T193" s="278"/>
      <c r="U193" s="278"/>
      <c r="V193" s="278"/>
      <c r="W193" s="278"/>
      <c r="X193" s="278"/>
      <c r="Y193" s="1434"/>
      <c r="Z193" s="585"/>
      <c r="AA193" s="585"/>
      <c r="AB193" s="585"/>
      <c r="AC193" s="732"/>
      <c r="AD193" s="69"/>
      <c r="AE193" s="1434"/>
      <c r="AF193" s="585"/>
      <c r="AG193" s="585"/>
      <c r="AH193" s="585"/>
      <c r="AI193" s="732"/>
      <c r="AJ193" s="69"/>
      <c r="AK193" s="1434"/>
      <c r="AL193" s="585"/>
      <c r="AM193" s="585"/>
      <c r="AN193" s="585"/>
      <c r="AO193" s="732"/>
      <c r="AP193" s="69"/>
      <c r="AQ193" s="1434"/>
      <c r="AR193" s="585"/>
      <c r="AS193" s="585"/>
      <c r="AT193" s="585"/>
      <c r="AU193" s="732"/>
      <c r="AV193" s="69"/>
      <c r="AW193" s="1434"/>
      <c r="AX193" s="585"/>
      <c r="AY193" s="585"/>
      <c r="AZ193" s="585"/>
      <c r="BA193" s="732"/>
      <c r="BB193" s="69"/>
      <c r="BC193" s="1434"/>
      <c r="BD193" s="585"/>
      <c r="BE193" s="585"/>
      <c r="BF193" s="585"/>
      <c r="BG193" s="732"/>
      <c r="BH193" s="69"/>
      <c r="BI193" s="1434"/>
      <c r="BJ193" s="585"/>
      <c r="BK193" s="585"/>
      <c r="BL193" s="585"/>
      <c r="BM193" s="732"/>
      <c r="BN193" s="69"/>
      <c r="BO193" s="1434"/>
      <c r="BP193" s="585"/>
      <c r="BQ193" s="585"/>
      <c r="BR193" s="585"/>
      <c r="BS193" s="732"/>
      <c r="BT193" s="69"/>
      <c r="BU193" s="1434"/>
      <c r="BV193" s="585"/>
      <c r="BW193" s="585"/>
      <c r="BX193" s="585"/>
      <c r="BY193" s="732"/>
      <c r="BZ193" s="69"/>
      <c r="CA193" s="1434"/>
      <c r="CB193" s="585"/>
      <c r="CC193" s="585"/>
      <c r="CD193" s="585"/>
      <c r="CE193" s="732"/>
      <c r="CF193" s="69"/>
      <c r="CG193" s="1434"/>
      <c r="CH193" s="585"/>
      <c r="CI193" s="585"/>
      <c r="CJ193" s="585"/>
      <c r="CK193" s="732"/>
      <c r="CL193" s="69"/>
      <c r="CM193" s="1434"/>
      <c r="CN193" s="585"/>
      <c r="CO193" s="585"/>
      <c r="CP193" s="585"/>
      <c r="CQ193" s="732"/>
      <c r="CR193" s="69"/>
      <c r="CS193" s="1434"/>
      <c r="CT193" s="585"/>
      <c r="CU193" s="585"/>
      <c r="CV193" s="585"/>
      <c r="CW193" s="732"/>
      <c r="CX193" s="69"/>
      <c r="CY193" s="1434"/>
      <c r="CZ193" s="585"/>
      <c r="DA193" s="585"/>
      <c r="DB193" s="585"/>
      <c r="DC193" s="732"/>
      <c r="DD193" s="69"/>
      <c r="DE193" s="1434"/>
      <c r="DF193" s="585"/>
      <c r="DG193" s="585"/>
      <c r="DH193" s="585"/>
      <c r="DI193" s="732"/>
    </row>
    <row r="194" spans="1:113">
      <c r="A194" s="771" t="s">
        <v>564</v>
      </c>
      <c r="B194" s="278"/>
      <c r="C194" s="278"/>
      <c r="D194" s="278"/>
      <c r="E194" s="278"/>
      <c r="F194" s="278"/>
      <c r="G194" s="278"/>
      <c r="H194" s="278"/>
      <c r="I194" s="278"/>
      <c r="J194" s="278"/>
      <c r="K194" s="278"/>
      <c r="L194" s="278"/>
      <c r="M194" s="278"/>
      <c r="N194" s="278"/>
      <c r="O194" s="278"/>
      <c r="P194" s="278"/>
      <c r="Q194" s="278"/>
      <c r="R194" s="278"/>
      <c r="S194" s="278"/>
      <c r="T194" s="278"/>
      <c r="U194" s="278"/>
      <c r="V194" s="278"/>
      <c r="W194" s="278"/>
      <c r="X194" s="278"/>
      <c r="Y194" s="1434"/>
      <c r="Z194" s="585"/>
      <c r="AA194" s="585"/>
      <c r="AB194" s="585"/>
      <c r="AC194" s="732"/>
      <c r="AD194" s="69"/>
      <c r="AE194" s="1434"/>
      <c r="AF194" s="585"/>
      <c r="AG194" s="585"/>
      <c r="AH194" s="585"/>
      <c r="AI194" s="732"/>
      <c r="AJ194" s="69"/>
      <c r="AK194" s="1434"/>
      <c r="AL194" s="585"/>
      <c r="AM194" s="585"/>
      <c r="AN194" s="585"/>
      <c r="AO194" s="732"/>
      <c r="AP194" s="69"/>
      <c r="AQ194" s="1434"/>
      <c r="AR194" s="585"/>
      <c r="AS194" s="585"/>
      <c r="AT194" s="585"/>
      <c r="AU194" s="732"/>
      <c r="AV194" s="69"/>
      <c r="AW194" s="1434"/>
      <c r="AX194" s="585"/>
      <c r="AY194" s="585"/>
      <c r="AZ194" s="585"/>
      <c r="BA194" s="732"/>
      <c r="BB194" s="69"/>
      <c r="BC194" s="1434"/>
      <c r="BD194" s="585"/>
      <c r="BE194" s="585"/>
      <c r="BF194" s="585"/>
      <c r="BG194" s="732"/>
      <c r="BH194" s="69"/>
      <c r="BI194" s="1434"/>
      <c r="BJ194" s="585"/>
      <c r="BK194" s="585"/>
      <c r="BL194" s="585"/>
      <c r="BM194" s="732"/>
      <c r="BN194" s="69"/>
      <c r="BO194" s="1434"/>
      <c r="BP194" s="585"/>
      <c r="BQ194" s="585"/>
      <c r="BR194" s="585"/>
      <c r="BS194" s="732"/>
      <c r="BT194" s="69"/>
      <c r="BU194" s="1434"/>
      <c r="BV194" s="585"/>
      <c r="BW194" s="585"/>
      <c r="BX194" s="585"/>
      <c r="BY194" s="732"/>
      <c r="BZ194" s="69"/>
      <c r="CA194" s="1434"/>
      <c r="CB194" s="585"/>
      <c r="CC194" s="585"/>
      <c r="CD194" s="585"/>
      <c r="CE194" s="732"/>
      <c r="CF194" s="69"/>
      <c r="CG194" s="1434"/>
      <c r="CH194" s="585"/>
      <c r="CI194" s="585"/>
      <c r="CJ194" s="585"/>
      <c r="CK194" s="732"/>
      <c r="CL194" s="69"/>
      <c r="CM194" s="1434"/>
      <c r="CN194" s="585"/>
      <c r="CO194" s="585"/>
      <c r="CP194" s="585"/>
      <c r="CQ194" s="732"/>
      <c r="CR194" s="69"/>
      <c r="CS194" s="1434"/>
      <c r="CT194" s="585"/>
      <c r="CU194" s="585"/>
      <c r="CV194" s="585"/>
      <c r="CW194" s="732"/>
      <c r="CX194" s="69"/>
      <c r="CY194" s="1434"/>
      <c r="CZ194" s="585"/>
      <c r="DA194" s="585"/>
      <c r="DB194" s="585"/>
      <c r="DC194" s="732"/>
      <c r="DD194" s="69"/>
      <c r="DE194" s="1434"/>
      <c r="DF194" s="585"/>
      <c r="DG194" s="585"/>
      <c r="DH194" s="585"/>
      <c r="DI194" s="732"/>
    </row>
    <row r="195" spans="1:113">
      <c r="A195" s="69" t="s">
        <v>565</v>
      </c>
      <c r="B195" s="278"/>
      <c r="C195" s="278"/>
      <c r="D195" s="278"/>
      <c r="E195" s="278"/>
      <c r="F195" s="278"/>
      <c r="G195" s="278"/>
      <c r="H195" s="278"/>
      <c r="I195" s="278"/>
      <c r="J195" s="278"/>
      <c r="K195" s="278"/>
      <c r="L195" s="278"/>
      <c r="M195" s="278"/>
      <c r="N195" s="278"/>
      <c r="O195" s="278"/>
      <c r="P195" s="278"/>
      <c r="Q195" s="278"/>
      <c r="R195" s="278"/>
      <c r="S195" s="278"/>
      <c r="T195" s="278"/>
      <c r="U195" s="278"/>
      <c r="V195" s="278"/>
      <c r="W195" s="278"/>
      <c r="X195" s="278"/>
      <c r="Y195" s="2293">
        <f t="shared" ref="Y195:Z195" si="284">-Y10</f>
        <v>-55.692</v>
      </c>
      <c r="Z195" s="1449">
        <f t="shared" si="284"/>
        <v>-41.933</v>
      </c>
      <c r="AA195" s="1449">
        <f>-AA10</f>
        <v>-38.904000000000003</v>
      </c>
      <c r="AB195" s="1449">
        <f t="shared" ref="AB195:AC195" si="285">-AB10</f>
        <v>-332.4</v>
      </c>
      <c r="AC195" s="2294">
        <f t="shared" si="285"/>
        <v>-332.4</v>
      </c>
      <c r="AD195" s="69"/>
      <c r="AE195" s="2293">
        <f t="shared" ref="AE195:AF195" si="286">-AE10</f>
        <v>-298.26299999999998</v>
      </c>
      <c r="AF195" s="1449">
        <f t="shared" si="286"/>
        <v>-125.399</v>
      </c>
      <c r="AG195" s="1449">
        <f>-AG10</f>
        <v>-84.381</v>
      </c>
      <c r="AH195" s="1449">
        <f t="shared" ref="AH195:AI195" si="287">-AH10</f>
        <v>-166.2</v>
      </c>
      <c r="AI195" s="2294">
        <f t="shared" si="287"/>
        <v>-166.2</v>
      </c>
      <c r="AJ195" s="69"/>
      <c r="AK195" s="2293">
        <f t="shared" ref="AK195:AL195" si="288">-AK10</f>
        <v>-148.4</v>
      </c>
      <c r="AL195" s="1449">
        <f t="shared" si="288"/>
        <v>-152.6</v>
      </c>
      <c r="AM195" s="1449">
        <f>-AM10</f>
        <v>-148.5</v>
      </c>
      <c r="AN195" s="1449">
        <f t="shared" ref="AN195:AO195" si="289">-AN10</f>
        <v>-207.1</v>
      </c>
      <c r="AO195" s="2294">
        <f t="shared" si="289"/>
        <v>-207.1</v>
      </c>
      <c r="AP195" s="69"/>
      <c r="AQ195" s="2293">
        <f t="shared" ref="AQ195:AR195" si="290">-AQ10</f>
        <v>-203.1</v>
      </c>
      <c r="AR195" s="1449">
        <f t="shared" si="290"/>
        <v>-187.6</v>
      </c>
      <c r="AS195" s="1449">
        <f>-AS10</f>
        <v>-188</v>
      </c>
      <c r="AT195" s="1449">
        <f t="shared" ref="AT195:AU195" si="291">-AT10</f>
        <v>-230.4</v>
      </c>
      <c r="AU195" s="2294">
        <f t="shared" si="291"/>
        <v>-230.4</v>
      </c>
      <c r="AV195" s="69"/>
      <c r="AW195" s="2293">
        <f t="shared" ref="AW195:AX195" si="292">-AW10</f>
        <v>-193.3</v>
      </c>
      <c r="AX195" s="1449">
        <f t="shared" si="292"/>
        <v>-169.8</v>
      </c>
      <c r="AY195" s="1449">
        <f>-AY10</f>
        <v>-195.8</v>
      </c>
      <c r="AZ195" s="1449">
        <f t="shared" ref="AZ195:BA195" si="293">-AZ10</f>
        <v>-246</v>
      </c>
      <c r="BA195" s="2294">
        <f t="shared" si="293"/>
        <v>-246</v>
      </c>
      <c r="BB195" s="69"/>
      <c r="BC195" s="2293">
        <f t="shared" ref="BC195:BD195" si="294">-BC10</f>
        <v>-229.5</v>
      </c>
      <c r="BD195" s="1449">
        <f t="shared" si="294"/>
        <v>-240.3</v>
      </c>
      <c r="BE195" s="1449">
        <f>-BE10</f>
        <v>-242.1</v>
      </c>
      <c r="BF195" s="1449">
        <f t="shared" ref="BF195:BG195" si="295">-BF10</f>
        <v>-310.60000000000002</v>
      </c>
      <c r="BG195" s="2294">
        <f t="shared" si="295"/>
        <v>-310.60000000000002</v>
      </c>
      <c r="BH195" s="69"/>
      <c r="BI195" s="2293">
        <f t="shared" ref="BI195:BJ195" si="296">-BI10</f>
        <v>-269.39999999999998</v>
      </c>
      <c r="BJ195" s="1449">
        <f t="shared" si="296"/>
        <v>-250.9</v>
      </c>
      <c r="BK195" s="1449">
        <f>-BK10</f>
        <v>-306.8</v>
      </c>
      <c r="BL195" s="1449">
        <f t="shared" ref="BL195:BM195" si="297">-BL10</f>
        <v>-438.7</v>
      </c>
      <c r="BM195" s="2294">
        <f t="shared" si="297"/>
        <v>-438.7</v>
      </c>
      <c r="BN195" s="69"/>
      <c r="BO195" s="2293">
        <f t="shared" ref="BO195:BP195" si="298">-BO10</f>
        <v>-454</v>
      </c>
      <c r="BP195" s="1449">
        <f t="shared" si="298"/>
        <v>-389.8</v>
      </c>
      <c r="BQ195" s="1449">
        <f>-BQ10</f>
        <v>-329.20000000000016</v>
      </c>
      <c r="BR195" s="1449">
        <f t="shared" ref="BR195:BS195" si="299">-BR10</f>
        <v>-319.5</v>
      </c>
      <c r="BS195" s="2294">
        <f t="shared" si="299"/>
        <v>-319.5</v>
      </c>
      <c r="BT195" s="69"/>
      <c r="BU195" s="2293">
        <f t="shared" ref="BU195:BV195" si="300">-BU10</f>
        <v>-334.5</v>
      </c>
      <c r="BV195" s="1449">
        <f t="shared" si="300"/>
        <v>-320.8</v>
      </c>
      <c r="BW195" s="1449">
        <f>-BW10</f>
        <v>-331</v>
      </c>
      <c r="BX195" s="1449">
        <f t="shared" ref="BX195:BY195" si="301">-BX10</f>
        <v>-267.10000000000002</v>
      </c>
      <c r="BY195" s="2294">
        <f t="shared" si="301"/>
        <v>-267.10000000000002</v>
      </c>
      <c r="BZ195" s="69"/>
      <c r="CA195" s="2293">
        <f t="shared" ref="CA195:CB195" si="302">-CA10</f>
        <v>-209.90000000000018</v>
      </c>
      <c r="CB195" s="1449">
        <f t="shared" si="302"/>
        <v>-232.5</v>
      </c>
      <c r="CC195" s="1449">
        <f>-CC10</f>
        <v>-278.7</v>
      </c>
      <c r="CD195" s="1449">
        <f t="shared" ref="CD195:CE195" si="303">-CD10</f>
        <v>-342.4</v>
      </c>
      <c r="CE195" s="2294">
        <f t="shared" si="303"/>
        <v>-342.4</v>
      </c>
      <c r="CF195" s="69"/>
      <c r="CG195" s="2293">
        <f t="shared" ref="CG195:CH195" si="304">-CG10</f>
        <v>-277.5</v>
      </c>
      <c r="CH195" s="1449">
        <f t="shared" si="304"/>
        <v>-217.7</v>
      </c>
      <c r="CI195" s="1449">
        <f>-CI10</f>
        <v>-263.89999999999998</v>
      </c>
      <c r="CJ195" s="1449">
        <f t="shared" ref="CJ195:CK195" si="305">-CJ10</f>
        <v>-325</v>
      </c>
      <c r="CK195" s="2294">
        <f t="shared" si="305"/>
        <v>-325</v>
      </c>
      <c r="CL195" s="69"/>
      <c r="CM195" s="2293">
        <f t="shared" ref="CM195:CN195" si="306">-CM10</f>
        <v>-312.84184589911496</v>
      </c>
      <c r="CN195" s="1449">
        <f t="shared" si="306"/>
        <v>-246.96275147503138</v>
      </c>
      <c r="CO195" s="1449">
        <f>-CO10</f>
        <v>-261.09176076787952</v>
      </c>
      <c r="CP195" s="1449">
        <f t="shared" ref="CP195:CQ195" si="307">-CP10</f>
        <v>-293.30349483336818</v>
      </c>
      <c r="CQ195" s="2294">
        <f t="shared" si="307"/>
        <v>-293.30349483336818</v>
      </c>
      <c r="CR195" s="69"/>
      <c r="CS195" s="2293">
        <f t="shared" ref="CS195:CT195" si="308">-CS10</f>
        <v>-379.19565401846859</v>
      </c>
      <c r="CT195" s="1449">
        <f t="shared" si="308"/>
        <v>-312.66565770865697</v>
      </c>
      <c r="CU195" s="1449">
        <f>-CU10</f>
        <v>-290.74680450626346</v>
      </c>
      <c r="CV195" s="1449">
        <f t="shared" ref="CV195:CW195" si="309">-CV10</f>
        <v>-244.85339430328472</v>
      </c>
      <c r="CW195" s="2294">
        <f t="shared" si="309"/>
        <v>-244.85339430328472</v>
      </c>
      <c r="CX195" s="69"/>
      <c r="CY195" s="2293">
        <f t="shared" ref="CY195:CZ195" si="310">-CY10</f>
        <v>-354.17835302983133</v>
      </c>
      <c r="CZ195" s="1449">
        <f t="shared" si="310"/>
        <v>-304.95537247073042</v>
      </c>
      <c r="DA195" s="1449">
        <f>-DA10</f>
        <v>-281.3344722208704</v>
      </c>
      <c r="DB195" s="1449">
        <f t="shared" ref="DB195:DC195" si="311">-DB10</f>
        <v>-238.41079774061339</v>
      </c>
      <c r="DC195" s="2294">
        <f t="shared" si="311"/>
        <v>-238.41079774061339</v>
      </c>
      <c r="DD195" s="69"/>
      <c r="DE195" s="2293">
        <f t="shared" ref="DE195:DF195" si="312">-DE10</f>
        <v>-397.6083154058033</v>
      </c>
      <c r="DF195" s="1449">
        <f t="shared" si="312"/>
        <v>-336.05344762009685</v>
      </c>
      <c r="DG195" s="1449">
        <f>-DG10</f>
        <v>-318.78189417001852</v>
      </c>
      <c r="DH195" s="1449">
        <f t="shared" ref="DH195:DI195" si="313">-DH10</f>
        <v>-254.92699553579138</v>
      </c>
      <c r="DI195" s="2294">
        <f t="shared" si="313"/>
        <v>-254.92699553579138</v>
      </c>
    </row>
    <row r="196" spans="1:113">
      <c r="A196" s="69" t="s">
        <v>566</v>
      </c>
      <c r="B196" s="278"/>
      <c r="C196" s="278"/>
      <c r="D196" s="278"/>
      <c r="E196" s="278"/>
      <c r="F196" s="278"/>
      <c r="G196" s="278"/>
      <c r="H196" s="278"/>
      <c r="I196" s="278"/>
      <c r="J196" s="278"/>
      <c r="K196" s="278"/>
      <c r="L196" s="278"/>
      <c r="M196" s="278"/>
      <c r="N196" s="278"/>
      <c r="O196" s="278"/>
      <c r="P196" s="278"/>
      <c r="Q196" s="278"/>
      <c r="R196" s="278"/>
      <c r="S196" s="278"/>
      <c r="T196" s="278"/>
      <c r="U196" s="278"/>
      <c r="V196" s="278"/>
      <c r="W196" s="278"/>
      <c r="X196" s="278"/>
      <c r="Y196" s="2301">
        <v>0</v>
      </c>
      <c r="Z196" s="2302">
        <v>0</v>
      </c>
      <c r="AA196" s="2302">
        <v>0</v>
      </c>
      <c r="AB196" s="2302">
        <v>0</v>
      </c>
      <c r="AC196" s="2303">
        <v>0</v>
      </c>
      <c r="AD196" s="69"/>
      <c r="AE196" s="2301">
        <v>0</v>
      </c>
      <c r="AF196" s="2302">
        <v>0</v>
      </c>
      <c r="AG196" s="2302">
        <v>0</v>
      </c>
      <c r="AH196" s="2302">
        <v>0</v>
      </c>
      <c r="AI196" s="2303">
        <v>0</v>
      </c>
      <c r="AJ196" s="69"/>
      <c r="AK196" s="2301">
        <v>0</v>
      </c>
      <c r="AL196" s="2302">
        <v>0</v>
      </c>
      <c r="AM196" s="2302">
        <v>0</v>
      </c>
      <c r="AN196" s="2302">
        <v>0</v>
      </c>
      <c r="AO196" s="2303">
        <v>0</v>
      </c>
      <c r="AP196" s="69"/>
      <c r="AQ196" s="2301">
        <v>0</v>
      </c>
      <c r="AR196" s="2302">
        <v>0</v>
      </c>
      <c r="AS196" s="2302">
        <v>0</v>
      </c>
      <c r="AT196" s="2302">
        <v>0</v>
      </c>
      <c r="AU196" s="2303">
        <v>0</v>
      </c>
      <c r="AV196" s="69"/>
      <c r="AW196" s="2301">
        <v>0</v>
      </c>
      <c r="AX196" s="2302">
        <v>0</v>
      </c>
      <c r="AY196" s="2302">
        <v>0</v>
      </c>
      <c r="AZ196" s="2302">
        <v>0</v>
      </c>
      <c r="BA196" s="2303">
        <v>0</v>
      </c>
      <c r="BB196" s="69"/>
      <c r="BC196" s="2301">
        <v>0</v>
      </c>
      <c r="BD196" s="2302">
        <v>0</v>
      </c>
      <c r="BE196" s="2302">
        <v>0</v>
      </c>
      <c r="BF196" s="2302">
        <v>0</v>
      </c>
      <c r="BG196" s="2303">
        <v>0</v>
      </c>
      <c r="BH196" s="69"/>
      <c r="BI196" s="2301">
        <v>0</v>
      </c>
      <c r="BJ196" s="2302">
        <v>0</v>
      </c>
      <c r="BK196" s="2302">
        <v>0</v>
      </c>
      <c r="BL196" s="2302">
        <v>0</v>
      </c>
      <c r="BM196" s="2303">
        <v>0</v>
      </c>
      <c r="BN196" s="69"/>
      <c r="BO196" s="2301">
        <v>0</v>
      </c>
      <c r="BP196" s="2302">
        <v>0</v>
      </c>
      <c r="BQ196" s="2302">
        <v>0</v>
      </c>
      <c r="BR196" s="2302">
        <v>0</v>
      </c>
      <c r="BS196" s="2303">
        <v>0</v>
      </c>
      <c r="BT196" s="69"/>
      <c r="BU196" s="2301">
        <v>0</v>
      </c>
      <c r="BV196" s="2302">
        <v>0</v>
      </c>
      <c r="BW196" s="2302">
        <v>0</v>
      </c>
      <c r="BX196" s="2302">
        <v>0</v>
      </c>
      <c r="BY196" s="2303">
        <v>0</v>
      </c>
      <c r="BZ196" s="69"/>
      <c r="CA196" s="2301">
        <v>0</v>
      </c>
      <c r="CB196" s="2302">
        <v>0</v>
      </c>
      <c r="CC196" s="2302">
        <v>0</v>
      </c>
      <c r="CD196" s="2302">
        <v>0</v>
      </c>
      <c r="CE196" s="2303">
        <v>0</v>
      </c>
      <c r="CF196" s="69"/>
      <c r="CG196" s="2301">
        <v>0</v>
      </c>
      <c r="CH196" s="2302">
        <v>0</v>
      </c>
      <c r="CI196" s="2302">
        <v>0</v>
      </c>
      <c r="CJ196" s="2302">
        <v>0</v>
      </c>
      <c r="CK196" s="2303">
        <v>0</v>
      </c>
      <c r="CL196" s="69"/>
      <c r="CM196" s="2301">
        <v>0</v>
      </c>
      <c r="CN196" s="2302">
        <v>0</v>
      </c>
      <c r="CO196" s="2302">
        <v>0</v>
      </c>
      <c r="CP196" s="2302">
        <v>0</v>
      </c>
      <c r="CQ196" s="2303">
        <v>0</v>
      </c>
      <c r="CR196" s="69"/>
      <c r="CS196" s="2301">
        <v>0</v>
      </c>
      <c r="CT196" s="2302">
        <v>0</v>
      </c>
      <c r="CU196" s="2302">
        <v>0</v>
      </c>
      <c r="CV196" s="2302">
        <v>0</v>
      </c>
      <c r="CW196" s="2303">
        <v>0</v>
      </c>
      <c r="CX196" s="69"/>
      <c r="CY196" s="2301">
        <v>0</v>
      </c>
      <c r="CZ196" s="2302">
        <v>0</v>
      </c>
      <c r="DA196" s="2302">
        <v>0</v>
      </c>
      <c r="DB196" s="2302">
        <v>0</v>
      </c>
      <c r="DC196" s="2303">
        <v>0</v>
      </c>
      <c r="DD196" s="69"/>
      <c r="DE196" s="2301">
        <v>0</v>
      </c>
      <c r="DF196" s="2302">
        <v>0</v>
      </c>
      <c r="DG196" s="2302">
        <v>0</v>
      </c>
      <c r="DH196" s="2302">
        <v>0</v>
      </c>
      <c r="DI196" s="2303">
        <v>0</v>
      </c>
    </row>
    <row r="197" spans="1:113">
      <c r="A197" s="69" t="s">
        <v>567</v>
      </c>
      <c r="B197" s="278"/>
      <c r="C197" s="278"/>
      <c r="D197" s="278"/>
      <c r="E197" s="278"/>
      <c r="F197" s="278"/>
      <c r="G197" s="278"/>
      <c r="H197" s="278"/>
      <c r="I197" s="278"/>
      <c r="J197" s="278"/>
      <c r="K197" s="278"/>
      <c r="L197" s="278"/>
      <c r="M197" s="278"/>
      <c r="N197" s="278"/>
      <c r="O197" s="278"/>
      <c r="P197" s="278"/>
      <c r="Q197" s="278"/>
      <c r="R197" s="278"/>
      <c r="S197" s="278"/>
      <c r="T197" s="278"/>
      <c r="U197" s="278"/>
      <c r="V197" s="278"/>
      <c r="W197" s="278"/>
      <c r="X197" s="278"/>
      <c r="Y197" s="2293">
        <f t="shared" ref="Y197:Z197" si="314">-Y17</f>
        <v>-41.1</v>
      </c>
      <c r="Z197" s="1449">
        <f t="shared" si="314"/>
        <v>-39.6</v>
      </c>
      <c r="AA197" s="1449">
        <f>-AA17</f>
        <v>-39.799999999999997</v>
      </c>
      <c r="AB197" s="1449">
        <f t="shared" ref="AB197:AC197" si="315">-AB17</f>
        <v>-40.799999999999997</v>
      </c>
      <c r="AC197" s="2294">
        <f t="shared" si="315"/>
        <v>-40.799999999999997</v>
      </c>
      <c r="AD197" s="69"/>
      <c r="AE197" s="2293">
        <f t="shared" ref="AE197:AF197" si="316">-AE17</f>
        <v>-43</v>
      </c>
      <c r="AF197" s="1449">
        <f t="shared" si="316"/>
        <v>-43</v>
      </c>
      <c r="AG197" s="1449">
        <f>-AG17</f>
        <v>-48.1</v>
      </c>
      <c r="AH197" s="1449">
        <f t="shared" ref="AH197:AI197" si="317">-AH17</f>
        <v>-46.4</v>
      </c>
      <c r="AI197" s="2294">
        <f t="shared" si="317"/>
        <v>-46.4</v>
      </c>
      <c r="AJ197" s="69"/>
      <c r="AK197" s="2293">
        <f t="shared" ref="AK197:AL197" si="318">-AK17</f>
        <v>-45.6</v>
      </c>
      <c r="AL197" s="1449">
        <f t="shared" si="318"/>
        <v>-46.9</v>
      </c>
      <c r="AM197" s="1449">
        <f>-AM17</f>
        <v>-47.9</v>
      </c>
      <c r="AN197" s="1449">
        <f t="shared" ref="AN197:AO197" si="319">-AN17</f>
        <v>-47.5</v>
      </c>
      <c r="AO197" s="2294">
        <f t="shared" si="319"/>
        <v>-47.5</v>
      </c>
      <c r="AP197" s="69"/>
      <c r="AQ197" s="2293">
        <f t="shared" ref="AQ197:AR197" si="320">-AQ17</f>
        <v>-46.2</v>
      </c>
      <c r="AR197" s="1449">
        <f t="shared" si="320"/>
        <v>-66.2</v>
      </c>
      <c r="AS197" s="1449">
        <f>-AS17</f>
        <v>-48.4</v>
      </c>
      <c r="AT197" s="1449">
        <f t="shared" ref="AT197:AU197" si="321">-AT17</f>
        <v>-98.3</v>
      </c>
      <c r="AU197" s="2294">
        <f t="shared" si="321"/>
        <v>-98.3</v>
      </c>
      <c r="AV197" s="69"/>
      <c r="AW197" s="2293">
        <f t="shared" ref="AW197:AX197" si="322">-AW17</f>
        <v>-98.4</v>
      </c>
      <c r="AX197" s="1449">
        <f t="shared" si="322"/>
        <v>-100.1</v>
      </c>
      <c r="AY197" s="1449">
        <f>-AY17</f>
        <v>-96.4</v>
      </c>
      <c r="AZ197" s="1449">
        <f t="shared" ref="AZ197:BA197" si="323">-AZ17</f>
        <v>-100.2</v>
      </c>
      <c r="BA197" s="2294">
        <f t="shared" si="323"/>
        <v>-100.2</v>
      </c>
      <c r="BB197" s="69"/>
      <c r="BC197" s="2293">
        <f t="shared" ref="BC197:BD197" si="324">-BC17</f>
        <v>-110.7</v>
      </c>
      <c r="BD197" s="1449">
        <f t="shared" si="324"/>
        <v>-109.8</v>
      </c>
      <c r="BE197" s="1449">
        <f>-BE17</f>
        <v>-116.4</v>
      </c>
      <c r="BF197" s="1449">
        <f t="shared" ref="BF197:BG197" si="325">-BF17</f>
        <v>-115.9</v>
      </c>
      <c r="BG197" s="2294">
        <f t="shared" si="325"/>
        <v>-115.9</v>
      </c>
      <c r="BH197" s="69"/>
      <c r="BI197" s="2293">
        <f t="shared" ref="BI197:BJ197" si="326">-BI17</f>
        <v>-115.2</v>
      </c>
      <c r="BJ197" s="1449">
        <f t="shared" si="326"/>
        <v>-115.6</v>
      </c>
      <c r="BK197" s="1449">
        <f>-BK17</f>
        <v>-126.6</v>
      </c>
      <c r="BL197" s="1449">
        <f t="shared" ref="BL197:BM197" si="327">-BL17</f>
        <v>-127.4</v>
      </c>
      <c r="BM197" s="2294">
        <f t="shared" si="327"/>
        <v>-127.4</v>
      </c>
      <c r="BN197" s="69"/>
      <c r="BO197" s="2293">
        <f t="shared" ref="BO197:BP197" si="328">-BO17</f>
        <v>-127.4</v>
      </c>
      <c r="BP197" s="1449">
        <f t="shared" si="328"/>
        <v>-126.9</v>
      </c>
      <c r="BQ197" s="1449">
        <f>-BQ17</f>
        <v>-135.1</v>
      </c>
      <c r="BR197" s="1449">
        <f t="shared" ref="BR197:BS197" si="329">-BR17</f>
        <v>-127.8</v>
      </c>
      <c r="BS197" s="2294">
        <f t="shared" si="329"/>
        <v>-127.8</v>
      </c>
      <c r="BT197" s="69"/>
      <c r="BU197" s="2293">
        <f t="shared" ref="BU197:BV197" si="330">-BU17</f>
        <v>-124.7</v>
      </c>
      <c r="BV197" s="1449">
        <f t="shared" si="330"/>
        <v>-125.7</v>
      </c>
      <c r="BW197" s="1449">
        <f>-BW17</f>
        <v>-125.1</v>
      </c>
      <c r="BX197" s="1449">
        <f t="shared" ref="BX197:BY197" si="331">-BX17</f>
        <v>-130.6</v>
      </c>
      <c r="BY197" s="2294">
        <f t="shared" si="331"/>
        <v>-130.6</v>
      </c>
      <c r="BZ197" s="69"/>
      <c r="CA197" s="2293">
        <f t="shared" ref="CA197:CB197" si="332">-CA17</f>
        <v>-131.9</v>
      </c>
      <c r="CB197" s="1449">
        <f t="shared" si="332"/>
        <v>-131</v>
      </c>
      <c r="CC197" s="1449">
        <f>-CC17</f>
        <v>-131.4</v>
      </c>
      <c r="CD197" s="1449">
        <f t="shared" ref="CD197:CE197" si="333">-CD17</f>
        <v>-130.6</v>
      </c>
      <c r="CE197" s="2294">
        <f t="shared" si="333"/>
        <v>-130.6</v>
      </c>
      <c r="CF197" s="69"/>
      <c r="CG197" s="2293">
        <f t="shared" ref="CG197:CH197" si="334">-CG17</f>
        <v>-151.6</v>
      </c>
      <c r="CH197" s="1449">
        <f t="shared" si="334"/>
        <v>-165.4</v>
      </c>
      <c r="CI197" s="1449">
        <f>-CI17</f>
        <v>-168.6</v>
      </c>
      <c r="CJ197" s="1449">
        <f t="shared" ref="CJ197:CK197" si="335">-CJ17</f>
        <v>-169.8</v>
      </c>
      <c r="CK197" s="2294">
        <f t="shared" si="335"/>
        <v>-169.8</v>
      </c>
      <c r="CL197" s="69"/>
      <c r="CM197" s="2293">
        <f t="shared" ref="CM197:CN197" si="336">-CM17</f>
        <v>-169.8</v>
      </c>
      <c r="CN197" s="1449">
        <f t="shared" si="336"/>
        <v>-169.8</v>
      </c>
      <c r="CO197" s="1449">
        <f>-CO17</f>
        <v>-169.8</v>
      </c>
      <c r="CP197" s="1449">
        <f t="shared" ref="CP197:CQ197" si="337">-CP17</f>
        <v>-169.8</v>
      </c>
      <c r="CQ197" s="2294">
        <f t="shared" si="337"/>
        <v>-169.8</v>
      </c>
      <c r="CR197" s="69"/>
      <c r="CS197" s="2293">
        <f t="shared" ref="CS197:CT197" si="338">-CS17</f>
        <v>-169.8</v>
      </c>
      <c r="CT197" s="1449">
        <f t="shared" si="338"/>
        <v>-169.8</v>
      </c>
      <c r="CU197" s="1449">
        <f>-CU17</f>
        <v>-169.8</v>
      </c>
      <c r="CV197" s="1449">
        <f t="shared" ref="CV197:CW197" si="339">-CV17</f>
        <v>-169.8</v>
      </c>
      <c r="CW197" s="2294">
        <f t="shared" si="339"/>
        <v>-169.8</v>
      </c>
      <c r="CX197" s="69"/>
      <c r="CY197" s="2293">
        <f t="shared" ref="CY197:CZ197" si="340">-CY17</f>
        <v>-169.8</v>
      </c>
      <c r="CZ197" s="1449">
        <f t="shared" si="340"/>
        <v>-169.8</v>
      </c>
      <c r="DA197" s="1449">
        <f>-DA17</f>
        <v>-169.8</v>
      </c>
      <c r="DB197" s="1449">
        <f t="shared" ref="DB197:DC197" si="341">-DB17</f>
        <v>-169.8</v>
      </c>
      <c r="DC197" s="2294">
        <f t="shared" si="341"/>
        <v>-169.8</v>
      </c>
      <c r="DD197" s="69"/>
      <c r="DE197" s="2293">
        <f t="shared" ref="DE197:DF197" si="342">-DE17</f>
        <v>-169.8</v>
      </c>
      <c r="DF197" s="1449">
        <f t="shared" si="342"/>
        <v>-169.8</v>
      </c>
      <c r="DG197" s="1449">
        <f>-DG17</f>
        <v>-169.8</v>
      </c>
      <c r="DH197" s="1449">
        <f t="shared" ref="DH197:DI197" si="343">-DH17</f>
        <v>-169.8</v>
      </c>
      <c r="DI197" s="2294">
        <f t="shared" si="343"/>
        <v>-169.8</v>
      </c>
    </row>
    <row r="198" spans="1:113">
      <c r="A198" s="771" t="s">
        <v>568</v>
      </c>
      <c r="B198" s="278"/>
      <c r="C198" s="278"/>
      <c r="D198" s="278"/>
      <c r="E198" s="278"/>
      <c r="F198" s="278"/>
      <c r="G198" s="278"/>
      <c r="H198" s="278"/>
      <c r="I198" s="278"/>
      <c r="J198" s="278"/>
      <c r="K198" s="278"/>
      <c r="L198" s="278"/>
      <c r="M198" s="278"/>
      <c r="N198" s="278"/>
      <c r="O198" s="278"/>
      <c r="P198" s="278"/>
      <c r="Q198" s="278"/>
      <c r="R198" s="278"/>
      <c r="S198" s="278"/>
      <c r="T198" s="278"/>
      <c r="U198" s="278"/>
      <c r="V198" s="278"/>
      <c r="W198" s="278"/>
      <c r="X198" s="278"/>
      <c r="Y198" s="440">
        <f>SUM(Y185:Y196)</f>
        <v>219.29200000000003</v>
      </c>
      <c r="Z198" s="451">
        <f t="shared" ref="Z198:AC198" si="344">SUM(Z185:Z196)</f>
        <v>244.19100000000003</v>
      </c>
      <c r="AA198" s="451">
        <f t="shared" si="344"/>
        <v>270.02500000000003</v>
      </c>
      <c r="AB198" s="451">
        <f t="shared" si="344"/>
        <v>452.80000000000007</v>
      </c>
      <c r="AC198" s="435">
        <f t="shared" si="344"/>
        <v>452.80000000000007</v>
      </c>
      <c r="AD198" s="771"/>
      <c r="AE198" s="440">
        <f>SUM(AE185:AE196)</f>
        <v>521.32300000000009</v>
      </c>
      <c r="AF198" s="451">
        <f t="shared" ref="AF198:AI198" si="345">SUM(AF185:AF196)</f>
        <v>536.79899999999986</v>
      </c>
      <c r="AG198" s="451">
        <f t="shared" si="345"/>
        <v>528.86200000000008</v>
      </c>
      <c r="AH198" s="451">
        <f t="shared" si="345"/>
        <v>472.2</v>
      </c>
      <c r="AI198" s="435">
        <f t="shared" si="345"/>
        <v>472.2</v>
      </c>
      <c r="AJ198" s="771"/>
      <c r="AK198" s="440">
        <f>SUM(AK185:AK196)</f>
        <v>450.50000000000011</v>
      </c>
      <c r="AL198" s="451">
        <f t="shared" ref="AL198:AO198" si="346">SUM(AL185:AL196)</f>
        <v>459.99999999999989</v>
      </c>
      <c r="AM198" s="451">
        <f t="shared" si="346"/>
        <v>486.40000000000009</v>
      </c>
      <c r="AN198" s="451">
        <f t="shared" si="346"/>
        <v>448.29999999999995</v>
      </c>
      <c r="AO198" s="435">
        <f t="shared" si="346"/>
        <v>448.29999999999995</v>
      </c>
      <c r="AP198" s="771"/>
      <c r="AQ198" s="440">
        <f>SUM(AQ185:AQ196)</f>
        <v>437.69999999999993</v>
      </c>
      <c r="AR198" s="451">
        <f t="shared" ref="AR198:AU198" si="347">SUM(AR185:AR196)</f>
        <v>436.49999999999989</v>
      </c>
      <c r="AS198" s="451">
        <f t="shared" si="347"/>
        <v>526.79999999999995</v>
      </c>
      <c r="AT198" s="451">
        <f t="shared" si="347"/>
        <v>705.00000000000011</v>
      </c>
      <c r="AU198" s="435">
        <f t="shared" si="347"/>
        <v>705.00000000000011</v>
      </c>
      <c r="AV198" s="771"/>
      <c r="AW198" s="440">
        <f>SUM(AW185:AW196)</f>
        <v>778.90000000000009</v>
      </c>
      <c r="AX198" s="451">
        <f t="shared" ref="AX198:BA198" si="348">SUM(AX185:AX196)</f>
        <v>859.39999999999986</v>
      </c>
      <c r="AY198" s="451">
        <f t="shared" si="348"/>
        <v>829.30000000000018</v>
      </c>
      <c r="AZ198" s="451">
        <f t="shared" si="348"/>
        <v>795.8</v>
      </c>
      <c r="BA198" s="435">
        <f t="shared" si="348"/>
        <v>795.8</v>
      </c>
      <c r="BB198" s="771"/>
      <c r="BC198" s="440">
        <f>SUM(BC185:BC196)</f>
        <v>876.09999999999991</v>
      </c>
      <c r="BD198" s="451">
        <f t="shared" ref="BD198:BG198" si="349">SUM(BD185:BD196)</f>
        <v>838.39999999999986</v>
      </c>
      <c r="BE198" s="451">
        <f t="shared" si="349"/>
        <v>913.29999999999984</v>
      </c>
      <c r="BF198" s="451">
        <f t="shared" si="349"/>
        <v>868.4</v>
      </c>
      <c r="BG198" s="435">
        <f t="shared" si="349"/>
        <v>868.4</v>
      </c>
      <c r="BH198" s="771"/>
      <c r="BI198" s="440">
        <f>SUM(BI185:BI196)</f>
        <v>903.80000000000007</v>
      </c>
      <c r="BJ198" s="451">
        <f t="shared" ref="BJ198:BM198" si="350">SUM(BJ185:BJ196)</f>
        <v>952.99999999999989</v>
      </c>
      <c r="BK198" s="451">
        <f t="shared" si="350"/>
        <v>987.10000000000014</v>
      </c>
      <c r="BL198" s="451">
        <f t="shared" si="350"/>
        <v>905.80000000000018</v>
      </c>
      <c r="BM198" s="435">
        <f t="shared" si="350"/>
        <v>905.80000000000018</v>
      </c>
      <c r="BN198" s="771"/>
      <c r="BO198" s="440">
        <f>SUM(BO185:BO196)</f>
        <v>909</v>
      </c>
      <c r="BP198" s="451">
        <f t="shared" ref="BP198:BS198" si="351">SUM(BP185:BP196)</f>
        <v>991.5</v>
      </c>
      <c r="BQ198" s="451">
        <f t="shared" si="351"/>
        <v>977.69999999999993</v>
      </c>
      <c r="BR198" s="451">
        <f t="shared" si="351"/>
        <v>969.20000000000027</v>
      </c>
      <c r="BS198" s="435">
        <f t="shared" si="351"/>
        <v>969.20000000000027</v>
      </c>
      <c r="BT198" s="771"/>
      <c r="BU198" s="440">
        <f>SUM(BU185:BU196)</f>
        <v>904.19999999999982</v>
      </c>
      <c r="BV198" s="451">
        <f t="shared" ref="BV198:BY198" si="352">SUM(BV185:BV196)</f>
        <v>977.40000000000032</v>
      </c>
      <c r="BW198" s="451">
        <f t="shared" si="352"/>
        <v>973.8</v>
      </c>
      <c r="BX198" s="451">
        <f t="shared" si="352"/>
        <v>916.69999999999993</v>
      </c>
      <c r="BY198" s="435">
        <f t="shared" si="352"/>
        <v>916.69999999999993</v>
      </c>
      <c r="BZ198" s="771"/>
      <c r="CA198" s="440">
        <f>SUM(CA185:CA196)</f>
        <v>1015.5999999999998</v>
      </c>
      <c r="CB198" s="451">
        <f t="shared" ref="CB198:CE198" si="353">SUM(CB185:CB196)</f>
        <v>980.3</v>
      </c>
      <c r="CC198" s="451">
        <f t="shared" si="353"/>
        <v>993.8</v>
      </c>
      <c r="CD198" s="451">
        <f t="shared" si="353"/>
        <v>968.10000000000048</v>
      </c>
      <c r="CE198" s="435">
        <f t="shared" si="353"/>
        <v>968.10000000000048</v>
      </c>
      <c r="CF198" s="771"/>
      <c r="CG198" s="440">
        <f>SUM(CG185:CG196)</f>
        <v>1054.5</v>
      </c>
      <c r="CH198" s="451">
        <f t="shared" ref="CH198:CK198" si="354">SUM(CH185:CH196)</f>
        <v>1209.0999999999997</v>
      </c>
      <c r="CI198" s="451">
        <f t="shared" si="354"/>
        <v>1192.1999999999998</v>
      </c>
      <c r="CJ198" s="451">
        <f t="shared" si="354"/>
        <v>1107.0999999999999</v>
      </c>
      <c r="CK198" s="435">
        <f t="shared" si="354"/>
        <v>1107.0999999999999</v>
      </c>
      <c r="CL198" s="771"/>
      <c r="CM198" s="440">
        <f>SUM(CM185:CM196)</f>
        <v>1108.2110208278541</v>
      </c>
      <c r="CN198" s="451">
        <f t="shared" ref="CN198:CQ198" si="355">SUM(CN185:CN196)</f>
        <v>1164.5077584067146</v>
      </c>
      <c r="CO198" s="451">
        <f t="shared" si="355"/>
        <v>1156.9402362239505</v>
      </c>
      <c r="CP198" s="451">
        <f t="shared" si="355"/>
        <v>1162.9361219036755</v>
      </c>
      <c r="CQ198" s="435">
        <f t="shared" si="355"/>
        <v>1162.9361219036755</v>
      </c>
      <c r="CR198" s="771"/>
      <c r="CS198" s="440">
        <f>SUM(CS185:CS196)</f>
        <v>1071.5996256766423</v>
      </c>
      <c r="CT198" s="451">
        <f t="shared" ref="CT198:CW198" si="356">SUM(CT185:CT196)</f>
        <v>1135.4639814180466</v>
      </c>
      <c r="CU198" s="451">
        <f t="shared" si="356"/>
        <v>1155.8182723436696</v>
      </c>
      <c r="CV198" s="451">
        <f t="shared" si="356"/>
        <v>1217.9822206909043</v>
      </c>
      <c r="CW198" s="435">
        <f t="shared" si="356"/>
        <v>1217.9822206909043</v>
      </c>
      <c r="CX198" s="771"/>
      <c r="CY198" s="440">
        <f>SUM(CY185:CY196)</f>
        <v>1108.4151118529408</v>
      </c>
      <c r="CZ198" s="451">
        <f t="shared" ref="CZ198:DC198" si="357">SUM(CZ185:CZ196)</f>
        <v>1167.348405589805</v>
      </c>
      <c r="DA198" s="451">
        <f t="shared" si="357"/>
        <v>1202.4105753418546</v>
      </c>
      <c r="DB198" s="451">
        <f t="shared" si="357"/>
        <v>1274.4169333335967</v>
      </c>
      <c r="DC198" s="435">
        <f t="shared" si="357"/>
        <v>1274.4169333335967</v>
      </c>
      <c r="DD198" s="771"/>
      <c r="DE198" s="440">
        <f>SUM(DE185:DE196)</f>
        <v>1125.4731425504435</v>
      </c>
      <c r="DF198" s="451">
        <f t="shared" ref="DF198:DI198" si="358">SUM(DF185:DF196)</f>
        <v>1195.3555932696536</v>
      </c>
      <c r="DG198" s="451">
        <f t="shared" si="358"/>
        <v>1222.740631908202</v>
      </c>
      <c r="DH198" s="451">
        <f t="shared" si="358"/>
        <v>1317.5269815737779</v>
      </c>
      <c r="DI198" s="435">
        <f t="shared" si="358"/>
        <v>1317.5269815737779</v>
      </c>
    </row>
    <row r="199" spans="1:113">
      <c r="A199" s="771" t="s">
        <v>569</v>
      </c>
      <c r="B199" s="278"/>
      <c r="C199" s="278"/>
      <c r="D199" s="278"/>
      <c r="E199" s="278"/>
      <c r="F199" s="278"/>
      <c r="G199" s="278"/>
      <c r="H199" s="278"/>
      <c r="I199" s="278"/>
      <c r="J199" s="278"/>
      <c r="K199" s="278"/>
      <c r="L199" s="278"/>
      <c r="M199" s="278"/>
      <c r="N199" s="278"/>
      <c r="O199" s="278"/>
      <c r="P199" s="278"/>
      <c r="Q199" s="278"/>
      <c r="R199" s="278"/>
      <c r="S199" s="278"/>
      <c r="T199" s="278"/>
      <c r="U199" s="278"/>
      <c r="V199" s="278"/>
      <c r="W199" s="278"/>
      <c r="X199" s="278"/>
      <c r="Y199" s="440">
        <f>SUM(Y185:Y197)</f>
        <v>178.19200000000004</v>
      </c>
      <c r="Z199" s="451">
        <f t="shared" ref="Z199:AC199" si="359">SUM(Z185:Z197)</f>
        <v>204.59100000000004</v>
      </c>
      <c r="AA199" s="451">
        <f t="shared" si="359"/>
        <v>230.22500000000002</v>
      </c>
      <c r="AB199" s="451">
        <f t="shared" si="359"/>
        <v>412.00000000000006</v>
      </c>
      <c r="AC199" s="435">
        <f t="shared" si="359"/>
        <v>412.00000000000006</v>
      </c>
      <c r="AD199" s="771"/>
      <c r="AE199" s="440">
        <f>SUM(AE185:AE197)</f>
        <v>478.32300000000009</v>
      </c>
      <c r="AF199" s="451">
        <f t="shared" ref="AF199:AI199" si="360">SUM(AF185:AF197)</f>
        <v>493.79899999999986</v>
      </c>
      <c r="AG199" s="451">
        <f t="shared" si="360"/>
        <v>480.76200000000006</v>
      </c>
      <c r="AH199" s="451">
        <f t="shared" si="360"/>
        <v>425.8</v>
      </c>
      <c r="AI199" s="435">
        <f t="shared" si="360"/>
        <v>425.8</v>
      </c>
      <c r="AJ199" s="771"/>
      <c r="AK199" s="440">
        <f>SUM(AK185:AK197)</f>
        <v>404.90000000000009</v>
      </c>
      <c r="AL199" s="451">
        <f t="shared" ref="AL199:AO199" si="361">SUM(AL185:AL197)</f>
        <v>413.09999999999991</v>
      </c>
      <c r="AM199" s="451">
        <f t="shared" si="361"/>
        <v>438.50000000000011</v>
      </c>
      <c r="AN199" s="451">
        <f t="shared" si="361"/>
        <v>400.79999999999995</v>
      </c>
      <c r="AO199" s="435">
        <f t="shared" si="361"/>
        <v>400.79999999999995</v>
      </c>
      <c r="AP199" s="771"/>
      <c r="AQ199" s="440">
        <f>SUM(AQ185:AQ197)</f>
        <v>391.49999999999994</v>
      </c>
      <c r="AR199" s="451">
        <f t="shared" ref="AR199:AU199" si="362">SUM(AR185:AR197)</f>
        <v>370.2999999999999</v>
      </c>
      <c r="AS199" s="451">
        <f t="shared" si="362"/>
        <v>478.4</v>
      </c>
      <c r="AT199" s="451">
        <f t="shared" si="362"/>
        <v>606.70000000000016</v>
      </c>
      <c r="AU199" s="435">
        <f t="shared" si="362"/>
        <v>606.70000000000016</v>
      </c>
      <c r="AV199" s="771"/>
      <c r="AW199" s="440">
        <f>SUM(AW185:AW197)</f>
        <v>680.50000000000011</v>
      </c>
      <c r="AX199" s="451">
        <f t="shared" ref="AX199:BA199" si="363">SUM(AX185:AX197)</f>
        <v>759.29999999999984</v>
      </c>
      <c r="AY199" s="451">
        <f t="shared" si="363"/>
        <v>732.9000000000002</v>
      </c>
      <c r="AZ199" s="451">
        <f t="shared" si="363"/>
        <v>695.59999999999991</v>
      </c>
      <c r="BA199" s="435">
        <f t="shared" si="363"/>
        <v>695.59999999999991</v>
      </c>
      <c r="BB199" s="771"/>
      <c r="BC199" s="440">
        <f>SUM(BC185:BC197)</f>
        <v>765.39999999999986</v>
      </c>
      <c r="BD199" s="451">
        <f t="shared" ref="BD199:BG199" si="364">SUM(BD185:BD197)</f>
        <v>728.59999999999991</v>
      </c>
      <c r="BE199" s="451">
        <f t="shared" si="364"/>
        <v>796.89999999999986</v>
      </c>
      <c r="BF199" s="451">
        <f t="shared" si="364"/>
        <v>752.5</v>
      </c>
      <c r="BG199" s="435">
        <f t="shared" si="364"/>
        <v>752.5</v>
      </c>
      <c r="BH199" s="771"/>
      <c r="BI199" s="440">
        <f>SUM(BI185:BI197)</f>
        <v>788.6</v>
      </c>
      <c r="BJ199" s="451">
        <f t="shared" ref="BJ199:BM199" si="365">SUM(BJ185:BJ197)</f>
        <v>837.39999999999986</v>
      </c>
      <c r="BK199" s="451">
        <f t="shared" si="365"/>
        <v>860.50000000000011</v>
      </c>
      <c r="BL199" s="451">
        <f t="shared" si="365"/>
        <v>778.4000000000002</v>
      </c>
      <c r="BM199" s="435">
        <f t="shared" si="365"/>
        <v>778.4000000000002</v>
      </c>
      <c r="BN199" s="771"/>
      <c r="BO199" s="440">
        <f>SUM(BO185:BO197)</f>
        <v>781.6</v>
      </c>
      <c r="BP199" s="451">
        <f t="shared" ref="BP199:BS199" si="366">SUM(BP185:BP197)</f>
        <v>864.6</v>
      </c>
      <c r="BQ199" s="451">
        <f t="shared" si="366"/>
        <v>842.59999999999991</v>
      </c>
      <c r="BR199" s="451">
        <f t="shared" si="366"/>
        <v>841.40000000000032</v>
      </c>
      <c r="BS199" s="435">
        <f t="shared" si="366"/>
        <v>841.40000000000032</v>
      </c>
      <c r="BT199" s="771"/>
      <c r="BU199" s="440">
        <f>SUM(BU185:BU197)</f>
        <v>779.49999999999977</v>
      </c>
      <c r="BV199" s="451">
        <f t="shared" ref="BV199:BY199" si="367">SUM(BV185:BV197)</f>
        <v>851.70000000000027</v>
      </c>
      <c r="BW199" s="451">
        <f t="shared" si="367"/>
        <v>848.69999999999993</v>
      </c>
      <c r="BX199" s="451">
        <f t="shared" si="367"/>
        <v>786.09999999999991</v>
      </c>
      <c r="BY199" s="435">
        <f t="shared" si="367"/>
        <v>786.09999999999991</v>
      </c>
      <c r="BZ199" s="771"/>
      <c r="CA199" s="440">
        <f>SUM(CA185:CA197)</f>
        <v>883.69999999999982</v>
      </c>
      <c r="CB199" s="451">
        <f t="shared" ref="CB199:CE199" si="368">SUM(CB185:CB197)</f>
        <v>849.3</v>
      </c>
      <c r="CC199" s="451">
        <f t="shared" si="368"/>
        <v>862.4</v>
      </c>
      <c r="CD199" s="451">
        <f t="shared" si="368"/>
        <v>837.50000000000045</v>
      </c>
      <c r="CE199" s="435">
        <f t="shared" si="368"/>
        <v>837.50000000000045</v>
      </c>
      <c r="CF199" s="771"/>
      <c r="CG199" s="440">
        <f>SUM(CG185:CG197)</f>
        <v>902.9</v>
      </c>
      <c r="CH199" s="451">
        <f t="shared" ref="CH199:CK199" si="369">SUM(CH185:CH197)</f>
        <v>1043.6999999999996</v>
      </c>
      <c r="CI199" s="451">
        <f t="shared" si="369"/>
        <v>1023.5999999999998</v>
      </c>
      <c r="CJ199" s="451">
        <f t="shared" si="369"/>
        <v>937.3</v>
      </c>
      <c r="CK199" s="435">
        <f t="shared" si="369"/>
        <v>937.3</v>
      </c>
      <c r="CL199" s="771"/>
      <c r="CM199" s="440">
        <f>SUM(CM185:CM197)</f>
        <v>938.41102082785414</v>
      </c>
      <c r="CN199" s="451">
        <f t="shared" ref="CN199:CQ199" si="370">SUM(CN185:CN197)</f>
        <v>994.70775840671467</v>
      </c>
      <c r="CO199" s="451">
        <f t="shared" si="370"/>
        <v>987.14023622395052</v>
      </c>
      <c r="CP199" s="451">
        <f t="shared" si="370"/>
        <v>993.13612190367553</v>
      </c>
      <c r="CQ199" s="435">
        <f t="shared" si="370"/>
        <v>993.13612190367553</v>
      </c>
      <c r="CR199" s="771"/>
      <c r="CS199" s="440">
        <f>SUM(CS185:CS197)</f>
        <v>901.79962567664234</v>
      </c>
      <c r="CT199" s="451">
        <f t="shared" ref="CT199:CW199" si="371">SUM(CT185:CT197)</f>
        <v>965.66398141804666</v>
      </c>
      <c r="CU199" s="451">
        <f t="shared" si="371"/>
        <v>986.01827234366965</v>
      </c>
      <c r="CV199" s="451">
        <f t="shared" si="371"/>
        <v>1048.1822206909044</v>
      </c>
      <c r="CW199" s="435">
        <f t="shared" si="371"/>
        <v>1048.1822206909044</v>
      </c>
      <c r="CX199" s="771"/>
      <c r="CY199" s="440">
        <f>SUM(CY185:CY197)</f>
        <v>938.6151118529408</v>
      </c>
      <c r="CZ199" s="451">
        <f t="shared" ref="CZ199:DC199" si="372">SUM(CZ185:CZ197)</f>
        <v>997.54840558980504</v>
      </c>
      <c r="DA199" s="451">
        <f t="shared" si="372"/>
        <v>1032.6105753418547</v>
      </c>
      <c r="DB199" s="451">
        <f t="shared" si="372"/>
        <v>1104.6169333335968</v>
      </c>
      <c r="DC199" s="435">
        <f t="shared" si="372"/>
        <v>1104.6169333335968</v>
      </c>
      <c r="DD199" s="771"/>
      <c r="DE199" s="440">
        <f>SUM(DE185:DE197)</f>
        <v>955.67314255044357</v>
      </c>
      <c r="DF199" s="451">
        <f t="shared" ref="DF199:DI199" si="373">SUM(DF185:DF197)</f>
        <v>1025.5555932696536</v>
      </c>
      <c r="DG199" s="451">
        <f t="shared" si="373"/>
        <v>1052.940631908202</v>
      </c>
      <c r="DH199" s="451">
        <f t="shared" si="373"/>
        <v>1147.7269815737779</v>
      </c>
      <c r="DI199" s="435">
        <f t="shared" si="373"/>
        <v>1147.7269815737779</v>
      </c>
    </row>
    <row r="200" spans="1:113">
      <c r="A200" s="771"/>
      <c r="B200" s="278"/>
      <c r="C200" s="278"/>
      <c r="D200" s="278"/>
      <c r="E200" s="278"/>
      <c r="F200" s="278"/>
      <c r="G200" s="278"/>
      <c r="H200" s="278"/>
      <c r="I200" s="278"/>
      <c r="J200" s="278"/>
      <c r="K200" s="278"/>
      <c r="L200" s="278"/>
      <c r="M200" s="278"/>
      <c r="N200" s="278"/>
      <c r="O200" s="278"/>
      <c r="P200" s="278"/>
      <c r="Q200" s="278"/>
      <c r="R200" s="278"/>
      <c r="S200" s="278"/>
      <c r="T200" s="278"/>
      <c r="U200" s="278"/>
      <c r="V200" s="278"/>
      <c r="W200" s="278"/>
      <c r="X200" s="278"/>
      <c r="Y200" s="1462"/>
      <c r="Z200" s="611"/>
      <c r="AA200" s="611"/>
      <c r="AB200" s="611"/>
      <c r="AC200" s="735"/>
      <c r="AD200" s="771"/>
      <c r="AE200" s="1462"/>
      <c r="AF200" s="611"/>
      <c r="AG200" s="611"/>
      <c r="AH200" s="611"/>
      <c r="AI200" s="735"/>
      <c r="AJ200" s="771"/>
      <c r="AK200" s="1462"/>
      <c r="AL200" s="611"/>
      <c r="AM200" s="611"/>
      <c r="AN200" s="611"/>
      <c r="AO200" s="735"/>
      <c r="AP200" s="771"/>
      <c r="AQ200" s="1462"/>
      <c r="AR200" s="611"/>
      <c r="AS200" s="611"/>
      <c r="AT200" s="611"/>
      <c r="AU200" s="735"/>
      <c r="AV200" s="771"/>
      <c r="AW200" s="1462"/>
      <c r="AX200" s="611"/>
      <c r="AY200" s="611"/>
      <c r="AZ200" s="611"/>
      <c r="BA200" s="735"/>
      <c r="BB200" s="771"/>
      <c r="BC200" s="1462"/>
      <c r="BD200" s="611"/>
      <c r="BE200" s="611"/>
      <c r="BF200" s="611"/>
      <c r="BG200" s="735"/>
      <c r="BH200" s="771"/>
      <c r="BI200" s="1462"/>
      <c r="BJ200" s="611"/>
      <c r="BK200" s="611"/>
      <c r="BL200" s="611"/>
      <c r="BM200" s="735"/>
      <c r="BN200" s="771"/>
      <c r="BO200" s="1462"/>
      <c r="BP200" s="611"/>
      <c r="BQ200" s="611"/>
      <c r="BR200" s="611"/>
      <c r="BS200" s="735"/>
      <c r="BT200" s="771"/>
      <c r="BU200" s="1462"/>
      <c r="BV200" s="611"/>
      <c r="BW200" s="611"/>
      <c r="BX200" s="611"/>
      <c r="BY200" s="735"/>
      <c r="BZ200" s="771"/>
      <c r="CA200" s="1462"/>
      <c r="CB200" s="611"/>
      <c r="CC200" s="611"/>
      <c r="CD200" s="611"/>
      <c r="CE200" s="735"/>
      <c r="CF200" s="771"/>
      <c r="CG200" s="1462"/>
      <c r="CH200" s="611"/>
      <c r="CI200" s="611"/>
      <c r="CJ200" s="611"/>
      <c r="CK200" s="735"/>
      <c r="CL200" s="771"/>
      <c r="CM200" s="1462"/>
      <c r="CN200" s="611"/>
      <c r="CO200" s="611"/>
      <c r="CP200" s="611"/>
      <c r="CQ200" s="735"/>
      <c r="CR200" s="771"/>
      <c r="CS200" s="1462"/>
      <c r="CT200" s="611"/>
      <c r="CU200" s="611"/>
      <c r="CV200" s="611"/>
      <c r="CW200" s="735"/>
      <c r="CX200" s="771"/>
      <c r="CY200" s="1462"/>
      <c r="CZ200" s="611"/>
      <c r="DA200" s="611"/>
      <c r="DB200" s="611"/>
      <c r="DC200" s="735"/>
      <c r="DD200" s="771"/>
      <c r="DE200" s="1462"/>
      <c r="DF200" s="611"/>
      <c r="DG200" s="611"/>
      <c r="DH200" s="611"/>
      <c r="DI200" s="735"/>
    </row>
    <row r="201" spans="1:113">
      <c r="A201" s="771" t="s">
        <v>570</v>
      </c>
      <c r="B201" s="278"/>
      <c r="C201" s="278"/>
      <c r="D201" s="278"/>
      <c r="E201" s="278"/>
      <c r="F201" s="278"/>
      <c r="G201" s="278"/>
      <c r="H201" s="278"/>
      <c r="I201" s="278"/>
      <c r="J201" s="278"/>
      <c r="K201" s="278"/>
      <c r="L201" s="278"/>
      <c r="M201" s="278"/>
      <c r="N201" s="278"/>
      <c r="O201" s="278"/>
      <c r="P201" s="278"/>
      <c r="Q201" s="278"/>
      <c r="R201" s="278"/>
      <c r="S201" s="278"/>
      <c r="T201" s="278"/>
      <c r="U201" s="278"/>
      <c r="V201" s="278"/>
      <c r="W201" s="278"/>
      <c r="X201" s="278"/>
      <c r="Y201" s="1778">
        <f t="shared" ref="Y201:Z201" si="374">Y$181*4/Y198</f>
        <v>0.24641511774255337</v>
      </c>
      <c r="Z201" s="2298">
        <f t="shared" si="374"/>
        <v>0.24426256495939633</v>
      </c>
      <c r="AA201" s="2298">
        <f>AA$181*4/AA198</f>
        <v>0.30919092676603993</v>
      </c>
      <c r="AB201" s="2298">
        <f t="shared" ref="AB201" si="375">AB$181*4/AB198</f>
        <v>0.43897865724381674</v>
      </c>
      <c r="AC201" s="2299">
        <f>AC181/AVERAGE(Y198:AB198)</f>
        <v>0.33376020392680505</v>
      </c>
      <c r="AD201" s="771"/>
      <c r="AE201" s="1778">
        <f t="shared" ref="AE201:AF201" si="376">AE$181*4/AE198</f>
        <v>0.12233874200831342</v>
      </c>
      <c r="AF201" s="2298">
        <f t="shared" si="376"/>
        <v>0.15930357545375462</v>
      </c>
      <c r="AG201" s="2298">
        <f>AG$181*4/AG198</f>
        <v>8.8688542568760867E-2</v>
      </c>
      <c r="AH201" s="2298">
        <f t="shared" ref="AH201" si="377">AH$181*4/AH198</f>
        <v>0.31858534519271442</v>
      </c>
      <c r="AI201" s="2299">
        <f>AI181/AVERAGE(AE198:AH198)</f>
        <v>0.16833464129480402</v>
      </c>
      <c r="AJ201" s="771"/>
      <c r="AK201" s="1778">
        <f t="shared" ref="AK201:AL201" si="378">AK$181*4/AK198</f>
        <v>9.9482352941176327E-2</v>
      </c>
      <c r="AL201" s="2298">
        <f t="shared" si="378"/>
        <v>0.12710782608695648</v>
      </c>
      <c r="AM201" s="2298">
        <f>AM$181*4/AM198</f>
        <v>0.16109210526315756</v>
      </c>
      <c r="AN201" s="2298">
        <f t="shared" ref="AN201" si="379">AN$181*4/AN198</f>
        <v>0.47006022752620996</v>
      </c>
      <c r="AO201" s="2299">
        <f>AO181/AVERAGE(AK198:AN198)</f>
        <v>0.21264339908952928</v>
      </c>
      <c r="AP201" s="771"/>
      <c r="AQ201" s="1778">
        <f t="shared" ref="AQ201:AR201" si="380">AQ$181*4/AQ198</f>
        <v>0.19060086817454891</v>
      </c>
      <c r="AR201" s="2298">
        <f t="shared" si="380"/>
        <v>0.27470148911798381</v>
      </c>
      <c r="AS201" s="2298">
        <f>AS$181*4/AS198</f>
        <v>0.26143432042520887</v>
      </c>
      <c r="AT201" s="2298">
        <f t="shared" ref="AT201" si="381">AT$181*4/AT198</f>
        <v>0.26876028368794297</v>
      </c>
      <c r="AU201" s="2299">
        <f>AU181/AVERAGE(AQ198:AT198)</f>
        <v>0.25191490978157655</v>
      </c>
      <c r="AV201" s="771"/>
      <c r="AW201" s="1778">
        <f t="shared" ref="AW201:AX201" si="382">AW$181*4/AW198</f>
        <v>0.14153703941455897</v>
      </c>
      <c r="AX201" s="2298">
        <f t="shared" si="382"/>
        <v>0.17808983011403343</v>
      </c>
      <c r="AY201" s="2298">
        <f>AY$181*4/AY198</f>
        <v>0.18455372000482326</v>
      </c>
      <c r="AZ201" s="2298">
        <f t="shared" ref="AZ201" si="383">AZ$181*4/AZ198</f>
        <v>0.23100829354109007</v>
      </c>
      <c r="BA201" s="2299">
        <f>BA181/AVERAGE(AW198:AZ198)</f>
        <v>0.18391260648403487</v>
      </c>
      <c r="BB201" s="771"/>
      <c r="BC201" s="1778">
        <f t="shared" ref="BC201:BD201" si="384">BC$181*4/BC198</f>
        <v>0.14591393676520936</v>
      </c>
      <c r="BD201" s="2298">
        <f t="shared" si="384"/>
        <v>0.11540553435114516</v>
      </c>
      <c r="BE201" s="2298">
        <f>BE$181*4/BE198</f>
        <v>0.22279732836964861</v>
      </c>
      <c r="BF201" s="2298">
        <f t="shared" ref="BF201" si="385">BF$181*4/BF198</f>
        <v>0.24647167204053472</v>
      </c>
      <c r="BG201" s="2299">
        <f>BG181/AVERAGE(BC198:BF198)</f>
        <v>0.18365882958640822</v>
      </c>
      <c r="BH201" s="771"/>
      <c r="BI201" s="1778">
        <f t="shared" ref="BI201:BJ201" si="386">BI$181*4/BI198</f>
        <v>7.6560300951538124E-2</v>
      </c>
      <c r="BJ201" s="2298">
        <f t="shared" si="386"/>
        <v>0.1540579986645044</v>
      </c>
      <c r="BK201" s="2298">
        <f>BK$181*4/BK198</f>
        <v>0.15342804811172081</v>
      </c>
      <c r="BL201" s="2298">
        <f t="shared" ref="BL201" si="387">BL$181*4/BL198</f>
        <v>0.2563041773974829</v>
      </c>
      <c r="BM201" s="2299">
        <f>BM181/AVERAGE(BI198:BL198)</f>
        <v>0.15998605793755979</v>
      </c>
      <c r="BN201" s="771"/>
      <c r="BO201" s="1778">
        <f t="shared" ref="BO201:BP201" si="388">BO$181*4/BO198</f>
        <v>0.1050216545818153</v>
      </c>
      <c r="BP201" s="2298">
        <f t="shared" si="388"/>
        <v>0.14890938052813982</v>
      </c>
      <c r="BQ201" s="2298">
        <f>BQ$181*4/BQ198</f>
        <v>0.10721462501012935</v>
      </c>
      <c r="BR201" s="2298">
        <f t="shared" ref="BR201" si="389">BR$181*4/BR198</f>
        <v>0.2102348549846311</v>
      </c>
      <c r="BS201" s="2299">
        <f>BS181/AVERAGE(BO198:BR198)</f>
        <v>0.14356555815365374</v>
      </c>
      <c r="BT201" s="771"/>
      <c r="BU201" s="1778">
        <f t="shared" ref="BU201:BV201" si="390">BU$181*4/BU198</f>
        <v>0.11522424078072545</v>
      </c>
      <c r="BV201" s="2298">
        <f t="shared" si="390"/>
        <v>0.15748767677977563</v>
      </c>
      <c r="BW201" s="2298">
        <f>BW$181*4/BW198</f>
        <v>0.14713800323666798</v>
      </c>
      <c r="BX201" s="2298">
        <f t="shared" ref="BX201" si="391">BX$181*4/BX198</f>
        <v>0.29563512306107431</v>
      </c>
      <c r="BY201" s="2299">
        <f>BY181/AVERAGE(BU198:BX198)</f>
        <v>0.17810590460264683</v>
      </c>
      <c r="BZ201" s="771"/>
      <c r="CA201" s="1778">
        <f t="shared" ref="CA201:CB201" si="392">CA$181*4/CA198</f>
        <v>0.15323448212678398</v>
      </c>
      <c r="CB201" s="2298">
        <f t="shared" si="392"/>
        <v>0.14357713261410232</v>
      </c>
      <c r="CC201" s="2298">
        <f>CC$181*4/CC198</f>
        <v>0.22104155277983811</v>
      </c>
      <c r="CD201" s="2298">
        <f t="shared" ref="CD201" si="393">CD$181*4/CD198</f>
        <v>0.29748992872637087</v>
      </c>
      <c r="CE201" s="2299">
        <f>CE181/AVERAGE(CA198:CD198)</f>
        <v>0.20276015852005139</v>
      </c>
      <c r="CF201" s="771"/>
      <c r="CG201" s="1778">
        <f t="shared" ref="CG201:CH201" si="394">CG$181*4/CG198</f>
        <v>0.1296032874980243</v>
      </c>
      <c r="CH201" s="2298">
        <f t="shared" si="394"/>
        <v>0.1296907542048556</v>
      </c>
      <c r="CI201" s="2298">
        <f>CI$181*4/CI198</f>
        <v>0.16702866880336206</v>
      </c>
      <c r="CJ201" s="2298">
        <f t="shared" ref="CJ201" si="395">CJ$181*4/CJ198</f>
        <v>0.3023171275422929</v>
      </c>
      <c r="CK201" s="2299">
        <f>CK181/AVERAGE(CG198:CJ198)</f>
        <v>0.18148249262177857</v>
      </c>
      <c r="CL201" s="771"/>
      <c r="CM201" s="1778">
        <f t="shared" ref="CM201:CN201" si="396">CM$181*4/CM198</f>
        <v>0.14744697035867066</v>
      </c>
      <c r="CN201" s="2298">
        <f t="shared" si="396"/>
        <v>0.14408981436966167</v>
      </c>
      <c r="CO201" s="2298">
        <f>CO$181*4/CO198</f>
        <v>0.20247017020235383</v>
      </c>
      <c r="CP201" s="2298">
        <f t="shared" ref="CP201" si="397">CP$181*4/CP198</f>
        <v>0.30911982978038793</v>
      </c>
      <c r="CQ201" s="2299">
        <f>CQ181/AVERAGE(CM198:CP198)</f>
        <v>0.20139562474078593</v>
      </c>
      <c r="CR201" s="771"/>
      <c r="CS201" s="1778">
        <f t="shared" ref="CS201:CT201" si="398">CS$181*4/CS198</f>
        <v>0.21083948912365316</v>
      </c>
      <c r="CT201" s="2298">
        <f t="shared" si="398"/>
        <v>0.20790716242963339</v>
      </c>
      <c r="CU201" s="2298">
        <f>CU$181*4/CU198</f>
        <v>0.20825046159021943</v>
      </c>
      <c r="CV201" s="2298">
        <f t="shared" ref="CV201" si="399">CV$181*4/CV198</f>
        <v>0.25522372023406215</v>
      </c>
      <c r="CW201" s="2299">
        <f>CW181/AVERAGE(CS198:CV198)</f>
        <v>0.22126049412500487</v>
      </c>
      <c r="CX201" s="771"/>
      <c r="CY201" s="1778">
        <f t="shared" ref="CY201:CZ201" si="400">CY$181*4/CY198</f>
        <v>0.22280342040666626</v>
      </c>
      <c r="CZ201" s="2298">
        <f t="shared" si="400"/>
        <v>0.21718319772941375</v>
      </c>
      <c r="DA201" s="2298">
        <f>DA$181*4/DA198</f>
        <v>0.22047448249656781</v>
      </c>
      <c r="DB201" s="2298">
        <f t="shared" ref="DB201" si="401">DB$181*4/DB198</f>
        <v>0.26418545310140867</v>
      </c>
      <c r="DC201" s="2299">
        <f>DC181/AVERAGE(CY198:DB198)</f>
        <v>0.23193041353731778</v>
      </c>
      <c r="DD201" s="771"/>
      <c r="DE201" s="1778">
        <f t="shared" ref="DE201:DF201" si="402">DE$181*4/DE198</f>
        <v>0.23755456379544609</v>
      </c>
      <c r="DF201" s="2298">
        <f t="shared" si="402"/>
        <v>0.23336346082621409</v>
      </c>
      <c r="DG201" s="2298">
        <f>DG$181*4/DG198</f>
        <v>0.23435479218804048</v>
      </c>
      <c r="DH201" s="2298">
        <f t="shared" ref="DH201" si="403">DH$181*4/DH198</f>
        <v>0.27973879624656789</v>
      </c>
      <c r="DI201" s="2299">
        <f>DI181/AVERAGE(DE198:DH198)</f>
        <v>0.24715250466419467</v>
      </c>
    </row>
    <row r="202" spans="1:113">
      <c r="A202" s="2284" t="s">
        <v>571</v>
      </c>
      <c r="B202" s="278"/>
      <c r="C202" s="278"/>
      <c r="D202" s="278"/>
      <c r="E202" s="278"/>
      <c r="F202" s="278"/>
      <c r="G202" s="278"/>
      <c r="H202" s="278"/>
      <c r="I202" s="278"/>
      <c r="J202" s="278"/>
      <c r="K202" s="278"/>
      <c r="L202" s="278"/>
      <c r="M202" s="278"/>
      <c r="N202" s="278"/>
      <c r="O202" s="278"/>
      <c r="P202" s="278"/>
      <c r="Q202" s="278"/>
      <c r="R202" s="278"/>
      <c r="S202" s="278"/>
      <c r="T202" s="278"/>
      <c r="U202" s="278"/>
      <c r="V202" s="278"/>
      <c r="W202" s="278"/>
      <c r="X202" s="278"/>
      <c r="Y202" s="2269">
        <f t="shared" ref="Y202:Z202" si="404">Y$181*4/Y199</f>
        <v>0.3032507856693904</v>
      </c>
      <c r="Z202" s="2270">
        <f t="shared" si="404"/>
        <v>0.29154127014384773</v>
      </c>
      <c r="AA202" s="2270">
        <f>AA$181*4/AA199</f>
        <v>0.36264211097839039</v>
      </c>
      <c r="AB202" s="2270">
        <f t="shared" ref="AB202" si="405">AB$181*4/AB199</f>
        <v>0.48245033009708793</v>
      </c>
      <c r="AC202" s="2271">
        <f>AC181/AVERAGE(Y199:AB199)</f>
        <v>0.38628225340680289</v>
      </c>
      <c r="AD202" s="771"/>
      <c r="AE202" s="2269">
        <f t="shared" ref="AE202:AF202" si="406">AE$181*4/AE199</f>
        <v>0.13333667835333024</v>
      </c>
      <c r="AF202" s="2270">
        <f t="shared" si="406"/>
        <v>0.17317572534573791</v>
      </c>
      <c r="AG202" s="2270">
        <f>AG$181*4/AG199</f>
        <v>9.756178732928146E-2</v>
      </c>
      <c r="AH202" s="2270">
        <f t="shared" ref="AH202" si="407">AH$181*4/AH199</f>
        <v>0.35330201972757103</v>
      </c>
      <c r="AI202" s="2271">
        <f>AI181/AVERAGE(AE199:AH199)</f>
        <v>0.1845078789194988</v>
      </c>
      <c r="AJ202" s="771"/>
      <c r="AK202" s="2269">
        <f t="shared" ref="AK202:AL202" si="408">AK$181*4/AK199</f>
        <v>0.11068609533218063</v>
      </c>
      <c r="AL202" s="2270">
        <f t="shared" si="408"/>
        <v>0.14153861050593072</v>
      </c>
      <c r="AM202" s="2270">
        <f>AM$181*4/AM199</f>
        <v>0.17868916761687534</v>
      </c>
      <c r="AN202" s="2270">
        <f t="shared" ref="AN202" si="409">AN$181*4/AN199</f>
        <v>0.52576846307385205</v>
      </c>
      <c r="AO202" s="2271">
        <f>AO181/AVERAGE(AK199:AN199)</f>
        <v>0.23675230797079552</v>
      </c>
      <c r="AP202" s="771"/>
      <c r="AQ202" s="2269">
        <f t="shared" ref="AQ202:AR202" si="410">AQ$181*4/AQ199</f>
        <v>0.21309323116219683</v>
      </c>
      <c r="AR202" s="2270">
        <f t="shared" si="410"/>
        <v>0.32381096408317561</v>
      </c>
      <c r="AS202" s="2270">
        <f>AS$181*4/AS199</f>
        <v>0.28788377926421405</v>
      </c>
      <c r="AT202" s="2270">
        <f t="shared" ref="AT202" si="411">AT$181*4/AT199</f>
        <v>0.31230591725729318</v>
      </c>
      <c r="AU202" s="2271">
        <f>AU181/AVERAGE(AQ199:AT199)</f>
        <v>0.28725583410038452</v>
      </c>
      <c r="AV202" s="771"/>
      <c r="AW202" s="2269">
        <f t="shared" ref="AW202:AX202" si="412">AW$181*4/AW199</f>
        <v>0.16200323291697277</v>
      </c>
      <c r="AX202" s="2270">
        <f t="shared" si="412"/>
        <v>0.20156775977874403</v>
      </c>
      <c r="AY202" s="2270">
        <f>AY$181*4/AY199</f>
        <v>0.2088284895620138</v>
      </c>
      <c r="AZ202" s="2270">
        <f t="shared" ref="AZ202" si="413">AZ$181*4/AZ199</f>
        <v>0.26428464634847537</v>
      </c>
      <c r="BA202" s="2271">
        <f>BA181/AVERAGE(AW199:AZ199)</f>
        <v>0.20924603423630703</v>
      </c>
      <c r="BB202" s="771"/>
      <c r="BC202" s="2269">
        <f t="shared" ref="BC202:BD202" si="414">BC$181*4/BC199</f>
        <v>0.16701750718578512</v>
      </c>
      <c r="BD202" s="2270">
        <f t="shared" si="414"/>
        <v>0.13279714520999189</v>
      </c>
      <c r="BE202" s="2270">
        <f>BE$181*4/BE199</f>
        <v>0.25534044422135788</v>
      </c>
      <c r="BF202" s="2270">
        <f t="shared" ref="BF202" si="415">BF$181*4/BF199</f>
        <v>0.28443322259136256</v>
      </c>
      <c r="BG202" s="2271">
        <f>BG181/AVERAGE(BC199:BF199)</f>
        <v>0.21098376815403841</v>
      </c>
      <c r="BH202" s="771"/>
      <c r="BI202" s="2269">
        <f t="shared" ref="BI202:BJ202" si="416">BI$181*4/BI199</f>
        <v>8.7744357088511485E-2</v>
      </c>
      <c r="BJ202" s="2270">
        <f t="shared" si="416"/>
        <v>0.17532514058666432</v>
      </c>
      <c r="BK202" s="2270">
        <f>BK$181*4/BK199</f>
        <v>0.17600096024529879</v>
      </c>
      <c r="BL202" s="2270">
        <f t="shared" ref="BL202" si="417">BL$181*4/BL199</f>
        <v>0.29825324240318601</v>
      </c>
      <c r="BM202" s="2271">
        <f>BM181/AVERAGE(BI199:BL199)</f>
        <v>0.18374214262258198</v>
      </c>
      <c r="BN202" s="771"/>
      <c r="BO202" s="2269">
        <f t="shared" ref="BO202:BP202" si="418">BO$181*4/BO199</f>
        <v>0.12214007678463421</v>
      </c>
      <c r="BP202" s="2270">
        <f t="shared" si="418"/>
        <v>0.17076526809351217</v>
      </c>
      <c r="BQ202" s="2270">
        <f>BQ$181*4/BQ199</f>
        <v>0.12440510191360488</v>
      </c>
      <c r="BR202" s="2270">
        <f t="shared" ref="BR202" si="419">BR$181*4/BR199</f>
        <v>0.24216736564191163</v>
      </c>
      <c r="BS202" s="2271">
        <f>BS181/AVERAGE(BO199:BR199)</f>
        <v>0.16586214895212517</v>
      </c>
      <c r="BT202" s="771"/>
      <c r="BU202" s="2269">
        <f t="shared" ref="BU202:BV202" si="420">BU$181*4/BU199</f>
        <v>0.13365716294282484</v>
      </c>
      <c r="BV202" s="2270">
        <f t="shared" si="420"/>
        <v>0.18073083865745296</v>
      </c>
      <c r="BW202" s="2270">
        <f>BW$181*4/BW199</f>
        <v>0.16882642577102308</v>
      </c>
      <c r="BX202" s="2270">
        <f t="shared" ref="BX202" si="421">BX$181*4/BX199</f>
        <v>0.34475094429472947</v>
      </c>
      <c r="BY202" s="2271">
        <f>BY181/AVERAGE(BU199:BX199)</f>
        <v>0.20570523048121375</v>
      </c>
      <c r="BZ202" s="771"/>
      <c r="CA202" s="2269">
        <f t="shared" ref="CA202:CB202" si="422">CA$181*4/CA199</f>
        <v>0.17610607677714363</v>
      </c>
      <c r="CB202" s="2270">
        <f t="shared" si="422"/>
        <v>0.16572314035276642</v>
      </c>
      <c r="CC202" s="2270">
        <f>CC$181*4/CC199</f>
        <v>0.25472065764448415</v>
      </c>
      <c r="CD202" s="2270">
        <f t="shared" ref="CD202" si="423">CD$181*4/CD199</f>
        <v>0.3438805970149249</v>
      </c>
      <c r="CE202" s="2271">
        <f>CE181/AVERAGE(CA199:CD199)</f>
        <v>0.23376275317971962</v>
      </c>
      <c r="CF202" s="771"/>
      <c r="CG202" s="2269">
        <f t="shared" ref="CG202:CH202" si="424">CG$181*4/CG199</f>
        <v>0.15136412301103847</v>
      </c>
      <c r="CH202" s="2270">
        <f t="shared" si="424"/>
        <v>0.15024345205431724</v>
      </c>
      <c r="CI202" s="2270">
        <f>CI$181*4/CI199</f>
        <v>0.1945404249192734</v>
      </c>
      <c r="CJ202" s="2270">
        <f t="shared" ref="CJ202" si="425">CJ$181*4/CJ199</f>
        <v>0.35708448938661308</v>
      </c>
      <c r="CK202" s="2271">
        <f>CK181/AVERAGE(CG199:CJ199)</f>
        <v>0.21192232004706682</v>
      </c>
      <c r="CL202" s="771"/>
      <c r="CM202" s="2269">
        <f t="shared" ref="CM202:CN202" si="426">CM$181*4/CM199</f>
        <v>0.17412663951346746</v>
      </c>
      <c r="CN202" s="2270">
        <f t="shared" si="426"/>
        <v>0.16868643611428141</v>
      </c>
      <c r="CO202" s="2270">
        <f>CO$181*4/CO199</f>
        <v>0.23729747602859519</v>
      </c>
      <c r="CP202" s="2270">
        <f t="shared" ref="CP202" si="427">CP$181*4/CP199</f>
        <v>0.36197114184030788</v>
      </c>
      <c r="CQ202" s="2271">
        <f>CQ181/AVERAGE(CM199:CP199)</f>
        <v>0.23634939340523595</v>
      </c>
      <c r="CR202" s="771"/>
      <c r="CS202" s="2269">
        <f t="shared" ref="CS202:CT202" si="428">CS$181*4/CS199</f>
        <v>0.25053849124547622</v>
      </c>
      <c r="CT202" s="2270">
        <f t="shared" si="428"/>
        <v>0.24446505094972809</v>
      </c>
      <c r="CU202" s="2270">
        <f>CU$181*4/CU199</f>
        <v>0.2441128075221764</v>
      </c>
      <c r="CV202" s="2270">
        <f t="shared" ref="CV202" si="429">CV$181*4/CV199</f>
        <v>0.2965686188979399</v>
      </c>
      <c r="CW202" s="2271">
        <f>CW181/AVERAGE(CS199:CV199)</f>
        <v>0.25977742529925041</v>
      </c>
      <c r="CX202" s="771"/>
      <c r="CY202" s="2269">
        <f t="shared" ref="CY202:CZ202" si="430">CY$181*4/CY199</f>
        <v>0.26310963357892908</v>
      </c>
      <c r="CZ202" s="2270">
        <f t="shared" si="430"/>
        <v>0.25415153607551166</v>
      </c>
      <c r="DA202" s="2270">
        <f>DA$181*4/DA199</f>
        <v>0.25672877624668122</v>
      </c>
      <c r="DB202" s="2270">
        <f t="shared" ref="DB202" si="431">DB$181*4/DB199</f>
        <v>0.30479563078648297</v>
      </c>
      <c r="DC202" s="2271">
        <f>DC181/AVERAGE(CY199:DB199)</f>
        <v>0.27060264899531755</v>
      </c>
      <c r="DD202" s="771"/>
      <c r="DE202" s="2269">
        <f t="shared" ref="DE202:DF202" si="432">DE$181*4/DE199</f>
        <v>0.2797622634120937</v>
      </c>
      <c r="DF202" s="2270">
        <f t="shared" si="432"/>
        <v>0.27200116697138682</v>
      </c>
      <c r="DG202" s="2270">
        <f>DG$181*4/DG199</f>
        <v>0.27214746777451987</v>
      </c>
      <c r="DH202" s="2270">
        <f t="shared" ref="DH202" si="433">DH$181*4/DH199</f>
        <v>0.32112463831985882</v>
      </c>
      <c r="DI202" s="2271">
        <f>DI181/AVERAGE(DE199:DH199)</f>
        <v>0.28729361939936415</v>
      </c>
    </row>
  </sheetData>
  <phoneticPr fontId="6" type="noConversion"/>
  <pageMargins left="0" right="0" top="0" bottom="0" header="0" footer="0"/>
  <pageSetup scale="87" orientation="portrait" r:id="rId1"/>
  <headerFooter alignWithMargins="0"/>
  <ignoredErrors>
    <ignoredError sqref="BF120:BM121 BF108:BM108 AO15 BA15 BG15 AH16:BW24 AH15:AN15 BH15:BW15 BB15:BF15 AP15:AZ15 AH26:BW37 AH25:BW25 CE25:CF25 AH39:BW43 AH38:BW38 BZ25 BZ16:BZ24 BZ15 BZ26:BZ37 BZ39:BZ43 BZ38 BU101:BY127 CB20:CC22 CB15:CC15 CB27:CC28 CB40:CC40 CE16:CF16 CE17:CF17 CE18:CF18 CE19:CF19 CE24:CF24 CE23:CF23 CE26:CF26 CB31:CC31 CE29:CF29 CE30:CF30 CB33:CC34 CE32:CF32 CE37:CF37 CE35:CF35 CE36:CF36 CE39:CF39 CB42:CQ43 CE41:CF41 CE20:CQ22 CE15:CQ15 CE27:CQ28 CE40:CQ40 CE31:CQ31 CE33:CQ34 CK16:CQ16 CK17:CQ17 CK18:CQ18 CK19:CQ19 CK23:CQ23 CK24:CQ24 CK25:CQ25 CK26:CQ26 CK29:CQ29 CK30:CQ30 CK32:CQ32 CK35:CQ35 CK36:CQ36 CK37:CQ37 CK39:CQ39 CK41:CQ41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DW132"/>
  <sheetViews>
    <sheetView showGridLines="0" zoomScaleNormal="100" workbookViewId="0">
      <pane xSplit="1" ySplit="8" topLeftCell="B9" activePane="bottomRight" state="frozen"/>
      <selection activeCell="B7" sqref="B7"/>
      <selection pane="topRight" activeCell="B7" sqref="B7"/>
      <selection pane="bottomLeft" activeCell="B7" sqref="B7"/>
      <selection pane="bottomRight"/>
    </sheetView>
  </sheetViews>
  <sheetFormatPr defaultColWidth="9.42578125" defaultRowHeight="12.75" outlineLevelRow="1" outlineLevelCol="1"/>
  <cols>
    <col min="1" max="1" width="35.7109375" customWidth="1"/>
    <col min="2" max="2" width="0.85546875" customWidth="1"/>
    <col min="3" max="3" width="8.7109375" hidden="1" customWidth="1" outlineLevel="1"/>
    <col min="4" max="4" width="0.85546875" hidden="1" customWidth="1" outlineLevel="1"/>
    <col min="5" max="5" width="8.7109375" hidden="1" customWidth="1" outlineLevel="1"/>
    <col min="6" max="6" width="0.85546875" hidden="1" customWidth="1" outlineLevel="1"/>
    <col min="7" max="7" width="8.7109375" hidden="1" customWidth="1" outlineLevel="1"/>
    <col min="8" max="8" width="0.85546875" hidden="1" customWidth="1" outlineLevel="1"/>
    <col min="9" max="9" width="8.7109375" hidden="1" customWidth="1" outlineLevel="1"/>
    <col min="10" max="10" width="0.85546875" hidden="1" customWidth="1" outlineLevel="1"/>
    <col min="11" max="11" width="8.7109375" hidden="1" customWidth="1" outlineLevel="1"/>
    <col min="12" max="12" width="0.85546875" hidden="1" customWidth="1" outlineLevel="1"/>
    <col min="13" max="13" width="8.7109375" hidden="1" customWidth="1" outlineLevel="1"/>
    <col min="14" max="14" width="0.85546875" hidden="1" customWidth="1" outlineLevel="1"/>
    <col min="15" max="15" width="8.7109375" hidden="1" customWidth="1" outlineLevel="1"/>
    <col min="16" max="16" width="0.85546875" hidden="1" customWidth="1" outlineLevel="1"/>
    <col min="17" max="17" width="8.7109375" hidden="1" customWidth="1" outlineLevel="1"/>
    <col min="18" max="18" width="0.85546875" hidden="1" customWidth="1" outlineLevel="1"/>
    <col min="19" max="23" width="8.7109375" hidden="1" customWidth="1" outlineLevel="1"/>
    <col min="24" max="24" width="0.85546875" hidden="1" customWidth="1" outlineLevel="1"/>
    <col min="25" max="29" width="8.7109375" hidden="1" customWidth="1" outlineLevel="1"/>
    <col min="30" max="30" width="0.85546875" hidden="1" customWidth="1" outlineLevel="1"/>
    <col min="31" max="35" width="8.7109375" hidden="1" customWidth="1" outlineLevel="1"/>
    <col min="36" max="36" width="0.85546875" hidden="1" customWidth="1" outlineLevel="1"/>
    <col min="37" max="41" width="8.7109375" hidden="1" customWidth="1" outlineLevel="1"/>
    <col min="42" max="42" width="0.85546875" hidden="1" customWidth="1" outlineLevel="1"/>
    <col min="43" max="46" width="8.7109375" hidden="1" customWidth="1" outlineLevel="1"/>
    <col min="47" max="47" width="8.7109375" hidden="1" customWidth="1" outlineLevel="1" collapsed="1"/>
    <col min="48" max="48" width="0.85546875" hidden="1" customWidth="1" outlineLevel="1"/>
    <col min="49" max="52" width="8.7109375" hidden="1" customWidth="1" outlineLevel="1"/>
    <col min="53" max="53" width="8.7109375" hidden="1" customWidth="1" outlineLevel="1" collapsed="1"/>
    <col min="54" max="54" width="0.85546875" hidden="1" customWidth="1" outlineLevel="1"/>
    <col min="55" max="58" width="8.7109375" hidden="1" customWidth="1" outlineLevel="1"/>
    <col min="59" max="59" width="8.7109375" customWidth="1" collapsed="1"/>
    <col min="60" max="60" width="0.85546875" customWidth="1"/>
    <col min="61" max="64" width="8.7109375" hidden="1" customWidth="1" outlineLevel="1"/>
    <col min="65" max="65" width="8.7109375" customWidth="1" collapsed="1"/>
    <col min="66" max="66" width="0.85546875" customWidth="1"/>
    <col min="67" max="70" width="8.7109375" hidden="1" customWidth="1" outlineLevel="1"/>
    <col min="71" max="71" width="8.7109375" customWidth="1" collapsed="1"/>
    <col min="72" max="72" width="0.85546875" customWidth="1"/>
    <col min="73" max="76" width="8.7109375" hidden="1" customWidth="1" outlineLevel="1"/>
    <col min="77" max="77" width="8.7109375" customWidth="1" collapsed="1"/>
    <col min="78" max="78" width="0.85546875" customWidth="1"/>
    <col min="79" max="82" width="8.7109375" hidden="1" customWidth="1" outlineLevel="1"/>
    <col min="83" max="83" width="8.7109375" customWidth="1" collapsed="1"/>
    <col min="84" max="84" width="0.85546875" customWidth="1"/>
    <col min="85" max="88" width="8.7109375" hidden="1" customWidth="1" outlineLevel="1"/>
    <col min="89" max="89" width="8.7109375" customWidth="1" collapsed="1"/>
    <col min="90" max="90" width="0.85546875" customWidth="1"/>
    <col min="91" max="94" width="8.7109375" customWidth="1" outlineLevel="1"/>
    <col min="95" max="95" width="8.7109375" customWidth="1"/>
    <col min="96" max="96" width="0.85546875" customWidth="1"/>
    <col min="97" max="100" width="8.7109375" customWidth="1" outlineLevel="1"/>
    <col min="101" max="101" width="8.7109375" customWidth="1"/>
    <col min="102" max="102" width="0.85546875" customWidth="1"/>
    <col min="103" max="106" width="8.7109375" hidden="1" customWidth="1" outlineLevel="1"/>
    <col min="107" max="107" width="8.7109375" customWidth="1" collapsed="1"/>
    <col min="108" max="108" width="0.85546875" customWidth="1"/>
    <col min="109" max="112" width="8.7109375" hidden="1" customWidth="1" outlineLevel="1"/>
    <col min="113" max="113" width="8.7109375" customWidth="1" collapsed="1"/>
    <col min="114" max="114" width="32.7109375" hidden="1" customWidth="1" outlineLevel="1"/>
    <col min="115" max="119" width="9.42578125" hidden="1" customWidth="1" outlineLevel="1"/>
    <col min="120" max="120" width="9.42578125" customWidth="1" collapsed="1"/>
  </cols>
  <sheetData>
    <row r="1" spans="1:120" ht="11.25" customHeight="1">
      <c r="DP1" s="2"/>
    </row>
    <row r="2" spans="1:120" ht="11.25" customHeight="1">
      <c r="A2" s="770" t="s">
        <v>265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33"/>
      <c r="AJ2" s="27"/>
      <c r="AK2" s="27"/>
      <c r="AL2" s="27"/>
      <c r="AM2" s="27"/>
      <c r="AN2" s="27"/>
      <c r="AO2" s="33"/>
      <c r="AP2" s="27"/>
      <c r="AQ2" s="27"/>
      <c r="AR2" s="27"/>
      <c r="AS2" s="27"/>
      <c r="AT2" s="27"/>
      <c r="AU2" s="33"/>
      <c r="AV2" s="27"/>
      <c r="AW2" s="27"/>
      <c r="AX2" s="27"/>
      <c r="AY2" s="27"/>
      <c r="AZ2" s="27"/>
      <c r="BA2" s="33"/>
      <c r="BB2" s="27"/>
      <c r="BC2" s="213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P2" s="27"/>
    </row>
    <row r="3" spans="1:120" ht="11.25" customHeight="1">
      <c r="A3" s="1009" t="s">
        <v>274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9"/>
      <c r="BT3" s="28"/>
      <c r="BU3" s="28"/>
      <c r="BV3" s="28"/>
      <c r="BW3" s="28"/>
      <c r="BX3" s="28"/>
      <c r="BY3" s="214"/>
      <c r="BZ3" s="28"/>
      <c r="CA3" s="28"/>
      <c r="CB3" s="28"/>
      <c r="CC3" s="28"/>
      <c r="CD3" s="28"/>
      <c r="CE3" s="214"/>
      <c r="CF3" s="28"/>
      <c r="CG3" s="28"/>
      <c r="CH3" s="28"/>
      <c r="CI3" s="28"/>
      <c r="CJ3" s="28"/>
      <c r="CK3" s="214"/>
      <c r="CL3" s="28"/>
      <c r="CM3" s="28"/>
      <c r="CN3" s="28"/>
      <c r="CO3" s="28"/>
      <c r="CP3" s="28"/>
      <c r="CQ3" s="28"/>
      <c r="CR3" s="27"/>
      <c r="CS3" s="28"/>
      <c r="CT3" s="28"/>
      <c r="CU3" s="28"/>
      <c r="CV3" s="28"/>
      <c r="CW3" s="28"/>
      <c r="CX3" s="27"/>
      <c r="CY3" s="28"/>
      <c r="CZ3" s="28"/>
      <c r="DA3" s="28"/>
      <c r="DB3" s="28"/>
      <c r="DC3" s="28"/>
      <c r="DD3" s="27"/>
      <c r="DE3" s="28"/>
      <c r="DF3" s="28"/>
      <c r="DG3" s="28"/>
      <c r="DH3" s="28"/>
      <c r="DI3" s="28"/>
      <c r="DP3" s="27"/>
    </row>
    <row r="4" spans="1:120" ht="11.25" customHeight="1">
      <c r="A4" s="1010" t="s">
        <v>71</v>
      </c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215"/>
      <c r="AV4" s="30"/>
      <c r="AW4" s="30"/>
      <c r="AX4" s="30"/>
      <c r="AY4" s="216"/>
      <c r="AZ4" s="216"/>
      <c r="BA4" s="215"/>
      <c r="BB4" s="30"/>
      <c r="BC4" s="216"/>
      <c r="BD4" s="216"/>
      <c r="BE4" s="216"/>
      <c r="BF4" s="216"/>
      <c r="BG4" s="216"/>
      <c r="BH4" s="30"/>
      <c r="BI4" s="216"/>
      <c r="BJ4" s="216"/>
      <c r="BK4" s="216"/>
      <c r="BL4" s="216"/>
      <c r="BM4" s="216"/>
      <c r="BN4" s="30"/>
      <c r="BO4" s="216"/>
      <c r="BP4" s="216"/>
      <c r="BQ4" s="216"/>
      <c r="BR4" s="216"/>
      <c r="BS4" s="216"/>
      <c r="BT4" s="30"/>
      <c r="BU4" s="216"/>
      <c r="BV4" s="216"/>
      <c r="BW4" s="216"/>
      <c r="BX4" s="216"/>
      <c r="BY4" s="216"/>
      <c r="BZ4" s="30"/>
      <c r="CA4" s="216"/>
      <c r="CB4" s="216"/>
      <c r="CC4" s="216"/>
      <c r="CD4" s="216"/>
      <c r="CE4" s="216"/>
      <c r="CF4" s="30"/>
      <c r="CG4" s="216"/>
      <c r="CH4" s="216"/>
      <c r="CI4" s="216"/>
      <c r="CJ4" s="216"/>
      <c r="CK4" s="216"/>
      <c r="CL4" s="30"/>
      <c r="CM4" s="216"/>
      <c r="CN4" s="216"/>
      <c r="CO4" s="216"/>
      <c r="CP4" s="216"/>
      <c r="CQ4" s="216"/>
      <c r="CR4" s="27"/>
      <c r="CS4" s="216"/>
      <c r="CT4" s="216"/>
      <c r="CU4" s="216"/>
      <c r="CV4" s="216"/>
      <c r="CW4" s="216"/>
      <c r="CX4" s="27"/>
      <c r="CY4" s="216"/>
      <c r="CZ4" s="216"/>
      <c r="DA4" s="216"/>
      <c r="DB4" s="216"/>
      <c r="DC4" s="216"/>
      <c r="DD4" s="27"/>
      <c r="DE4" s="216"/>
      <c r="DF4" s="216"/>
      <c r="DG4" s="216"/>
      <c r="DH4" s="216"/>
      <c r="DI4" s="216"/>
      <c r="DP4" s="27"/>
    </row>
    <row r="5" spans="1:120" ht="11.25" customHeight="1">
      <c r="A5" s="788" t="s">
        <v>2</v>
      </c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70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27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27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27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27"/>
      <c r="DH5" s="27"/>
      <c r="DI5" s="27"/>
      <c r="DP5" s="27"/>
    </row>
    <row r="6" spans="1:120" ht="11.25" hidden="1" customHeight="1" outlineLevel="1"/>
    <row r="7" spans="1:120" s="583" customFormat="1" ht="11.25" customHeight="1" collapsed="1">
      <c r="A7" s="1011"/>
      <c r="B7" s="217"/>
      <c r="C7" s="1128">
        <v>1998</v>
      </c>
      <c r="D7" s="1129"/>
      <c r="E7" s="1128">
        <f>C7+1</f>
        <v>1999</v>
      </c>
      <c r="F7" s="1129"/>
      <c r="G7" s="1128">
        <f>E7+1</f>
        <v>2000</v>
      </c>
      <c r="H7" s="1129"/>
      <c r="I7" s="1128">
        <f>G7+1</f>
        <v>2001</v>
      </c>
      <c r="J7" s="1129"/>
      <c r="K7" s="1128">
        <f>I7+1</f>
        <v>2002</v>
      </c>
      <c r="L7" s="1129"/>
      <c r="M7" s="1128">
        <f>K7+1</f>
        <v>2003</v>
      </c>
      <c r="N7" s="1129"/>
      <c r="O7" s="1128">
        <f>M7+1</f>
        <v>2004</v>
      </c>
      <c r="P7" s="1129"/>
      <c r="Q7" s="1128">
        <f>O7+1</f>
        <v>2005</v>
      </c>
      <c r="R7" s="795"/>
      <c r="S7" s="1130" t="s">
        <v>21</v>
      </c>
      <c r="T7" s="1131"/>
      <c r="U7" s="1131"/>
      <c r="V7" s="1131"/>
      <c r="W7" s="1128">
        <f>Q7+1</f>
        <v>2006</v>
      </c>
      <c r="X7" s="768"/>
      <c r="Y7" s="1130">
        <v>2007</v>
      </c>
      <c r="Z7" s="1131"/>
      <c r="AA7" s="1131"/>
      <c r="AB7" s="1131"/>
      <c r="AC7" s="1128">
        <f>W7+1</f>
        <v>2007</v>
      </c>
      <c r="AD7" s="790"/>
      <c r="AE7" s="1130">
        <f>Y7+1</f>
        <v>2008</v>
      </c>
      <c r="AF7" s="1131"/>
      <c r="AG7" s="1131"/>
      <c r="AH7" s="1131"/>
      <c r="AI7" s="1128">
        <f>AC7+1</f>
        <v>2008</v>
      </c>
      <c r="AJ7" s="1132"/>
      <c r="AK7" s="1130">
        <f>AE7+1</f>
        <v>2009</v>
      </c>
      <c r="AL7" s="1131"/>
      <c r="AM7" s="1131"/>
      <c r="AN7" s="1131"/>
      <c r="AO7" s="1128">
        <f>AI7+1</f>
        <v>2009</v>
      </c>
      <c r="AP7" s="1132"/>
      <c r="AQ7" s="1130">
        <f>AK7+1</f>
        <v>2010</v>
      </c>
      <c r="AR7" s="1131"/>
      <c r="AS7" s="1131"/>
      <c r="AT7" s="1131"/>
      <c r="AU7" s="1128">
        <f>AO7+1</f>
        <v>2010</v>
      </c>
      <c r="AV7" s="1132"/>
      <c r="AW7" s="1130">
        <f>AQ7+1</f>
        <v>2011</v>
      </c>
      <c r="AX7" s="1131"/>
      <c r="AY7" s="1131"/>
      <c r="AZ7" s="1131"/>
      <c r="BA7" s="1128">
        <f>AU7+1</f>
        <v>2011</v>
      </c>
      <c r="BB7" s="1132"/>
      <c r="BC7" s="1130">
        <f>AW7+1</f>
        <v>2012</v>
      </c>
      <c r="BD7" s="1131"/>
      <c r="BE7" s="1131"/>
      <c r="BF7" s="1131"/>
      <c r="BG7" s="1128">
        <f>BA7+1</f>
        <v>2012</v>
      </c>
      <c r="BH7" s="1132"/>
      <c r="BI7" s="1130">
        <f>BC7+1</f>
        <v>2013</v>
      </c>
      <c r="BJ7" s="1131"/>
      <c r="BK7" s="1131"/>
      <c r="BL7" s="1131"/>
      <c r="BM7" s="1128">
        <f>BG7+1</f>
        <v>2013</v>
      </c>
      <c r="BN7" s="1132"/>
      <c r="BO7" s="1130">
        <f>BI7+1</f>
        <v>2014</v>
      </c>
      <c r="BP7" s="1131"/>
      <c r="BQ7" s="1131"/>
      <c r="BR7" s="1131"/>
      <c r="BS7" s="1128">
        <f>BM7+1</f>
        <v>2014</v>
      </c>
      <c r="BT7" s="1132"/>
      <c r="BU7" s="1130">
        <f>BO7+1</f>
        <v>2015</v>
      </c>
      <c r="BV7" s="1131"/>
      <c r="BW7" s="1131"/>
      <c r="BX7" s="1131"/>
      <c r="BY7" s="1128">
        <f>BS7+1</f>
        <v>2015</v>
      </c>
      <c r="BZ7" s="1132"/>
      <c r="CA7" s="1130">
        <f>BU7+1</f>
        <v>2016</v>
      </c>
      <c r="CB7" s="1131"/>
      <c r="CC7" s="1131"/>
      <c r="CD7" s="1131"/>
      <c r="CE7" s="1128">
        <f>BY7+1</f>
        <v>2016</v>
      </c>
      <c r="CF7" s="1132"/>
      <c r="CG7" s="1133" t="s">
        <v>314</v>
      </c>
      <c r="CH7" s="1131"/>
      <c r="CI7" s="1131"/>
      <c r="CJ7" s="1237"/>
      <c r="CK7" s="1134">
        <f>CE7+1</f>
        <v>2017</v>
      </c>
      <c r="CL7" s="1132"/>
      <c r="CM7" s="1133" t="s">
        <v>315</v>
      </c>
      <c r="CN7" s="1131"/>
      <c r="CO7" s="1131"/>
      <c r="CP7" s="1237"/>
      <c r="CQ7" s="1134">
        <f>CK7+1</f>
        <v>2018</v>
      </c>
      <c r="CR7" s="1132"/>
      <c r="CS7" s="1133" t="s">
        <v>316</v>
      </c>
      <c r="CT7" s="1131"/>
      <c r="CU7" s="1131"/>
      <c r="CV7" s="1237"/>
      <c r="CW7" s="1134">
        <f>CQ7+1</f>
        <v>2019</v>
      </c>
      <c r="CX7" s="1132"/>
      <c r="CY7" s="1133" t="s">
        <v>317</v>
      </c>
      <c r="CZ7" s="1131"/>
      <c r="DA7" s="1131"/>
      <c r="DB7" s="1237"/>
      <c r="DC7" s="1134">
        <f>CW7+1</f>
        <v>2020</v>
      </c>
      <c r="DD7" s="1132"/>
      <c r="DE7" s="1133" t="s">
        <v>367</v>
      </c>
      <c r="DF7" s="1131"/>
      <c r="DG7" s="1131"/>
      <c r="DH7" s="1237"/>
      <c r="DI7" s="1134">
        <f>DC7+1</f>
        <v>2021</v>
      </c>
      <c r="DJ7"/>
      <c r="DK7"/>
      <c r="DL7"/>
      <c r="DM7"/>
      <c r="DN7"/>
      <c r="DO7"/>
      <c r="DP7" s="27"/>
    </row>
    <row r="8" spans="1:120" ht="11.25" customHeight="1">
      <c r="A8" s="37"/>
      <c r="B8" s="38"/>
      <c r="C8" s="581"/>
      <c r="D8" s="582"/>
      <c r="E8" s="581"/>
      <c r="F8" s="582"/>
      <c r="G8" s="581"/>
      <c r="H8" s="582"/>
      <c r="I8" s="581"/>
      <c r="J8" s="582"/>
      <c r="K8" s="581"/>
      <c r="L8" s="582"/>
      <c r="M8" s="581"/>
      <c r="N8" s="582"/>
      <c r="O8" s="581"/>
      <c r="P8" s="582"/>
      <c r="Q8" s="581"/>
      <c r="R8" s="800"/>
      <c r="S8" s="801">
        <v>38807</v>
      </c>
      <c r="T8" s="801">
        <v>38898</v>
      </c>
      <c r="U8" s="801">
        <v>38990</v>
      </c>
      <c r="V8" s="801">
        <v>39082</v>
      </c>
      <c r="W8" s="581"/>
      <c r="X8" s="800"/>
      <c r="Y8" s="801">
        <v>39172</v>
      </c>
      <c r="Z8" s="801">
        <v>39263</v>
      </c>
      <c r="AA8" s="801">
        <v>39355</v>
      </c>
      <c r="AB8" s="801">
        <v>39447</v>
      </c>
      <c r="AC8" s="581"/>
      <c r="AD8" s="800"/>
      <c r="AE8" s="801">
        <v>39538</v>
      </c>
      <c r="AF8" s="801">
        <v>39629</v>
      </c>
      <c r="AG8" s="801">
        <v>39721</v>
      </c>
      <c r="AH8" s="801">
        <v>39813</v>
      </c>
      <c r="AI8" s="581"/>
      <c r="AJ8" s="800"/>
      <c r="AK8" s="801">
        <v>39903</v>
      </c>
      <c r="AL8" s="801">
        <v>39994</v>
      </c>
      <c r="AM8" s="801">
        <v>40086</v>
      </c>
      <c r="AN8" s="801">
        <v>40178</v>
      </c>
      <c r="AO8" s="581"/>
      <c r="AP8" s="802"/>
      <c r="AQ8" s="801">
        <v>40268</v>
      </c>
      <c r="AR8" s="801">
        <v>40359</v>
      </c>
      <c r="AS8" s="801">
        <v>40451</v>
      </c>
      <c r="AT8" s="801">
        <v>40543</v>
      </c>
      <c r="AU8" s="581"/>
      <c r="AV8" s="802"/>
      <c r="AW8" s="801">
        <v>40633</v>
      </c>
      <c r="AX8" s="801">
        <v>40724</v>
      </c>
      <c r="AY8" s="801">
        <v>40816</v>
      </c>
      <c r="AZ8" s="801">
        <v>40908</v>
      </c>
      <c r="BA8" s="581"/>
      <c r="BB8" s="802"/>
      <c r="BC8" s="808">
        <v>40999</v>
      </c>
      <c r="BD8" s="808">
        <v>41090</v>
      </c>
      <c r="BE8" s="808">
        <f>AY8+365</f>
        <v>41181</v>
      </c>
      <c r="BF8" s="809">
        <f>AZ8+365</f>
        <v>41273</v>
      </c>
      <c r="BG8" s="581"/>
      <c r="BH8" s="802"/>
      <c r="BI8" s="808">
        <f>BC8+365</f>
        <v>41364</v>
      </c>
      <c r="BJ8" s="808">
        <f>BD8+365</f>
        <v>41455</v>
      </c>
      <c r="BK8" s="808">
        <f>BE8+365</f>
        <v>41546</v>
      </c>
      <c r="BL8" s="809">
        <f>BF8+365</f>
        <v>41638</v>
      </c>
      <c r="BM8" s="581"/>
      <c r="BN8" s="803"/>
      <c r="BO8" s="808">
        <f>BI8+365</f>
        <v>41729</v>
      </c>
      <c r="BP8" s="808">
        <f>BJ8+365</f>
        <v>41820</v>
      </c>
      <c r="BQ8" s="808">
        <f>BK8+365</f>
        <v>41911</v>
      </c>
      <c r="BR8" s="809">
        <f>BL8+365</f>
        <v>42003</v>
      </c>
      <c r="BS8" s="581"/>
      <c r="BT8" s="803"/>
      <c r="BU8" s="808">
        <f>BO8+365</f>
        <v>42094</v>
      </c>
      <c r="BV8" s="808">
        <f>BP8+365</f>
        <v>42185</v>
      </c>
      <c r="BW8" s="808">
        <f>BQ8+365</f>
        <v>42276</v>
      </c>
      <c r="BX8" s="809">
        <f>BR8+365</f>
        <v>42368</v>
      </c>
      <c r="BY8" s="581"/>
      <c r="BZ8" s="803"/>
      <c r="CA8" s="808">
        <f>BU8+365</f>
        <v>42459</v>
      </c>
      <c r="CB8" s="808">
        <f>BV8+365</f>
        <v>42550</v>
      </c>
      <c r="CC8" s="808">
        <f>BW8+365</f>
        <v>42641</v>
      </c>
      <c r="CD8" s="809">
        <f>BX8+365</f>
        <v>42733</v>
      </c>
      <c r="CE8" s="581"/>
      <c r="CF8" s="803"/>
      <c r="CG8" s="808">
        <f>CA8+365</f>
        <v>42824</v>
      </c>
      <c r="CH8" s="808">
        <f>CB8+365</f>
        <v>42915</v>
      </c>
      <c r="CI8" s="808">
        <f>CC8+365</f>
        <v>43006</v>
      </c>
      <c r="CJ8" s="809">
        <f>CD8+365</f>
        <v>43098</v>
      </c>
      <c r="CK8" s="581"/>
      <c r="CL8" s="803"/>
      <c r="CM8" s="805">
        <f>CG8+365</f>
        <v>43189</v>
      </c>
      <c r="CN8" s="806">
        <f>CH8+365</f>
        <v>43280</v>
      </c>
      <c r="CO8" s="806">
        <f>CI8+365</f>
        <v>43371</v>
      </c>
      <c r="CP8" s="807">
        <f>CJ8+365</f>
        <v>43463</v>
      </c>
      <c r="CQ8" s="581"/>
      <c r="CR8" s="803"/>
      <c r="CS8" s="805">
        <f>CM8+365</f>
        <v>43554</v>
      </c>
      <c r="CT8" s="806">
        <f>CN8+365</f>
        <v>43645</v>
      </c>
      <c r="CU8" s="806">
        <f>CO8+365</f>
        <v>43736</v>
      </c>
      <c r="CV8" s="807">
        <f>CP8+365</f>
        <v>43828</v>
      </c>
      <c r="CW8" s="581"/>
      <c r="CX8" s="803"/>
      <c r="CY8" s="805">
        <f>CS8+365</f>
        <v>43919</v>
      </c>
      <c r="CZ8" s="806">
        <f>CT8+365</f>
        <v>44010</v>
      </c>
      <c r="DA8" s="806">
        <f>CU8+365</f>
        <v>44101</v>
      </c>
      <c r="DB8" s="807">
        <f>CV8+365</f>
        <v>44193</v>
      </c>
      <c r="DC8" s="581"/>
      <c r="DD8" s="803"/>
      <c r="DE8" s="805">
        <f>CY8+365</f>
        <v>44284</v>
      </c>
      <c r="DF8" s="806">
        <f>CZ8+365</f>
        <v>44375</v>
      </c>
      <c r="DG8" s="806">
        <f>DA8+365</f>
        <v>44466</v>
      </c>
      <c r="DH8" s="807">
        <f>DB8+365</f>
        <v>44558</v>
      </c>
      <c r="DI8" s="581"/>
      <c r="DP8" s="27"/>
    </row>
    <row r="9" spans="1:120" ht="11.25" customHeight="1">
      <c r="A9" s="218" t="s">
        <v>172</v>
      </c>
      <c r="B9" s="219"/>
      <c r="C9" s="299"/>
      <c r="D9" s="300"/>
      <c r="E9" s="299"/>
      <c r="F9" s="300"/>
      <c r="G9" s="299"/>
      <c r="H9" s="300"/>
      <c r="I9" s="299"/>
      <c r="J9" s="300"/>
      <c r="K9" s="299"/>
      <c r="L9" s="300"/>
      <c r="M9" s="299"/>
      <c r="N9" s="300"/>
      <c r="O9" s="299"/>
      <c r="P9" s="300"/>
      <c r="Q9" s="299"/>
      <c r="R9" s="300"/>
      <c r="S9" s="309"/>
      <c r="T9" s="300"/>
      <c r="U9" s="300"/>
      <c r="V9" s="300"/>
      <c r="W9" s="299"/>
      <c r="X9" s="300"/>
      <c r="Y9" s="309"/>
      <c r="Z9" s="300"/>
      <c r="AA9" s="300"/>
      <c r="AB9" s="300"/>
      <c r="AC9" s="299"/>
      <c r="AD9" s="300"/>
      <c r="AE9" s="309"/>
      <c r="AF9" s="300"/>
      <c r="AG9" s="300"/>
      <c r="AH9" s="300"/>
      <c r="AI9" s="301"/>
      <c r="AJ9" s="300"/>
      <c r="AK9" s="309"/>
      <c r="AL9" s="300"/>
      <c r="AM9" s="300"/>
      <c r="AN9" s="300"/>
      <c r="AO9" s="301"/>
      <c r="AP9" s="300"/>
      <c r="AQ9" s="309"/>
      <c r="AR9" s="300"/>
      <c r="AS9" s="300"/>
      <c r="AT9" s="300"/>
      <c r="AU9" s="301"/>
      <c r="AV9" s="300"/>
      <c r="AW9" s="309"/>
      <c r="AX9" s="300"/>
      <c r="AY9" s="300"/>
      <c r="AZ9" s="300"/>
      <c r="BA9" s="302"/>
      <c r="BB9" s="300"/>
      <c r="BC9" s="309"/>
      <c r="BD9" s="300"/>
      <c r="BE9" s="300"/>
      <c r="BF9" s="300"/>
      <c r="BG9" s="301"/>
      <c r="BH9" s="300"/>
      <c r="BI9" s="309"/>
      <c r="BJ9" s="300"/>
      <c r="BK9" s="300"/>
      <c r="BL9" s="300"/>
      <c r="BM9" s="301"/>
      <c r="BN9" s="300"/>
      <c r="BO9" s="309"/>
      <c r="BP9" s="300"/>
      <c r="BQ9" s="300"/>
      <c r="BR9" s="300"/>
      <c r="BS9" s="301"/>
      <c r="BT9" s="300"/>
      <c r="BU9" s="309"/>
      <c r="BV9" s="300"/>
      <c r="BW9" s="300"/>
      <c r="BX9" s="300"/>
      <c r="BY9" s="301"/>
      <c r="BZ9" s="300"/>
      <c r="CA9" s="309"/>
      <c r="CB9" s="300"/>
      <c r="CC9" s="300"/>
      <c r="CD9" s="300"/>
      <c r="CE9" s="301"/>
      <c r="CF9" s="300"/>
      <c r="CG9" s="309"/>
      <c r="CH9" s="300"/>
      <c r="CI9" s="300"/>
      <c r="CJ9" s="300"/>
      <c r="CK9" s="301"/>
      <c r="CL9" s="300"/>
      <c r="CM9" s="309"/>
      <c r="CN9" s="300"/>
      <c r="CO9" s="300"/>
      <c r="CP9" s="300"/>
      <c r="CQ9" s="301"/>
      <c r="CR9" s="300"/>
      <c r="CS9" s="309"/>
      <c r="CT9" s="300"/>
      <c r="CU9" s="300"/>
      <c r="CV9" s="300"/>
      <c r="CW9" s="301"/>
      <c r="CX9" s="300"/>
      <c r="CY9" s="309"/>
      <c r="CZ9" s="300"/>
      <c r="DA9" s="300"/>
      <c r="DB9" s="300"/>
      <c r="DC9" s="301"/>
      <c r="DD9" s="300"/>
      <c r="DE9" s="309"/>
      <c r="DF9" s="300"/>
      <c r="DG9" s="300"/>
      <c r="DH9" s="300"/>
      <c r="DI9" s="301"/>
      <c r="DP9" s="70"/>
    </row>
    <row r="10" spans="1:120" ht="11.25" customHeight="1">
      <c r="A10" s="1050" t="s">
        <v>214</v>
      </c>
      <c r="B10" s="1051"/>
      <c r="C10" s="1052">
        <v>-0.88800000000000001</v>
      </c>
      <c r="D10" s="1051"/>
      <c r="E10" s="1052">
        <v>0.876</v>
      </c>
      <c r="F10" s="1051"/>
      <c r="G10" s="1052">
        <v>2.0659999999999998</v>
      </c>
      <c r="H10" s="1051"/>
      <c r="I10" s="1052">
        <v>3.637</v>
      </c>
      <c r="J10" s="1051"/>
      <c r="K10" s="1052">
        <v>-6.8019999999999996</v>
      </c>
      <c r="L10" s="1051"/>
      <c r="M10" s="1052">
        <v>-17.553999999999998</v>
      </c>
      <c r="N10" s="1051"/>
      <c r="O10" s="1052">
        <v>-7.8310000000000004</v>
      </c>
      <c r="P10" s="1051"/>
      <c r="Q10" s="1052">
        <v>9.7469999999999999</v>
      </c>
      <c r="R10" s="1051"/>
      <c r="S10" s="1008">
        <f>IS!S34</f>
        <v>3.2589999999999959</v>
      </c>
      <c r="T10" s="1051">
        <f>IS!T34</f>
        <v>2.5379999999999887</v>
      </c>
      <c r="U10" s="1051">
        <f>IS!U34</f>
        <v>2.9760000000000075</v>
      </c>
      <c r="V10" s="1051">
        <f>IS!V34</f>
        <v>9.7080000000000233</v>
      </c>
      <c r="W10" s="1053">
        <v>18.481000000000002</v>
      </c>
      <c r="X10" s="1051"/>
      <c r="Y10" s="1008">
        <f>IS!Y34</f>
        <v>14.350000000000007</v>
      </c>
      <c r="Z10" s="1051">
        <f>IS!Z34</f>
        <v>17.656999999999986</v>
      </c>
      <c r="AA10" s="1051">
        <f>IS!AA34</f>
        <v>26.670999999999964</v>
      </c>
      <c r="AB10" s="1051">
        <f>IS!AB34</f>
        <v>40.222000000000065</v>
      </c>
      <c r="AC10" s="1053">
        <v>98.9</v>
      </c>
      <c r="AD10" s="1051"/>
      <c r="AE10" s="1238">
        <v>-0.6</v>
      </c>
      <c r="AF10" s="1250">
        <f>21.1-(AE10)</f>
        <v>21.700000000000003</v>
      </c>
      <c r="AG10" s="1250">
        <f>38.7-(AE10+AF10)</f>
        <v>17.600000000000001</v>
      </c>
      <c r="AH10" s="1250">
        <f>65.2-(AE10+AF10+AG10)</f>
        <v>26.5</v>
      </c>
      <c r="AI10" s="1004">
        <f>SUM(AE10:AH10)</f>
        <v>65.2</v>
      </c>
      <c r="AJ10" s="1251"/>
      <c r="AK10" s="1238">
        <v>8.6</v>
      </c>
      <c r="AL10" s="1250">
        <f>21.3-(AK10)</f>
        <v>12.700000000000001</v>
      </c>
      <c r="AM10" s="1250">
        <f>37.4-(AK10+AL10)</f>
        <v>16.099999999999998</v>
      </c>
      <c r="AN10" s="1250">
        <f>81-(AK10+AL10+AM10)</f>
        <v>43.6</v>
      </c>
      <c r="AO10" s="1004">
        <f>SUM(AK10:AN10)</f>
        <v>81</v>
      </c>
      <c r="AP10" s="1251"/>
      <c r="AQ10" s="1238">
        <v>16</v>
      </c>
      <c r="AR10" s="1250">
        <f>38.9-(AQ10)</f>
        <v>22.9</v>
      </c>
      <c r="AS10" s="1250">
        <f>66.8-(AQ10+AR10)</f>
        <v>27.9</v>
      </c>
      <c r="AT10" s="1250">
        <f>96.8-(AQ10+AR10+AS10)</f>
        <v>30</v>
      </c>
      <c r="AU10" s="1004">
        <f>SUM(AQ10:AT10)</f>
        <v>96.8</v>
      </c>
      <c r="AV10" s="1251"/>
      <c r="AW10" s="1238">
        <v>11.7</v>
      </c>
      <c r="AX10" s="1250">
        <f>34.3-(AW10)</f>
        <v>22.599999999999998</v>
      </c>
      <c r="AY10" s="1250">
        <f>54.4-(AW10+AX10)</f>
        <v>20.100000000000001</v>
      </c>
      <c r="AZ10" s="1250">
        <f>94-(AW10+AX10+AY10)</f>
        <v>39.6</v>
      </c>
      <c r="BA10" s="1004">
        <f>SUM(AW10:AZ10)</f>
        <v>94</v>
      </c>
      <c r="BB10" s="1251"/>
      <c r="BC10" s="1238">
        <v>15.1</v>
      </c>
      <c r="BD10" s="1250">
        <f>25-(BC10)</f>
        <v>9.9</v>
      </c>
      <c r="BE10" s="1250">
        <f>64.9-(BC10+BD10)</f>
        <v>39.900000000000006</v>
      </c>
      <c r="BF10" s="1250">
        <f>78.2-BE10-BD10-BC10</f>
        <v>13.299999999999999</v>
      </c>
      <c r="BG10" s="1004">
        <f>SUM(BC10:BF10)</f>
        <v>78.2</v>
      </c>
      <c r="BH10" s="1251"/>
      <c r="BI10" s="1238">
        <v>5.7</v>
      </c>
      <c r="BJ10" s="1250">
        <f>29-BI10</f>
        <v>23.3</v>
      </c>
      <c r="BK10" s="1250">
        <v>16.899999999999999</v>
      </c>
      <c r="BL10" s="1250">
        <v>35.9</v>
      </c>
      <c r="BM10" s="1004">
        <f>SUM(BI10:BL10)</f>
        <v>81.8</v>
      </c>
      <c r="BN10" s="1251"/>
      <c r="BO10" s="1238">
        <v>10</v>
      </c>
      <c r="BP10" s="1250">
        <f>26.8-BO10</f>
        <v>16.8</v>
      </c>
      <c r="BQ10" s="1250">
        <f>33.1-SUM(BO10:BP10)</f>
        <v>6.3000000000000007</v>
      </c>
      <c r="BR10" s="1453">
        <f>59.6-SUM(BO10:BQ10)</f>
        <v>26.5</v>
      </c>
      <c r="BS10" s="1007">
        <f>SUM(BO10:BR10)</f>
        <v>59.6</v>
      </c>
      <c r="BT10" s="1051"/>
      <c r="BU10" s="1834">
        <v>6.9</v>
      </c>
      <c r="BV10" s="1835">
        <f>30-BU10</f>
        <v>23.1</v>
      </c>
      <c r="BW10" s="1835">
        <f>42.9-SUM(BU10:BV10)</f>
        <v>12.899999999999999</v>
      </c>
      <c r="BX10" s="2034">
        <f>+BY10-SUM(BU10:BW10)</f>
        <v>62.000000000000007</v>
      </c>
      <c r="BY10" s="2037">
        <v>104.9</v>
      </c>
      <c r="BZ10" s="1051"/>
      <c r="CA10" s="1834">
        <v>23.6</v>
      </c>
      <c r="CB10" s="1835">
        <f>38.4-CA10</f>
        <v>14.799999999999997</v>
      </c>
      <c r="CC10" s="1835">
        <f>85.4-SUM(CA10:CB10)</f>
        <v>47.000000000000007</v>
      </c>
      <c r="CD10" s="2034">
        <f>+CE10-SUM(CA10:CC10)</f>
        <v>69.099999999999994</v>
      </c>
      <c r="CE10" s="2037">
        <v>154.5</v>
      </c>
      <c r="CF10" s="1051"/>
      <c r="CG10" s="1834">
        <v>21.7</v>
      </c>
      <c r="CH10" s="1835">
        <f>45.7-CG10</f>
        <v>24.000000000000004</v>
      </c>
      <c r="CI10" s="1835">
        <f>83.3-SUM(CG10:CH10)</f>
        <v>37.599999999999994</v>
      </c>
      <c r="CJ10" s="2380">
        <f>80.3-SUM(CG10:CI10)</f>
        <v>-3</v>
      </c>
      <c r="CK10" s="1007">
        <f>SUM(CG10:CJ10)</f>
        <v>80.3</v>
      </c>
      <c r="CL10" s="1051"/>
      <c r="CM10" s="1008">
        <f>IS!CM34+IS!CM31</f>
        <v>27.321035372468714</v>
      </c>
      <c r="CN10" s="1051">
        <f>IS!CN34+IS!CN31</f>
        <v>28.724398418900655</v>
      </c>
      <c r="CO10" s="1051">
        <f>IS!CO34+IS!CO31</f>
        <v>44.785798326680379</v>
      </c>
      <c r="CP10" s="1051">
        <f>IS!CP34+IS!CP31</f>
        <v>76.031600320252153</v>
      </c>
      <c r="CQ10" s="1007">
        <f>SUM(CM10:CP10)</f>
        <v>176.86283243830189</v>
      </c>
      <c r="CR10" s="1051"/>
      <c r="CS10" s="1008">
        <f>IS!CS34+IS!CS31</f>
        <v>42.85799769562982</v>
      </c>
      <c r="CT10" s="1051">
        <f>IS!CT34+IS!CT31</f>
        <v>45.538498578707042</v>
      </c>
      <c r="CU10" s="1051">
        <f>IS!CU34+IS!CU31</f>
        <v>46.577418535902318</v>
      </c>
      <c r="CV10" s="1051">
        <f>IS!CV34+IS!CV31</f>
        <v>63.931417116518709</v>
      </c>
      <c r="CW10" s="1007">
        <f>SUM(CS10:CV10)</f>
        <v>198.9053319267579</v>
      </c>
      <c r="CX10" s="1051"/>
      <c r="CY10" s="1008">
        <f>IS!CY34+IS!CY31</f>
        <v>47.9661906623774</v>
      </c>
      <c r="CZ10" s="1051">
        <f>IS!CZ34+IS!CZ31</f>
        <v>57.848634067847492</v>
      </c>
      <c r="DA10" s="1051">
        <f>IS!DA34+IS!DA31</f>
        <v>59.480037229501541</v>
      </c>
      <c r="DB10" s="1051">
        <f>IS!DB34+IS!DB31</f>
        <v>76.659925419343935</v>
      </c>
      <c r="DC10" s="1007">
        <f>SUM(CY10:DB10)</f>
        <v>241.95478737907035</v>
      </c>
      <c r="DD10" s="1051"/>
      <c r="DE10" s="1008">
        <f>IS!DE34+IS!DE31</f>
        <v>58.388758634370781</v>
      </c>
      <c r="DF10" s="1051">
        <f>IS!DF34+IS!DF31</f>
        <v>56.369012482739457</v>
      </c>
      <c r="DG10" s="1051">
        <f>IS!DG34+IS!DG31</f>
        <v>58.084654772254105</v>
      </c>
      <c r="DH10" s="1051">
        <f>IS!DH34+IS!DH31</f>
        <v>78.409392848001886</v>
      </c>
      <c r="DI10" s="1007">
        <f>SUM(DE10:DH10)</f>
        <v>251.25181873736622</v>
      </c>
      <c r="DP10" s="222"/>
    </row>
    <row r="11" spans="1:120" ht="11.25" customHeight="1">
      <c r="A11" s="226"/>
      <c r="B11" s="54"/>
      <c r="C11" s="304"/>
      <c r="D11" s="54"/>
      <c r="E11" s="304"/>
      <c r="F11" s="54"/>
      <c r="G11" s="304"/>
      <c r="H11" s="54"/>
      <c r="I11" s="304"/>
      <c r="J11" s="54"/>
      <c r="K11" s="304"/>
      <c r="L11" s="54"/>
      <c r="M11" s="304"/>
      <c r="N11" s="54"/>
      <c r="O11" s="304"/>
      <c r="P11" s="54"/>
      <c r="Q11" s="304"/>
      <c r="R11" s="54"/>
      <c r="S11" s="310"/>
      <c r="T11" s="54"/>
      <c r="U11" s="54"/>
      <c r="V11" s="224"/>
      <c r="W11" s="53"/>
      <c r="X11" s="54"/>
      <c r="Y11" s="310"/>
      <c r="Z11" s="54"/>
      <c r="AA11" s="54"/>
      <c r="AB11" s="224"/>
      <c r="AC11" s="53"/>
      <c r="AD11" s="54"/>
      <c r="AE11" s="281"/>
      <c r="AF11" s="50"/>
      <c r="AG11" s="50"/>
      <c r="AH11" s="50"/>
      <c r="AI11" s="51"/>
      <c r="AJ11" s="52"/>
      <c r="AK11" s="281"/>
      <c r="AL11" s="50"/>
      <c r="AM11" s="50"/>
      <c r="AN11" s="50"/>
      <c r="AO11" s="51"/>
      <c r="AP11" s="52"/>
      <c r="AQ11" s="281"/>
      <c r="AR11" s="50"/>
      <c r="AS11" s="50"/>
      <c r="AT11" s="50"/>
      <c r="AU11" s="51"/>
      <c r="AV11" s="52"/>
      <c r="AW11" s="281"/>
      <c r="AX11" s="50"/>
      <c r="AY11" s="50"/>
      <c r="AZ11" s="50"/>
      <c r="BA11" s="51"/>
      <c r="BB11" s="52"/>
      <c r="BC11" s="281"/>
      <c r="BD11" s="50"/>
      <c r="BE11" s="50"/>
      <c r="BF11" s="50"/>
      <c r="BG11" s="51"/>
      <c r="BH11" s="52"/>
      <c r="BI11" s="281"/>
      <c r="BJ11" s="50"/>
      <c r="BK11" s="50"/>
      <c r="BL11" s="50"/>
      <c r="BM11" s="51"/>
      <c r="BN11" s="52"/>
      <c r="BO11" s="281"/>
      <c r="BP11" s="50"/>
      <c r="BQ11" s="50"/>
      <c r="BR11" s="54"/>
      <c r="BS11" s="53"/>
      <c r="BT11" s="54"/>
      <c r="BU11" s="284"/>
      <c r="BV11" s="50"/>
      <c r="BW11" s="50"/>
      <c r="BX11" s="54"/>
      <c r="BY11" s="2035"/>
      <c r="BZ11" s="54"/>
      <c r="CA11" s="284"/>
      <c r="CB11" s="50"/>
      <c r="CC11" s="50"/>
      <c r="CD11" s="54"/>
      <c r="CE11" s="2035"/>
      <c r="CF11" s="54"/>
      <c r="CG11" s="284"/>
      <c r="CH11" s="50"/>
      <c r="CI11" s="50"/>
      <c r="CJ11" s="54"/>
      <c r="CK11" s="53"/>
      <c r="CL11" s="54"/>
      <c r="CM11" s="284"/>
      <c r="CN11" s="54"/>
      <c r="CO11" s="54"/>
      <c r="CP11" s="54"/>
      <c r="CQ11" s="53"/>
      <c r="CR11" s="54"/>
      <c r="CS11" s="284"/>
      <c r="CT11" s="54"/>
      <c r="CU11" s="54"/>
      <c r="CV11" s="54"/>
      <c r="CW11" s="53"/>
      <c r="CX11" s="54"/>
      <c r="CY11" s="284"/>
      <c r="CZ11" s="54"/>
      <c r="DA11" s="54"/>
      <c r="DB11" s="54"/>
      <c r="DC11" s="53"/>
      <c r="DD11" s="54"/>
      <c r="DE11" s="284"/>
      <c r="DF11" s="54"/>
      <c r="DG11" s="54"/>
      <c r="DH11" s="54"/>
      <c r="DI11" s="53"/>
      <c r="DP11" s="225"/>
    </row>
    <row r="12" spans="1:120" ht="11.25" customHeight="1">
      <c r="A12" s="227" t="s">
        <v>173</v>
      </c>
      <c r="B12" s="54"/>
      <c r="C12" s="304">
        <v>2.605</v>
      </c>
      <c r="D12" s="54"/>
      <c r="E12" s="304">
        <v>3.4870000000000001</v>
      </c>
      <c r="F12" s="54"/>
      <c r="G12" s="304">
        <v>4.1449999999999996</v>
      </c>
      <c r="H12" s="54"/>
      <c r="I12" s="304">
        <v>6.04</v>
      </c>
      <c r="J12" s="54"/>
      <c r="K12" s="304">
        <v>11.824</v>
      </c>
      <c r="L12" s="54"/>
      <c r="M12" s="304">
        <v>10.378</v>
      </c>
      <c r="N12" s="54"/>
      <c r="O12" s="304">
        <v>9.7929999999999993</v>
      </c>
      <c r="P12" s="54"/>
      <c r="Q12" s="304">
        <v>10.506</v>
      </c>
      <c r="R12" s="54"/>
      <c r="S12" s="284">
        <f>W12/4</f>
        <v>3.3222499999999999</v>
      </c>
      <c r="T12" s="54">
        <f>S12</f>
        <v>3.3222499999999999</v>
      </c>
      <c r="U12" s="54">
        <f>T12</f>
        <v>3.3222499999999999</v>
      </c>
      <c r="V12" s="54">
        <f>U12</f>
        <v>3.3222499999999999</v>
      </c>
      <c r="W12" s="668">
        <v>13.289</v>
      </c>
      <c r="X12" s="54"/>
      <c r="Y12" s="284">
        <f>AA12</f>
        <v>7.5880000000000001</v>
      </c>
      <c r="Z12" s="54">
        <f>AA12</f>
        <v>7.5880000000000001</v>
      </c>
      <c r="AA12" s="54">
        <f>22.764/3</f>
        <v>7.5880000000000001</v>
      </c>
      <c r="AB12" s="54">
        <f>AC12-Y12-Z12-AA12</f>
        <v>5.1359999999999966</v>
      </c>
      <c r="AC12" s="668">
        <v>27.9</v>
      </c>
      <c r="AD12" s="54"/>
      <c r="AE12" s="281">
        <v>7.4</v>
      </c>
      <c r="AF12" s="50">
        <f>14.5-(AE12)</f>
        <v>7.1</v>
      </c>
      <c r="AG12" s="50">
        <f>22.3-(AE12+AF12)</f>
        <v>7.8000000000000007</v>
      </c>
      <c r="AH12" s="50">
        <f>29.3-(AE12+AF12+AG12)</f>
        <v>7</v>
      </c>
      <c r="AI12" s="51">
        <f t="shared" ref="AI12:AI25" si="0">SUM(AE12:AH12)</f>
        <v>29.3</v>
      </c>
      <c r="AJ12" s="52"/>
      <c r="AK12" s="281">
        <v>6.6</v>
      </c>
      <c r="AL12" s="50">
        <f>13.5-(AK12)</f>
        <v>6.9</v>
      </c>
      <c r="AM12" s="50">
        <f>20.4-(AK12+AL12)</f>
        <v>6.8999999999999986</v>
      </c>
      <c r="AN12" s="50">
        <f>29.7-(AK12+AL12+AM12)</f>
        <v>9.3000000000000007</v>
      </c>
      <c r="AO12" s="51">
        <f t="shared" ref="AO12:AO25" si="1">SUM(AK12:AN12)</f>
        <v>29.7</v>
      </c>
      <c r="AP12" s="52"/>
      <c r="AQ12" s="281">
        <v>7.5</v>
      </c>
      <c r="AR12" s="50">
        <f>14.7-(AQ12)</f>
        <v>7.1999999999999993</v>
      </c>
      <c r="AS12" s="50">
        <f>23.8-(AQ12+AR12)</f>
        <v>9.1000000000000014</v>
      </c>
      <c r="AT12" s="50">
        <f>36.1-(AQ12+AR12+AS12)</f>
        <v>12.3</v>
      </c>
      <c r="AU12" s="51">
        <f t="shared" ref="AU12:AU25" si="2">SUM(AQ12:AT12)</f>
        <v>36.1</v>
      </c>
      <c r="AV12" s="52"/>
      <c r="AW12" s="281">
        <v>11.9</v>
      </c>
      <c r="AX12" s="50">
        <f>25.7-(AW12)</f>
        <v>13.799999999999999</v>
      </c>
      <c r="AY12" s="50">
        <f>39.3-(AW12+AX12)</f>
        <v>13.599999999999998</v>
      </c>
      <c r="AZ12" s="50">
        <f>52.9-(AW12+AX12+AY12)</f>
        <v>13.600000000000001</v>
      </c>
      <c r="BA12" s="51">
        <f t="shared" ref="BA12:BA25" si="3">SUM(AW12:AZ12)</f>
        <v>52.9</v>
      </c>
      <c r="BB12" s="52"/>
      <c r="BC12" s="281">
        <v>13.6</v>
      </c>
      <c r="BD12" s="50">
        <f>28.6-(BC12)</f>
        <v>15.000000000000002</v>
      </c>
      <c r="BE12" s="50">
        <f>42.5-(BC12+BD12)</f>
        <v>13.899999999999999</v>
      </c>
      <c r="BF12" s="50">
        <f>59.1-BE12-BD12-BC12</f>
        <v>16.600000000000001</v>
      </c>
      <c r="BG12" s="51">
        <f t="shared" ref="BG12:BG25" si="4">SUM(BC12:BF12)</f>
        <v>59.1</v>
      </c>
      <c r="BH12" s="52"/>
      <c r="BI12" s="281">
        <v>15.2</v>
      </c>
      <c r="BJ12" s="50">
        <f>30.2-BI12</f>
        <v>15</v>
      </c>
      <c r="BK12" s="50">
        <v>15.2</v>
      </c>
      <c r="BL12" s="50">
        <v>15.9</v>
      </c>
      <c r="BM12" s="51">
        <f t="shared" ref="BM12:BM19" si="5">SUM(BI12:BL12)</f>
        <v>61.3</v>
      </c>
      <c r="BN12" s="52"/>
      <c r="BO12" s="281">
        <v>15.2</v>
      </c>
      <c r="BP12" s="50">
        <f>30-BO12</f>
        <v>14.8</v>
      </c>
      <c r="BQ12" s="50">
        <f>47.6-SUM(BO12:BP12)</f>
        <v>17.600000000000001</v>
      </c>
      <c r="BR12" s="50">
        <f>59.7-SUM(BO12:BQ12)</f>
        <v>12.100000000000001</v>
      </c>
      <c r="BS12" s="53">
        <f t="shared" ref="BS12:BS19" si="6">SUM(BO12:BR12)</f>
        <v>59.7</v>
      </c>
      <c r="BT12" s="54"/>
      <c r="BU12" s="1836">
        <v>13.5</v>
      </c>
      <c r="BV12" s="1837">
        <f>26.7-BU12</f>
        <v>13.2</v>
      </c>
      <c r="BW12" s="1837">
        <f>40-SUM(BU12:BV12)</f>
        <v>13.3</v>
      </c>
      <c r="BX12" s="52">
        <f t="shared" ref="BX12:BX19" si="7">+BY12-SUM(BU12:BW12)</f>
        <v>13.299999999999997</v>
      </c>
      <c r="BY12" s="2035">
        <v>53.3</v>
      </c>
      <c r="BZ12" s="54"/>
      <c r="CA12" s="1836">
        <v>13.2</v>
      </c>
      <c r="CB12" s="1837">
        <f>26.7-CA12</f>
        <v>13.5</v>
      </c>
      <c r="CC12" s="1837">
        <f>40.4-SUM(CA12:CB12)</f>
        <v>13.7</v>
      </c>
      <c r="CD12" s="52">
        <f t="shared" ref="CD12:CD19" si="8">+CE12-SUM(CA12:CC12)</f>
        <v>13.899999999999999</v>
      </c>
      <c r="CE12" s="2035">
        <v>54.3</v>
      </c>
      <c r="CF12" s="54"/>
      <c r="CG12" s="1836">
        <v>15.1</v>
      </c>
      <c r="CH12" s="1837">
        <f>31.1-CG12</f>
        <v>16</v>
      </c>
      <c r="CI12" s="1837">
        <f>48.2-SUM(CG12:CH12)</f>
        <v>17.100000000000001</v>
      </c>
      <c r="CJ12" s="1837">
        <f>63.9-SUM(CG12:CI12)</f>
        <v>15.699999999999996</v>
      </c>
      <c r="CK12" s="53">
        <f t="shared" ref="CK12:CK19" si="9">SUM(CG12:CJ12)</f>
        <v>63.9</v>
      </c>
      <c r="CL12" s="54"/>
      <c r="CM12" s="284">
        <f>SUM(CM13:CM14)</f>
        <v>14.7365245</v>
      </c>
      <c r="CN12" s="54">
        <f>SUM(CN13:CN14)</f>
        <v>14.883772448929564</v>
      </c>
      <c r="CO12" s="54">
        <f>SUM(CO13:CO14)</f>
        <v>15.034706877174775</v>
      </c>
      <c r="CP12" s="54">
        <f>SUM(CP13:CP14)</f>
        <v>15.191450727455051</v>
      </c>
      <c r="CQ12" s="53">
        <f t="shared" ref="CQ12:CQ19" si="10">SUM(CM12:CP12)</f>
        <v>59.84645455355939</v>
      </c>
      <c r="CR12" s="54"/>
      <c r="CS12" s="284">
        <f>SUM(CS13:CS14)</f>
        <v>15.385308452216398</v>
      </c>
      <c r="CT12" s="54">
        <f>SUM(CT13:CT14)</f>
        <v>15.520983422373897</v>
      </c>
      <c r="CU12" s="54">
        <f>SUM(CU13:CU14)</f>
        <v>15.662437874690761</v>
      </c>
      <c r="CV12" s="54">
        <f>SUM(CV13:CV14)</f>
        <v>15.806531631981791</v>
      </c>
      <c r="CW12" s="53">
        <f t="shared" ref="CW12:CW19" si="11">SUM(CS12:CV12)</f>
        <v>62.375261381262845</v>
      </c>
      <c r="CX12" s="54"/>
      <c r="CY12" s="284">
        <f>SUM(CY13:CY14)</f>
        <v>15.990630852013327</v>
      </c>
      <c r="CZ12" s="54">
        <f>SUM(CZ13:CZ14)</f>
        <v>16.129963900790926</v>
      </c>
      <c r="DA12" s="54">
        <f>SUM(DA13:DA14)</f>
        <v>16.272831828894603</v>
      </c>
      <c r="DB12" s="54">
        <f>SUM(DB13:DB14)</f>
        <v>16.421926296143198</v>
      </c>
      <c r="DC12" s="53">
        <f t="shared" ref="DC12:DC19" si="12">SUM(CY12:DB12)</f>
        <v>64.815352877842059</v>
      </c>
      <c r="DD12" s="54"/>
      <c r="DE12" s="284">
        <f>SUM(DE13:DE14)</f>
        <v>16.609535316548076</v>
      </c>
      <c r="DF12" s="54">
        <f>SUM(DF13:DF14)</f>
        <v>16.751132348668367</v>
      </c>
      <c r="DG12" s="54">
        <f>SUM(DG13:DG14)</f>
        <v>16.898604412541324</v>
      </c>
      <c r="DH12" s="54">
        <f>SUM(DH13:DH14)</f>
        <v>17.049930035209876</v>
      </c>
      <c r="DI12" s="53">
        <f t="shared" ref="DI12:DI19" si="13">SUM(DE12:DH12)</f>
        <v>67.30920211296764</v>
      </c>
      <c r="DP12" s="225"/>
    </row>
    <row r="13" spans="1:120" s="278" customFormat="1" ht="11.25" hidden="1" customHeight="1" outlineLevel="1">
      <c r="A13" s="475" t="s">
        <v>28</v>
      </c>
      <c r="B13" s="54"/>
      <c r="C13" s="304">
        <v>2.4649999999999999</v>
      </c>
      <c r="D13" s="54"/>
      <c r="E13" s="304">
        <v>3.3170000000000002</v>
      </c>
      <c r="F13" s="54"/>
      <c r="G13" s="304">
        <v>3.2</v>
      </c>
      <c r="H13" s="54"/>
      <c r="I13" s="305">
        <f>I12-I14</f>
        <v>4.24</v>
      </c>
      <c r="J13" s="54"/>
      <c r="K13" s="305">
        <f>K12-K14</f>
        <v>11.824</v>
      </c>
      <c r="L13" s="54"/>
      <c r="M13" s="305">
        <f>M12-M14</f>
        <v>10.178000000000001</v>
      </c>
      <c r="N13" s="54"/>
      <c r="O13" s="305">
        <f>O12-O14</f>
        <v>9.2929999999999993</v>
      </c>
      <c r="P13" s="54"/>
      <c r="Q13" s="305">
        <f>Q12-Q14</f>
        <v>10.006</v>
      </c>
      <c r="R13" s="54"/>
      <c r="S13" s="284">
        <f>S12-S14</f>
        <v>3.2222499999999998</v>
      </c>
      <c r="T13" s="54">
        <f>T12-T14</f>
        <v>3.2222499999999998</v>
      </c>
      <c r="U13" s="54">
        <f>U12-U14</f>
        <v>3.0222500000000001</v>
      </c>
      <c r="V13" s="54">
        <f>V12-V14</f>
        <v>2.6222500000000002</v>
      </c>
      <c r="W13" s="53">
        <f>W12-W14</f>
        <v>12.089</v>
      </c>
      <c r="X13" s="54"/>
      <c r="Y13" s="284">
        <f>Y12-Y14</f>
        <v>6.8879999999999999</v>
      </c>
      <c r="Z13" s="54">
        <f>Z12-Z14</f>
        <v>6.8879999999999999</v>
      </c>
      <c r="AA13" s="54">
        <f>AA12-AA14</f>
        <v>7.1879999999999997</v>
      </c>
      <c r="AB13" s="54">
        <f>AB12-AB14</f>
        <v>4.9359999999999964</v>
      </c>
      <c r="AC13" s="53">
        <f>AC12-AC14</f>
        <v>25.9</v>
      </c>
      <c r="AD13" s="54"/>
      <c r="AE13" s="288">
        <f>AE12-AE14</f>
        <v>7</v>
      </c>
      <c r="AF13" s="52">
        <f>AF12-AF14</f>
        <v>6.8</v>
      </c>
      <c r="AG13" s="52">
        <f>AG12-AG14</f>
        <v>7.4</v>
      </c>
      <c r="AH13" s="52">
        <f>AH12-AH14</f>
        <v>6.3</v>
      </c>
      <c r="AI13" s="51">
        <f t="shared" si="0"/>
        <v>27.500000000000004</v>
      </c>
      <c r="AJ13" s="52"/>
      <c r="AK13" s="288">
        <f>AK12-AK14</f>
        <v>6.1999999999999993</v>
      </c>
      <c r="AL13" s="52">
        <f>AL12-AL14</f>
        <v>6.4</v>
      </c>
      <c r="AM13" s="52">
        <f>AM12-AM14</f>
        <v>6.4999999999999982</v>
      </c>
      <c r="AN13" s="52">
        <f>AN12-AN14</f>
        <v>8.8000000000000007</v>
      </c>
      <c r="AO13" s="51">
        <f t="shared" si="1"/>
        <v>27.9</v>
      </c>
      <c r="AP13" s="52"/>
      <c r="AQ13" s="288">
        <f>AQ12-AQ14</f>
        <v>7</v>
      </c>
      <c r="AR13" s="52">
        <f>AR12-AR14</f>
        <v>6.6</v>
      </c>
      <c r="AS13" s="52">
        <f>AS12-AS14</f>
        <v>8.1000000000000014</v>
      </c>
      <c r="AT13" s="52">
        <f>AT12-AT14</f>
        <v>8.6000000000000014</v>
      </c>
      <c r="AU13" s="51">
        <f t="shared" si="2"/>
        <v>30.300000000000004</v>
      </c>
      <c r="AV13" s="52"/>
      <c r="AW13" s="288">
        <f>AW12-AW14</f>
        <v>8</v>
      </c>
      <c r="AX13" s="52">
        <f>AX12-AX14</f>
        <v>9.6</v>
      </c>
      <c r="AY13" s="52">
        <f>AY12-AY14</f>
        <v>8.5999999999999979</v>
      </c>
      <c r="AZ13" s="52">
        <f>AZ12-AZ14</f>
        <v>8.6</v>
      </c>
      <c r="BA13" s="51">
        <f t="shared" si="3"/>
        <v>34.799999999999997</v>
      </c>
      <c r="BB13" s="52"/>
      <c r="BC13" s="288">
        <f>BC12-BC14</f>
        <v>8.5</v>
      </c>
      <c r="BD13" s="52">
        <f>BD12-BD14</f>
        <v>9.4000000000000021</v>
      </c>
      <c r="BE13" s="52">
        <f>BE12-BE14</f>
        <v>8.3999999999999986</v>
      </c>
      <c r="BF13" s="52">
        <f>BF12-BF14</f>
        <v>10.8</v>
      </c>
      <c r="BG13" s="51">
        <f t="shared" si="4"/>
        <v>37.1</v>
      </c>
      <c r="BH13" s="52"/>
      <c r="BI13" s="288">
        <f>BI12-BI14</f>
        <v>10.1</v>
      </c>
      <c r="BJ13" s="52">
        <f>BJ12-BJ14</f>
        <v>9.9</v>
      </c>
      <c r="BK13" s="52">
        <f>BK12-BK14</f>
        <v>10.1</v>
      </c>
      <c r="BL13" s="52">
        <f>BL12-BL14</f>
        <v>10.5</v>
      </c>
      <c r="BM13" s="51">
        <f t="shared" si="5"/>
        <v>40.6</v>
      </c>
      <c r="BN13" s="52"/>
      <c r="BO13" s="288">
        <f>BO12-BO14</f>
        <v>10</v>
      </c>
      <c r="BP13" s="52">
        <f>BP12-BP14</f>
        <v>10</v>
      </c>
      <c r="BQ13" s="52">
        <f>BQ12-BQ14</f>
        <v>12.500000000000002</v>
      </c>
      <c r="BR13" s="52">
        <f>BR12-BR14</f>
        <v>7.0000000000000018</v>
      </c>
      <c r="BS13" s="53">
        <f t="shared" si="6"/>
        <v>39.5</v>
      </c>
      <c r="BT13" s="54"/>
      <c r="BU13" s="288">
        <f>BU12-BU14</f>
        <v>8.3000000000000007</v>
      </c>
      <c r="BV13" s="52">
        <f>BV12-BV14</f>
        <v>7.9999999999999991</v>
      </c>
      <c r="BW13" s="52">
        <f>BW12-BW14</f>
        <v>8.2000000000000011</v>
      </c>
      <c r="BX13" s="52">
        <f t="shared" si="7"/>
        <v>8.0999999999999943</v>
      </c>
      <c r="BY13" s="53">
        <f>BY12-BY14</f>
        <v>32.599999999999994</v>
      </c>
      <c r="BZ13" s="54"/>
      <c r="CA13" s="288">
        <f>CA12-CA14</f>
        <v>7.7999999999999989</v>
      </c>
      <c r="CB13" s="52">
        <f>CB12-CB14</f>
        <v>8.1</v>
      </c>
      <c r="CC13" s="52">
        <f>CC12-CC14</f>
        <v>8.3000000000000007</v>
      </c>
      <c r="CD13" s="52">
        <f t="shared" si="8"/>
        <v>8.399999999999995</v>
      </c>
      <c r="CE13" s="53">
        <f>CE12-CE14</f>
        <v>32.599999999999994</v>
      </c>
      <c r="CF13" s="54"/>
      <c r="CG13" s="288">
        <f>CG12-CG14</f>
        <v>8.1999999999999993</v>
      </c>
      <c r="CH13" s="52">
        <f>CH12-CH14</f>
        <v>8.5</v>
      </c>
      <c r="CI13" s="52">
        <f>CI12-CI14</f>
        <v>8.9</v>
      </c>
      <c r="CJ13" s="52">
        <f>CJ12-CJ14</f>
        <v>8.6999999999999957</v>
      </c>
      <c r="CK13" s="53">
        <f t="shared" si="9"/>
        <v>34.299999999999997</v>
      </c>
      <c r="CL13" s="54"/>
      <c r="CM13" s="284">
        <f>-BS!CM107</f>
        <v>11.3615245</v>
      </c>
      <c r="CN13" s="54">
        <f>-BS!CN107</f>
        <v>11.508772448929564</v>
      </c>
      <c r="CO13" s="54">
        <f>-BS!CO107</f>
        <v>11.659706877174775</v>
      </c>
      <c r="CP13" s="54">
        <f>-BS!CP107</f>
        <v>11.816450727455051</v>
      </c>
      <c r="CQ13" s="53">
        <f t="shared" si="10"/>
        <v>46.34645455355939</v>
      </c>
      <c r="CR13" s="54"/>
      <c r="CS13" s="284">
        <f>-BS!CS107</f>
        <v>12.010308452216398</v>
      </c>
      <c r="CT13" s="54">
        <f>-BS!CT107</f>
        <v>12.145983422373897</v>
      </c>
      <c r="CU13" s="54">
        <f>-BS!CU107</f>
        <v>12.287437874690761</v>
      </c>
      <c r="CV13" s="54">
        <f>-BS!CV107</f>
        <v>12.431531631981791</v>
      </c>
      <c r="CW13" s="53">
        <f t="shared" si="11"/>
        <v>48.875261381262845</v>
      </c>
      <c r="CX13" s="54"/>
      <c r="CY13" s="284">
        <f>-BS!CY107</f>
        <v>12.615630852013327</v>
      </c>
      <c r="CZ13" s="54">
        <f>-BS!CZ107</f>
        <v>12.754963900790925</v>
      </c>
      <c r="DA13" s="54">
        <f>-BS!DA107</f>
        <v>12.897831828894603</v>
      </c>
      <c r="DB13" s="54">
        <f>-BS!DB107</f>
        <v>13.046926296143198</v>
      </c>
      <c r="DC13" s="53">
        <f t="shared" si="12"/>
        <v>51.315352877842052</v>
      </c>
      <c r="DD13" s="54"/>
      <c r="DE13" s="284">
        <f>-BS!DE107</f>
        <v>13.234535316548074</v>
      </c>
      <c r="DF13" s="54">
        <f>-BS!DF107</f>
        <v>13.376132348668367</v>
      </c>
      <c r="DG13" s="54">
        <f>-BS!DG107</f>
        <v>13.523604412541323</v>
      </c>
      <c r="DH13" s="54">
        <f>-BS!DH107</f>
        <v>13.674930035209876</v>
      </c>
      <c r="DI13" s="53">
        <f t="shared" si="13"/>
        <v>53.80920211296764</v>
      </c>
      <c r="DJ13"/>
      <c r="DK13"/>
      <c r="DL13"/>
      <c r="DM13"/>
      <c r="DN13"/>
      <c r="DO13"/>
      <c r="DP13" s="225"/>
    </row>
    <row r="14" spans="1:120" s="278" customFormat="1" ht="11.25" hidden="1" customHeight="1" outlineLevel="1">
      <c r="A14" s="475" t="s">
        <v>11</v>
      </c>
      <c r="B14" s="54"/>
      <c r="C14" s="305">
        <f>+C12-C13</f>
        <v>0.14000000000000012</v>
      </c>
      <c r="D14" s="54"/>
      <c r="E14" s="305">
        <f>+E12-E13</f>
        <v>0.16999999999999993</v>
      </c>
      <c r="F14" s="54"/>
      <c r="G14" s="305">
        <f>+G12-G13</f>
        <v>0.9449999999999994</v>
      </c>
      <c r="H14" s="54"/>
      <c r="I14" s="304">
        <v>1.8</v>
      </c>
      <c r="J14" s="54"/>
      <c r="K14" s="304">
        <v>0</v>
      </c>
      <c r="L14" s="54"/>
      <c r="M14" s="304">
        <v>0.2</v>
      </c>
      <c r="N14" s="54"/>
      <c r="O14" s="304">
        <v>0.5</v>
      </c>
      <c r="P14" s="54"/>
      <c r="Q14" s="304">
        <v>0.5</v>
      </c>
      <c r="R14" s="54"/>
      <c r="S14" s="310">
        <v>0.1</v>
      </c>
      <c r="T14" s="224">
        <v>0.1</v>
      </c>
      <c r="U14" s="224">
        <v>0.3</v>
      </c>
      <c r="V14" s="54">
        <f>W14-S14-T14-U14</f>
        <v>0.7</v>
      </c>
      <c r="W14" s="668">
        <v>1.2</v>
      </c>
      <c r="X14" s="54"/>
      <c r="Y14" s="310">
        <v>0.7</v>
      </c>
      <c r="Z14" s="224">
        <v>0.7</v>
      </c>
      <c r="AA14" s="224">
        <v>0.4</v>
      </c>
      <c r="AB14" s="54">
        <f>AC14-Y14-Z14-AA14</f>
        <v>0.20000000000000007</v>
      </c>
      <c r="AC14" s="668">
        <v>2</v>
      </c>
      <c r="AD14" s="54"/>
      <c r="AE14" s="281">
        <v>0.4</v>
      </c>
      <c r="AF14" s="50">
        <v>0.3</v>
      </c>
      <c r="AG14" s="50">
        <v>0.4</v>
      </c>
      <c r="AH14" s="50">
        <f>1.8-(AE14+AF14+AG14)</f>
        <v>0.7</v>
      </c>
      <c r="AI14" s="51">
        <f t="shared" si="0"/>
        <v>1.8</v>
      </c>
      <c r="AJ14" s="52"/>
      <c r="AK14" s="281">
        <v>0.4</v>
      </c>
      <c r="AL14" s="50">
        <f>0.9-AK14</f>
        <v>0.5</v>
      </c>
      <c r="AM14" s="50">
        <f>1.3-AK14-AL14</f>
        <v>0.4</v>
      </c>
      <c r="AN14" s="50">
        <f>1.8-AK14-AL14-AM14</f>
        <v>0.49999999999999989</v>
      </c>
      <c r="AO14" s="51">
        <f t="shared" si="1"/>
        <v>1.7999999999999998</v>
      </c>
      <c r="AP14" s="52"/>
      <c r="AQ14" s="281">
        <v>0.5</v>
      </c>
      <c r="AR14" s="50">
        <f>1.1-AQ14</f>
        <v>0.60000000000000009</v>
      </c>
      <c r="AS14" s="50">
        <f>2.1-AQ14-AR14</f>
        <v>1</v>
      </c>
      <c r="AT14" s="50">
        <f>5.8-AQ14-AR14-AS14</f>
        <v>3.6999999999999993</v>
      </c>
      <c r="AU14" s="51">
        <f t="shared" si="2"/>
        <v>5.7999999999999989</v>
      </c>
      <c r="AV14" s="52"/>
      <c r="AW14" s="281">
        <v>3.9</v>
      </c>
      <c r="AX14" s="50">
        <f>8.1-(AW14)</f>
        <v>4.1999999999999993</v>
      </c>
      <c r="AY14" s="50">
        <f>13.1-AW14-AX14</f>
        <v>5</v>
      </c>
      <c r="AZ14" s="50">
        <f>18.1-AW14-AX14-AY14</f>
        <v>5.0000000000000018</v>
      </c>
      <c r="BA14" s="51">
        <f t="shared" si="3"/>
        <v>18.100000000000001</v>
      </c>
      <c r="BB14" s="52"/>
      <c r="BC14" s="281">
        <v>5.0999999999999996</v>
      </c>
      <c r="BD14" s="50">
        <f>10.7-(BC14)</f>
        <v>5.6</v>
      </c>
      <c r="BE14" s="50">
        <f>16.2-BC14-BD14</f>
        <v>5.5</v>
      </c>
      <c r="BF14" s="50">
        <f>22-BE14-BD14-BC14</f>
        <v>5.8000000000000007</v>
      </c>
      <c r="BG14" s="51">
        <f t="shared" si="4"/>
        <v>22</v>
      </c>
      <c r="BH14" s="52"/>
      <c r="BI14" s="281">
        <v>5.0999999999999996</v>
      </c>
      <c r="BJ14" s="50">
        <f>10.2-BI14</f>
        <v>5.0999999999999996</v>
      </c>
      <c r="BK14" s="50">
        <v>5.0999999999999996</v>
      </c>
      <c r="BL14" s="50">
        <v>5.4</v>
      </c>
      <c r="BM14" s="51">
        <f t="shared" si="5"/>
        <v>20.7</v>
      </c>
      <c r="BN14" s="52"/>
      <c r="BO14" s="281">
        <v>5.2</v>
      </c>
      <c r="BP14" s="50">
        <f>10-BO14</f>
        <v>4.8</v>
      </c>
      <c r="BQ14" s="50">
        <f>15.1-SUM(BO14:BP14)</f>
        <v>5.0999999999999996</v>
      </c>
      <c r="BR14" s="50">
        <f>20.2-SUM(BO14:BQ14)</f>
        <v>5.0999999999999996</v>
      </c>
      <c r="BS14" s="53">
        <f t="shared" si="6"/>
        <v>20.2</v>
      </c>
      <c r="BT14" s="54"/>
      <c r="BU14" s="1836">
        <v>5.2</v>
      </c>
      <c r="BV14" s="1837">
        <f>10.4-BU14</f>
        <v>5.2</v>
      </c>
      <c r="BW14" s="50">
        <f>15.5-SUM(BU14:BV14)</f>
        <v>5.0999999999999996</v>
      </c>
      <c r="BX14" s="52">
        <f t="shared" si="7"/>
        <v>5.1999999999999993</v>
      </c>
      <c r="BY14" s="2035">
        <v>20.7</v>
      </c>
      <c r="BZ14" s="54"/>
      <c r="CA14" s="1836">
        <v>5.4</v>
      </c>
      <c r="CB14" s="1837">
        <f>10.8-CA14</f>
        <v>5.4</v>
      </c>
      <c r="CC14" s="1837">
        <f>16.2-SUM(CA14:CB14)</f>
        <v>5.3999999999999986</v>
      </c>
      <c r="CD14" s="52">
        <f t="shared" si="8"/>
        <v>5.5</v>
      </c>
      <c r="CE14" s="2035">
        <v>21.7</v>
      </c>
      <c r="CF14" s="54"/>
      <c r="CG14" s="1836">
        <v>6.9</v>
      </c>
      <c r="CH14" s="1837">
        <f>14.4-CG14</f>
        <v>7.5</v>
      </c>
      <c r="CI14" s="1837">
        <f>22.6-SUM(CG14:CH14)</f>
        <v>8.2000000000000011</v>
      </c>
      <c r="CJ14" s="1837">
        <f>29.6-SUM(CG14:CI14)</f>
        <v>7</v>
      </c>
      <c r="CK14" s="53">
        <f t="shared" si="9"/>
        <v>29.6</v>
      </c>
      <c r="CL14" s="54"/>
      <c r="CM14" s="284">
        <f>-BS!CM119</f>
        <v>3.375</v>
      </c>
      <c r="CN14" s="54">
        <f>-BS!CN119</f>
        <v>3.375</v>
      </c>
      <c r="CO14" s="54">
        <f>-BS!CO119</f>
        <v>3.375</v>
      </c>
      <c r="CP14" s="54">
        <f>-BS!CP119</f>
        <v>3.375</v>
      </c>
      <c r="CQ14" s="53">
        <f t="shared" si="10"/>
        <v>13.5</v>
      </c>
      <c r="CR14" s="54"/>
      <c r="CS14" s="284">
        <f>-BS!CS119</f>
        <v>3.375</v>
      </c>
      <c r="CT14" s="54">
        <f>-BS!CT119</f>
        <v>3.375</v>
      </c>
      <c r="CU14" s="54">
        <f>-BS!CU119</f>
        <v>3.375</v>
      </c>
      <c r="CV14" s="54">
        <f>-BS!CV119</f>
        <v>3.375</v>
      </c>
      <c r="CW14" s="53">
        <f t="shared" si="11"/>
        <v>13.5</v>
      </c>
      <c r="CX14" s="54"/>
      <c r="CY14" s="284">
        <f>-BS!CY119</f>
        <v>3.375</v>
      </c>
      <c r="CZ14" s="54">
        <f>-BS!CZ119</f>
        <v>3.375</v>
      </c>
      <c r="DA14" s="54">
        <f>-BS!DA119</f>
        <v>3.375</v>
      </c>
      <c r="DB14" s="54">
        <f>-BS!DB119</f>
        <v>3.375</v>
      </c>
      <c r="DC14" s="53">
        <f t="shared" si="12"/>
        <v>13.5</v>
      </c>
      <c r="DD14" s="54"/>
      <c r="DE14" s="284">
        <f>-BS!DE119</f>
        <v>3.375</v>
      </c>
      <c r="DF14" s="54">
        <f>-BS!DF119</f>
        <v>3.375</v>
      </c>
      <c r="DG14" s="54">
        <f>-BS!DG119</f>
        <v>3.375</v>
      </c>
      <c r="DH14" s="54">
        <f>-BS!DH119</f>
        <v>3.375</v>
      </c>
      <c r="DI14" s="53">
        <f t="shared" si="13"/>
        <v>13.5</v>
      </c>
      <c r="DJ14"/>
      <c r="DK14"/>
      <c r="DL14"/>
      <c r="DM14"/>
      <c r="DN14"/>
      <c r="DO14"/>
      <c r="DP14" s="225"/>
    </row>
    <row r="15" spans="1:120" ht="11.25" customHeight="1" collapsed="1">
      <c r="A15" s="223" t="s">
        <v>215</v>
      </c>
      <c r="B15" s="54"/>
      <c r="C15" s="304">
        <v>0</v>
      </c>
      <c r="D15" s="54"/>
      <c r="E15" s="304">
        <v>0</v>
      </c>
      <c r="F15" s="54"/>
      <c r="G15" s="304">
        <v>0</v>
      </c>
      <c r="H15" s="54"/>
      <c r="I15" s="304">
        <v>0</v>
      </c>
      <c r="J15" s="54"/>
      <c r="K15" s="304">
        <v>0</v>
      </c>
      <c r="L15" s="54"/>
      <c r="M15" s="304">
        <v>0</v>
      </c>
      <c r="N15" s="54"/>
      <c r="O15" s="304">
        <v>0</v>
      </c>
      <c r="P15" s="54"/>
      <c r="Q15" s="304">
        <v>0</v>
      </c>
      <c r="R15" s="54"/>
      <c r="S15" s="310"/>
      <c r="T15" s="54"/>
      <c r="U15" s="54"/>
      <c r="V15" s="224"/>
      <c r="W15" s="668">
        <v>0</v>
      </c>
      <c r="X15" s="54"/>
      <c r="Y15" s="310"/>
      <c r="Z15" s="54"/>
      <c r="AA15" s="54"/>
      <c r="AB15" s="224"/>
      <c r="AC15" s="668">
        <v>0</v>
      </c>
      <c r="AD15" s="54"/>
      <c r="AE15" s="281">
        <v>0</v>
      </c>
      <c r="AF15" s="50">
        <f>0-(AE15)</f>
        <v>0</v>
      </c>
      <c r="AG15" s="50">
        <f>0-(AE15+AF15)</f>
        <v>0</v>
      </c>
      <c r="AH15" s="50">
        <f>0.6-(AE15+AF15+AG15)</f>
        <v>0.6</v>
      </c>
      <c r="AI15" s="51">
        <f t="shared" si="0"/>
        <v>0.6</v>
      </c>
      <c r="AJ15" s="52"/>
      <c r="AK15" s="281">
        <v>0.2</v>
      </c>
      <c r="AL15" s="50">
        <f>0.3-(AK15)</f>
        <v>9.9999999999999978E-2</v>
      </c>
      <c r="AM15" s="50">
        <f>0.5-(AK15+AL15)</f>
        <v>0.2</v>
      </c>
      <c r="AN15" s="50">
        <f>0.7-(AK15+AL15+AM15)</f>
        <v>0.19999999999999996</v>
      </c>
      <c r="AO15" s="51">
        <f t="shared" si="1"/>
        <v>0.7</v>
      </c>
      <c r="AP15" s="52"/>
      <c r="AQ15" s="281">
        <v>0.2</v>
      </c>
      <c r="AR15" s="50">
        <f>0.3-(AQ15)</f>
        <v>9.9999999999999978E-2</v>
      </c>
      <c r="AS15" s="50">
        <f>0.5-(AQ15+AR15)</f>
        <v>0.2</v>
      </c>
      <c r="AT15" s="50">
        <f>0.6-(AQ15+AR15+AS15)</f>
        <v>9.9999999999999978E-2</v>
      </c>
      <c r="AU15" s="51">
        <f t="shared" si="2"/>
        <v>0.6</v>
      </c>
      <c r="AV15" s="52"/>
      <c r="AW15" s="281">
        <v>0.1</v>
      </c>
      <c r="AX15" s="50">
        <f>0.3-(AW15)</f>
        <v>0.19999999999999998</v>
      </c>
      <c r="AY15" s="50">
        <f>0.4-(AW15+AX15)</f>
        <v>0.10000000000000003</v>
      </c>
      <c r="AZ15" s="50">
        <f>0.6-(AW15+AX15+AY15)</f>
        <v>0.19999999999999996</v>
      </c>
      <c r="BA15" s="51">
        <f t="shared" si="3"/>
        <v>0.6</v>
      </c>
      <c r="BB15" s="52"/>
      <c r="BC15" s="281">
        <v>0.2</v>
      </c>
      <c r="BD15" s="50">
        <f>0.3-(BC15)</f>
        <v>9.9999999999999978E-2</v>
      </c>
      <c r="BE15" s="50">
        <f>0.5-(BC15+BD15)</f>
        <v>0.2</v>
      </c>
      <c r="BF15" s="50">
        <f>0-BE15-BD15-BC15</f>
        <v>-0.5</v>
      </c>
      <c r="BG15" s="51">
        <f t="shared" si="4"/>
        <v>0</v>
      </c>
      <c r="BH15" s="52"/>
      <c r="BI15" s="281">
        <v>0</v>
      </c>
      <c r="BJ15" s="50">
        <f>0-BI15</f>
        <v>0</v>
      </c>
      <c r="BK15" s="50">
        <v>0</v>
      </c>
      <c r="BL15" s="50">
        <v>0</v>
      </c>
      <c r="BM15" s="51">
        <f t="shared" si="5"/>
        <v>0</v>
      </c>
      <c r="BN15" s="52"/>
      <c r="BO15" s="281">
        <v>0</v>
      </c>
      <c r="BP15" s="50">
        <f>0-BO15</f>
        <v>0</v>
      </c>
      <c r="BQ15" s="50">
        <f>0-SUM(BO15:BP15)</f>
        <v>0</v>
      </c>
      <c r="BR15" s="50">
        <f>0-SUM(BO15:BQ15)</f>
        <v>0</v>
      </c>
      <c r="BS15" s="53">
        <f t="shared" si="6"/>
        <v>0</v>
      </c>
      <c r="BT15" s="54"/>
      <c r="BU15" s="1836">
        <v>0</v>
      </c>
      <c r="BV15" s="1837">
        <f>0-BU15</f>
        <v>0</v>
      </c>
      <c r="BW15" s="1837">
        <f>0-SUM(BU15:BV15)</f>
        <v>0</v>
      </c>
      <c r="BX15" s="52">
        <f t="shared" si="7"/>
        <v>0</v>
      </c>
      <c r="BY15" s="2035">
        <v>0</v>
      </c>
      <c r="BZ15" s="54"/>
      <c r="CA15" s="1836">
        <v>0</v>
      </c>
      <c r="CB15" s="1837">
        <f>0-CA15</f>
        <v>0</v>
      </c>
      <c r="CC15" s="1837">
        <f t="shared" ref="CC15" si="14">0-SUM(CA15:CB15)</f>
        <v>0</v>
      </c>
      <c r="CD15" s="52">
        <f t="shared" si="8"/>
        <v>0</v>
      </c>
      <c r="CE15" s="2035">
        <v>0</v>
      </c>
      <c r="CF15" s="54"/>
      <c r="CG15" s="1836">
        <v>0</v>
      </c>
      <c r="CH15" s="1837">
        <f t="shared" ref="CH15:CH16" si="15">0-CG15</f>
        <v>0</v>
      </c>
      <c r="CI15" s="1837">
        <f t="shared" ref="CI15:CI16" si="16">0-SUM(CG15:CH15)</f>
        <v>0</v>
      </c>
      <c r="CJ15" s="1837">
        <f>0-SUM(CG15:CI15)</f>
        <v>0</v>
      </c>
      <c r="CK15" s="53">
        <f t="shared" si="9"/>
        <v>0</v>
      </c>
      <c r="CL15" s="54"/>
      <c r="CM15" s="598">
        <v>0</v>
      </c>
      <c r="CN15" s="603">
        <v>0</v>
      </c>
      <c r="CO15" s="603">
        <v>0</v>
      </c>
      <c r="CP15" s="603">
        <v>0</v>
      </c>
      <c r="CQ15" s="53">
        <f t="shared" si="10"/>
        <v>0</v>
      </c>
      <c r="CR15" s="54"/>
      <c r="CS15" s="598">
        <v>0</v>
      </c>
      <c r="CT15" s="603">
        <v>0</v>
      </c>
      <c r="CU15" s="603">
        <v>0</v>
      </c>
      <c r="CV15" s="603">
        <v>0</v>
      </c>
      <c r="CW15" s="53">
        <f t="shared" si="11"/>
        <v>0</v>
      </c>
      <c r="CX15" s="54"/>
      <c r="CY15" s="598">
        <v>0</v>
      </c>
      <c r="CZ15" s="603">
        <v>0</v>
      </c>
      <c r="DA15" s="603">
        <v>0</v>
      </c>
      <c r="DB15" s="603">
        <v>0</v>
      </c>
      <c r="DC15" s="53">
        <f t="shared" si="12"/>
        <v>0</v>
      </c>
      <c r="DD15" s="54"/>
      <c r="DE15" s="598">
        <v>0</v>
      </c>
      <c r="DF15" s="603">
        <v>0</v>
      </c>
      <c r="DG15" s="603">
        <v>0</v>
      </c>
      <c r="DH15" s="603">
        <v>0</v>
      </c>
      <c r="DI15" s="53">
        <f t="shared" si="13"/>
        <v>0</v>
      </c>
      <c r="DP15" s="225"/>
    </row>
    <row r="16" spans="1:120" ht="11.25" customHeight="1">
      <c r="A16" s="223" t="s">
        <v>216</v>
      </c>
      <c r="B16" s="54"/>
      <c r="C16" s="304">
        <v>0</v>
      </c>
      <c r="D16" s="54"/>
      <c r="E16" s="304">
        <v>0</v>
      </c>
      <c r="F16" s="54"/>
      <c r="G16" s="304">
        <v>0</v>
      </c>
      <c r="H16" s="54"/>
      <c r="I16" s="304">
        <v>0</v>
      </c>
      <c r="J16" s="54"/>
      <c r="K16" s="304">
        <v>0</v>
      </c>
      <c r="L16" s="54"/>
      <c r="M16" s="304">
        <v>0</v>
      </c>
      <c r="N16" s="54"/>
      <c r="O16" s="304">
        <v>0</v>
      </c>
      <c r="P16" s="54"/>
      <c r="Q16" s="304">
        <v>0</v>
      </c>
      <c r="R16" s="54"/>
      <c r="S16" s="310"/>
      <c r="T16" s="54"/>
      <c r="U16" s="54"/>
      <c r="V16" s="224"/>
      <c r="W16" s="668">
        <v>0</v>
      </c>
      <c r="X16" s="54"/>
      <c r="Y16" s="310"/>
      <c r="Z16" s="54"/>
      <c r="AA16" s="54"/>
      <c r="AB16" s="224"/>
      <c r="AC16" s="668">
        <v>0</v>
      </c>
      <c r="AD16" s="54"/>
      <c r="AE16" s="281">
        <v>0</v>
      </c>
      <c r="AF16" s="50">
        <f>0-(AE16)</f>
        <v>0</v>
      </c>
      <c r="AG16" s="50">
        <f>0-(AE16+AF16)</f>
        <v>0</v>
      </c>
      <c r="AH16" s="50">
        <f>0-(AE16+AF16+AG16)</f>
        <v>0</v>
      </c>
      <c r="AI16" s="51">
        <f t="shared" si="0"/>
        <v>0</v>
      </c>
      <c r="AJ16" s="52"/>
      <c r="AK16" s="281">
        <v>0</v>
      </c>
      <c r="AL16" s="50">
        <f>0-(AK16)</f>
        <v>0</v>
      </c>
      <c r="AM16" s="50">
        <f>0-(AK16+AL16)</f>
        <v>0</v>
      </c>
      <c r="AN16" s="50">
        <f>26.1-(AK16+AL16+AM16)</f>
        <v>26.1</v>
      </c>
      <c r="AO16" s="51">
        <f t="shared" si="1"/>
        <v>26.1</v>
      </c>
      <c r="AP16" s="52"/>
      <c r="AQ16" s="281">
        <v>5.6</v>
      </c>
      <c r="AR16" s="50">
        <f>11.2-(AQ16)</f>
        <v>5.6</v>
      </c>
      <c r="AS16" s="50">
        <f>20.7-(AQ16+AR16)</f>
        <v>9.5</v>
      </c>
      <c r="AT16" s="50">
        <f>24.4-(AQ16+AR16+AS16)</f>
        <v>3.6999999999999993</v>
      </c>
      <c r="AU16" s="51">
        <f t="shared" si="2"/>
        <v>24.4</v>
      </c>
      <c r="AV16" s="52"/>
      <c r="AW16" s="281">
        <v>6.5</v>
      </c>
      <c r="AX16" s="50">
        <f>19.4-(AW16)</f>
        <v>12.899999999999999</v>
      </c>
      <c r="AY16" s="50">
        <f>30.4-(AW16+AX16)</f>
        <v>11</v>
      </c>
      <c r="AZ16" s="50">
        <f>38.4-(AW16+AX16+AY16)</f>
        <v>8</v>
      </c>
      <c r="BA16" s="51">
        <f t="shared" si="3"/>
        <v>38.4</v>
      </c>
      <c r="BB16" s="52"/>
      <c r="BC16" s="281">
        <v>6.8</v>
      </c>
      <c r="BD16" s="50">
        <f>14.1-(BC16)</f>
        <v>7.3</v>
      </c>
      <c r="BE16" s="50">
        <f>22.6-(BC16+BD16)</f>
        <v>8.5000000000000018</v>
      </c>
      <c r="BF16" s="50">
        <f>31.5-BE16-BD16-BC16</f>
        <v>8.8999999999999986</v>
      </c>
      <c r="BG16" s="51">
        <f t="shared" si="4"/>
        <v>31.5</v>
      </c>
      <c r="BH16" s="52"/>
      <c r="BI16" s="281">
        <v>7.8</v>
      </c>
      <c r="BJ16" s="50">
        <f>16-BI16</f>
        <v>8.1999999999999993</v>
      </c>
      <c r="BK16" s="50">
        <v>8</v>
      </c>
      <c r="BL16" s="50">
        <v>8.6999999999999993</v>
      </c>
      <c r="BM16" s="51">
        <f t="shared" si="5"/>
        <v>32.700000000000003</v>
      </c>
      <c r="BN16" s="52"/>
      <c r="BO16" s="281">
        <v>7.6</v>
      </c>
      <c r="BP16" s="50">
        <f>15.2-BO16</f>
        <v>7.6</v>
      </c>
      <c r="BQ16" s="50">
        <f>22.6-SUM(BO16:BP16)</f>
        <v>7.4000000000000021</v>
      </c>
      <c r="BR16" s="50">
        <f>28.2-SUM(BO16:BQ16)</f>
        <v>5.5999999999999979</v>
      </c>
      <c r="BS16" s="53">
        <f t="shared" si="6"/>
        <v>28.2</v>
      </c>
      <c r="BT16" s="54"/>
      <c r="BU16" s="1836">
        <v>5</v>
      </c>
      <c r="BV16" s="1837">
        <f>9.9-BU16</f>
        <v>4.9000000000000004</v>
      </c>
      <c r="BW16" s="1837">
        <f>15-SUM(BU16:BV16)</f>
        <v>5.0999999999999996</v>
      </c>
      <c r="BX16" s="52">
        <f t="shared" si="7"/>
        <v>4.3999999999999986</v>
      </c>
      <c r="BY16" s="2035">
        <v>19.399999999999999</v>
      </c>
      <c r="BZ16" s="54"/>
      <c r="CA16" s="1836">
        <v>4.8</v>
      </c>
      <c r="CB16" s="1837">
        <f>8.5-CA16</f>
        <v>3.7</v>
      </c>
      <c r="CC16" s="1837">
        <f>12.5-SUM(CA16:CB16)</f>
        <v>4</v>
      </c>
      <c r="CD16" s="52">
        <f t="shared" si="8"/>
        <v>4</v>
      </c>
      <c r="CE16" s="2035">
        <v>16.5</v>
      </c>
      <c r="CF16" s="54"/>
      <c r="CG16" s="1836">
        <v>2.8</v>
      </c>
      <c r="CH16" s="1837">
        <f t="shared" si="15"/>
        <v>-2.8</v>
      </c>
      <c r="CI16" s="1837">
        <f t="shared" si="16"/>
        <v>0</v>
      </c>
      <c r="CJ16" s="1837">
        <f>0-SUM(CG16:CI16)</f>
        <v>0</v>
      </c>
      <c r="CK16" s="53">
        <f t="shared" si="9"/>
        <v>0</v>
      </c>
      <c r="CL16" s="54"/>
      <c r="CM16" s="598">
        <v>0</v>
      </c>
      <c r="CN16" s="603">
        <v>0</v>
      </c>
      <c r="CO16" s="603">
        <v>0</v>
      </c>
      <c r="CP16" s="603">
        <v>0</v>
      </c>
      <c r="CQ16" s="53">
        <f t="shared" si="10"/>
        <v>0</v>
      </c>
      <c r="CR16" s="54"/>
      <c r="CS16" s="598">
        <v>0</v>
      </c>
      <c r="CT16" s="603">
        <v>0</v>
      </c>
      <c r="CU16" s="603">
        <v>0</v>
      </c>
      <c r="CV16" s="603">
        <v>0</v>
      </c>
      <c r="CW16" s="53">
        <f t="shared" si="11"/>
        <v>0</v>
      </c>
      <c r="CX16" s="54"/>
      <c r="CY16" s="598">
        <v>0</v>
      </c>
      <c r="CZ16" s="603">
        <v>0</v>
      </c>
      <c r="DA16" s="603">
        <v>0</v>
      </c>
      <c r="DB16" s="603">
        <v>0</v>
      </c>
      <c r="DC16" s="53">
        <f t="shared" si="12"/>
        <v>0</v>
      </c>
      <c r="DD16" s="54"/>
      <c r="DE16" s="598">
        <v>0</v>
      </c>
      <c r="DF16" s="603">
        <v>0</v>
      </c>
      <c r="DG16" s="603">
        <v>0</v>
      </c>
      <c r="DH16" s="603">
        <v>0</v>
      </c>
      <c r="DI16" s="53">
        <f t="shared" si="13"/>
        <v>0</v>
      </c>
      <c r="DP16" s="225"/>
    </row>
    <row r="17" spans="1:121" ht="11.25" customHeight="1">
      <c r="A17" s="228" t="s">
        <v>217</v>
      </c>
      <c r="B17" s="54"/>
      <c r="C17" s="304">
        <v>0</v>
      </c>
      <c r="D17" s="54"/>
      <c r="E17" s="304">
        <v>0</v>
      </c>
      <c r="F17" s="54"/>
      <c r="G17" s="304">
        <v>0.18099999999999999</v>
      </c>
      <c r="H17" s="54"/>
      <c r="I17" s="304">
        <v>0.23799999999999999</v>
      </c>
      <c r="J17" s="54"/>
      <c r="K17" s="304">
        <v>-0.1</v>
      </c>
      <c r="L17" s="54"/>
      <c r="M17" s="304">
        <v>2E-3</v>
      </c>
      <c r="N17" s="54"/>
      <c r="O17" s="304">
        <v>2.4E-2</v>
      </c>
      <c r="P17" s="54"/>
      <c r="Q17" s="304">
        <v>2.8000000000000001E-2</v>
      </c>
      <c r="R17" s="54"/>
      <c r="S17" s="281">
        <v>0</v>
      </c>
      <c r="T17" s="199">
        <v>0</v>
      </c>
      <c r="U17" s="199">
        <v>0</v>
      </c>
      <c r="V17" s="290">
        <v>0</v>
      </c>
      <c r="W17" s="668">
        <v>1.474</v>
      </c>
      <c r="X17" s="54"/>
      <c r="Y17" s="281">
        <v>0.39400000000000002</v>
      </c>
      <c r="Z17" s="199">
        <v>0.40300000000000002</v>
      </c>
      <c r="AA17" s="199">
        <v>0.7</v>
      </c>
      <c r="AB17" s="290">
        <v>0.70300000000000007</v>
      </c>
      <c r="AC17" s="668">
        <v>2.2000000000000002</v>
      </c>
      <c r="AD17" s="54"/>
      <c r="AE17" s="281">
        <v>0.7</v>
      </c>
      <c r="AF17" s="50">
        <f>1.8-(AE17)</f>
        <v>1.1000000000000001</v>
      </c>
      <c r="AG17" s="50">
        <f>3.1-(AE17+AF17)</f>
        <v>1.3</v>
      </c>
      <c r="AH17" s="50">
        <f>4.5-(AE17+AF17+AG17)</f>
        <v>1.4</v>
      </c>
      <c r="AI17" s="51">
        <f t="shared" si="0"/>
        <v>4.5</v>
      </c>
      <c r="AJ17" s="52"/>
      <c r="AK17" s="281">
        <v>1.8</v>
      </c>
      <c r="AL17" s="50">
        <f>3.3-(AK17)</f>
        <v>1.4999999999999998</v>
      </c>
      <c r="AM17" s="50">
        <f>4.8-(AK17+AL17)</f>
        <v>1.5</v>
      </c>
      <c r="AN17" s="50">
        <f>6.3-(AK17+AL17+AM17)</f>
        <v>1.5</v>
      </c>
      <c r="AO17" s="51">
        <f t="shared" si="1"/>
        <v>6.3</v>
      </c>
      <c r="AP17" s="52"/>
      <c r="AQ17" s="281">
        <v>1.6</v>
      </c>
      <c r="AR17" s="50">
        <f>3.3-(AQ17)</f>
        <v>1.6999999999999997</v>
      </c>
      <c r="AS17" s="50">
        <f>5-(AQ17+AR17)</f>
        <v>1.7000000000000002</v>
      </c>
      <c r="AT17" s="50">
        <f>6.9-(AQ17+AR17+AS17)</f>
        <v>1.9000000000000004</v>
      </c>
      <c r="AU17" s="51">
        <f t="shared" si="2"/>
        <v>6.9</v>
      </c>
      <c r="AV17" s="52"/>
      <c r="AW17" s="281">
        <v>1.8</v>
      </c>
      <c r="AX17" s="50">
        <f>3.8-(AW17)</f>
        <v>1.9999999999999998</v>
      </c>
      <c r="AY17" s="50">
        <f>5.8-(AW17+AX17)</f>
        <v>2</v>
      </c>
      <c r="AZ17" s="50">
        <f>7.9-(AW17+AX17+AY17)</f>
        <v>2.1000000000000005</v>
      </c>
      <c r="BA17" s="51">
        <f t="shared" si="3"/>
        <v>7.9</v>
      </c>
      <c r="BB17" s="52"/>
      <c r="BC17" s="281">
        <v>1.9</v>
      </c>
      <c r="BD17" s="50">
        <f>3.8-(BC17)</f>
        <v>1.9</v>
      </c>
      <c r="BE17" s="50">
        <f>5.9-(BC17+BD17)</f>
        <v>2.1000000000000005</v>
      </c>
      <c r="BF17" s="50">
        <f>7.8-BE17-BD17-BC17</f>
        <v>1.8999999999999995</v>
      </c>
      <c r="BG17" s="51">
        <f t="shared" si="4"/>
        <v>7.8</v>
      </c>
      <c r="BH17" s="52"/>
      <c r="BI17" s="281">
        <v>1.8</v>
      </c>
      <c r="BJ17" s="50">
        <f>3.2-BI17</f>
        <v>1.4000000000000001</v>
      </c>
      <c r="BK17" s="50">
        <v>1.6</v>
      </c>
      <c r="BL17" s="50">
        <v>1.8</v>
      </c>
      <c r="BM17" s="51">
        <f t="shared" si="5"/>
        <v>6.6000000000000005</v>
      </c>
      <c r="BN17" s="52"/>
      <c r="BO17" s="281">
        <v>2</v>
      </c>
      <c r="BP17" s="50">
        <f>5-BO17</f>
        <v>3</v>
      </c>
      <c r="BQ17" s="50">
        <f>7.1-SUM(BO17:BP17)</f>
        <v>2.0999999999999996</v>
      </c>
      <c r="BR17" s="50">
        <f>9.4-SUM(BO17:BQ17)</f>
        <v>2.3000000000000007</v>
      </c>
      <c r="BS17" s="53">
        <f t="shared" si="6"/>
        <v>9.4</v>
      </c>
      <c r="BT17" s="54"/>
      <c r="BU17" s="1836">
        <v>2.2000000000000002</v>
      </c>
      <c r="BV17" s="1837">
        <f>3.6-BU17</f>
        <v>1.4</v>
      </c>
      <c r="BW17" s="1837">
        <f>5.8-SUM(BU17:BV17)</f>
        <v>2.1999999999999997</v>
      </c>
      <c r="BX17" s="52">
        <f t="shared" si="7"/>
        <v>2.2000000000000002</v>
      </c>
      <c r="BY17" s="2035">
        <v>8</v>
      </c>
      <c r="BZ17" s="54"/>
      <c r="CA17" s="1836">
        <v>2.2000000000000002</v>
      </c>
      <c r="CB17" s="1837">
        <f>4.3-CA17</f>
        <v>2.0999999999999996</v>
      </c>
      <c r="CC17" s="1837">
        <f>6.8-SUM(CA17:CB17)</f>
        <v>2.5</v>
      </c>
      <c r="CD17" s="52">
        <f t="shared" si="8"/>
        <v>2.6000000000000005</v>
      </c>
      <c r="CE17" s="2035">
        <v>9.4</v>
      </c>
      <c r="CF17" s="54"/>
      <c r="CG17" s="1836">
        <v>2.6</v>
      </c>
      <c r="CH17" s="1837">
        <f>5.3-CG17</f>
        <v>2.6999999999999997</v>
      </c>
      <c r="CI17" s="1837">
        <f>8.4-SUM(CG17:CH17)</f>
        <v>3.1000000000000005</v>
      </c>
      <c r="CJ17" s="1837">
        <f>11-SUM(CG17:CI17)</f>
        <v>2.5999999999999996</v>
      </c>
      <c r="CK17" s="53">
        <f t="shared" si="9"/>
        <v>11</v>
      </c>
      <c r="CL17" s="54"/>
      <c r="CM17" s="284">
        <f>IS!CM9*BS!CM173</f>
        <v>1.497848659022712</v>
      </c>
      <c r="CN17" s="54">
        <f>IS!CN9*BS!CN173</f>
        <v>1.5353485912091693</v>
      </c>
      <c r="CO17" s="54">
        <f>IS!CO9*BS!CO173</f>
        <v>1.5944437098045496</v>
      </c>
      <c r="CP17" s="54">
        <f>IS!CP9*BS!CP173</f>
        <v>1.9719767588333033</v>
      </c>
      <c r="CQ17" s="53">
        <f t="shared" si="10"/>
        <v>6.5996177188697347</v>
      </c>
      <c r="CR17" s="54"/>
      <c r="CS17" s="284">
        <f>IS!CS9*BS!CS173</f>
        <v>1.5238879953148592</v>
      </c>
      <c r="CT17" s="54">
        <f>IS!CT9*BS!CT173</f>
        <v>1.5888025736749383</v>
      </c>
      <c r="CU17" s="54">
        <f>IS!CU9*BS!CU173</f>
        <v>1.6184469890113578</v>
      </c>
      <c r="CV17" s="54">
        <f>IS!CV9*BS!CV173</f>
        <v>2.0677844338363167</v>
      </c>
      <c r="CW17" s="53">
        <f t="shared" si="11"/>
        <v>6.7989219918374717</v>
      </c>
      <c r="CX17" s="54"/>
      <c r="CY17" s="284">
        <f>IS!CY9*BS!CY173</f>
        <v>1.564975176602702</v>
      </c>
      <c r="CZ17" s="54">
        <f>IS!CZ9*BS!CZ173</f>
        <v>1.604678595469468</v>
      </c>
      <c r="DA17" s="54">
        <f>IS!DA9*BS!DA173</f>
        <v>1.6746144741675473</v>
      </c>
      <c r="DB17" s="54">
        <f>IS!DB9*BS!DB173</f>
        <v>2.1072061683587213</v>
      </c>
      <c r="DC17" s="53">
        <f t="shared" si="12"/>
        <v>6.9514744145984384</v>
      </c>
      <c r="DD17" s="54"/>
      <c r="DE17" s="284">
        <f>IS!DE9*BS!DE173</f>
        <v>1.5904040160822583</v>
      </c>
      <c r="DF17" s="54">
        <f>IS!DF9*BS!DF173</f>
        <v>1.656391798129158</v>
      </c>
      <c r="DG17" s="54">
        <f>IS!DG9*BS!DG173</f>
        <v>1.6996745936295643</v>
      </c>
      <c r="DH17" s="54">
        <f>IS!DH9*BS!DH173</f>
        <v>2.1665478317268976</v>
      </c>
      <c r="DI17" s="53">
        <f t="shared" si="13"/>
        <v>7.1130182395678778</v>
      </c>
      <c r="DP17" s="225"/>
    </row>
    <row r="18" spans="1:121" ht="11.25" customHeight="1">
      <c r="A18" s="223" t="s">
        <v>83</v>
      </c>
      <c r="B18" s="54"/>
      <c r="C18" s="304">
        <v>0.52600000000000002</v>
      </c>
      <c r="D18" s="54"/>
      <c r="E18" s="304">
        <v>0.875</v>
      </c>
      <c r="F18" s="54"/>
      <c r="G18" s="304">
        <v>-3.34</v>
      </c>
      <c r="H18" s="54"/>
      <c r="I18" s="304">
        <v>0.249</v>
      </c>
      <c r="J18" s="54"/>
      <c r="K18" s="304">
        <v>-2.1669999999999998</v>
      </c>
      <c r="L18" s="54"/>
      <c r="M18" s="304">
        <v>3.3690000000000002</v>
      </c>
      <c r="N18" s="54"/>
      <c r="O18" s="304">
        <v>0.21099999999999999</v>
      </c>
      <c r="P18" s="54"/>
      <c r="Q18" s="304">
        <v>-1.3149999999999999</v>
      </c>
      <c r="R18" s="54"/>
      <c r="S18" s="310"/>
      <c r="T18" s="224"/>
      <c r="U18" s="224"/>
      <c r="V18" s="224"/>
      <c r="W18" s="668">
        <v>1.4119999999999999</v>
      </c>
      <c r="X18" s="54"/>
      <c r="Y18" s="310"/>
      <c r="Z18" s="224"/>
      <c r="AA18" s="224"/>
      <c r="AB18" s="224"/>
      <c r="AC18" s="668">
        <v>-1.2</v>
      </c>
      <c r="AD18" s="54"/>
      <c r="AE18" s="281">
        <v>0</v>
      </c>
      <c r="AF18" s="50">
        <f>0-(AE18)</f>
        <v>0</v>
      </c>
      <c r="AG18" s="50">
        <f>0-(AE18+AF18)</f>
        <v>0</v>
      </c>
      <c r="AH18" s="50">
        <f>-2.3-(AE18+AF18+AG18)</f>
        <v>-2.2999999999999998</v>
      </c>
      <c r="AI18" s="51">
        <f t="shared" si="0"/>
        <v>-2.2999999999999998</v>
      </c>
      <c r="AJ18" s="52"/>
      <c r="AK18" s="281">
        <v>-1.7</v>
      </c>
      <c r="AL18" s="50">
        <f>-1.8-(AK18)</f>
        <v>-0.10000000000000009</v>
      </c>
      <c r="AM18" s="50">
        <f>-6.8-(AK18+AL18)</f>
        <v>-5</v>
      </c>
      <c r="AN18" s="50">
        <f>-2.1-(AK18+AL18+AM18)</f>
        <v>4.6999999999999993</v>
      </c>
      <c r="AO18" s="51">
        <f t="shared" si="1"/>
        <v>-2.1000000000000005</v>
      </c>
      <c r="AP18" s="52"/>
      <c r="AQ18" s="281">
        <v>-9.9</v>
      </c>
      <c r="AR18" s="50">
        <f>-8.2-(AQ18)</f>
        <v>1.7000000000000011</v>
      </c>
      <c r="AS18" s="50">
        <f>-7.5-(AQ18+AR18)</f>
        <v>0.69999999999999929</v>
      </c>
      <c r="AT18" s="50">
        <f>-3.6-(AQ18+AR18+AS18)</f>
        <v>3.9</v>
      </c>
      <c r="AU18" s="51">
        <f t="shared" si="2"/>
        <v>-3.6</v>
      </c>
      <c r="AV18" s="52"/>
      <c r="AW18" s="281">
        <v>-4.2</v>
      </c>
      <c r="AX18" s="50">
        <f>-4.3-(AW18)</f>
        <v>-9.9999999999999645E-2</v>
      </c>
      <c r="AY18" s="50">
        <f>-1.6-(AW18+AX18)</f>
        <v>2.6999999999999997</v>
      </c>
      <c r="AZ18" s="50">
        <f>-4.8-(AW18+AX18+AY18)</f>
        <v>-3.1999999999999997</v>
      </c>
      <c r="BA18" s="51">
        <f t="shared" si="3"/>
        <v>-4.8</v>
      </c>
      <c r="BB18" s="52"/>
      <c r="BC18" s="281">
        <v>-1.3</v>
      </c>
      <c r="BD18" s="50">
        <f>-0.4-(BC18)</f>
        <v>0.9</v>
      </c>
      <c r="BE18" s="50">
        <f>-0.3-(BC18+BD18)</f>
        <v>0.10000000000000003</v>
      </c>
      <c r="BF18" s="50">
        <f>-11.7-BE18-BD18-BC18</f>
        <v>-11.399999999999999</v>
      </c>
      <c r="BG18" s="51">
        <f t="shared" si="4"/>
        <v>-11.7</v>
      </c>
      <c r="BH18" s="52"/>
      <c r="BI18" s="281">
        <v>-2.6</v>
      </c>
      <c r="BJ18" s="50">
        <f>-2.6-BI18</f>
        <v>0</v>
      </c>
      <c r="BK18" s="50">
        <v>-5.5</v>
      </c>
      <c r="BL18" s="50">
        <v>22.1</v>
      </c>
      <c r="BM18" s="51">
        <f t="shared" si="5"/>
        <v>14.000000000000002</v>
      </c>
      <c r="BN18" s="52"/>
      <c r="BO18" s="281">
        <v>0.3</v>
      </c>
      <c r="BP18" s="50">
        <f>0.3-BO18</f>
        <v>0</v>
      </c>
      <c r="BQ18" s="50">
        <f>0-SUM(BO18:BP18)</f>
        <v>-0.3</v>
      </c>
      <c r="BR18" s="50">
        <f>-9.2-SUM(BO18:BQ18)</f>
        <v>-9.1999999999999993</v>
      </c>
      <c r="BS18" s="53">
        <f t="shared" si="6"/>
        <v>-9.1999999999999993</v>
      </c>
      <c r="BT18" s="54"/>
      <c r="BU18" s="1836">
        <v>-3.7</v>
      </c>
      <c r="BV18" s="1837">
        <f>-0.6-BU18</f>
        <v>3.1</v>
      </c>
      <c r="BW18" s="1837">
        <f>-1.1-SUM(BU18:BV18)</f>
        <v>-0.5</v>
      </c>
      <c r="BX18" s="52">
        <f t="shared" si="7"/>
        <v>-28.299999999999997</v>
      </c>
      <c r="BY18" s="2035">
        <v>-29.4</v>
      </c>
      <c r="BZ18" s="54"/>
      <c r="CA18" s="1836">
        <v>-2.7</v>
      </c>
      <c r="CB18" s="1837">
        <f>-4-CA18</f>
        <v>-1.2999999999999998</v>
      </c>
      <c r="CC18" s="1837">
        <f>-32.1-SUM(CA18:CB18)</f>
        <v>-28.1</v>
      </c>
      <c r="CD18" s="52">
        <f t="shared" si="8"/>
        <v>9.4000000000000021</v>
      </c>
      <c r="CE18" s="2035">
        <v>-22.7</v>
      </c>
      <c r="CF18" s="54"/>
      <c r="CG18" s="1836">
        <v>0.4</v>
      </c>
      <c r="CH18" s="1837">
        <f>-2.2-CG18</f>
        <v>-2.6</v>
      </c>
      <c r="CI18" s="1837">
        <f>-5-SUM(CG18:CH18)</f>
        <v>-2.8</v>
      </c>
      <c r="CJ18" s="1837">
        <f>28.2-SUM(CG18:CI18)</f>
        <v>33.200000000000003</v>
      </c>
      <c r="CK18" s="53">
        <f t="shared" si="9"/>
        <v>28.200000000000003</v>
      </c>
      <c r="CL18" s="54"/>
      <c r="CM18" s="598">
        <v>0</v>
      </c>
      <c r="CN18" s="603">
        <v>0</v>
      </c>
      <c r="CO18" s="603">
        <v>0</v>
      </c>
      <c r="CP18" s="603">
        <v>0</v>
      </c>
      <c r="CQ18" s="53">
        <f t="shared" si="10"/>
        <v>0</v>
      </c>
      <c r="CR18" s="54"/>
      <c r="CS18" s="598">
        <v>0</v>
      </c>
      <c r="CT18" s="603">
        <v>0</v>
      </c>
      <c r="CU18" s="603">
        <v>0</v>
      </c>
      <c r="CV18" s="603">
        <v>0</v>
      </c>
      <c r="CW18" s="53">
        <f t="shared" si="11"/>
        <v>0</v>
      </c>
      <c r="CX18" s="54"/>
      <c r="CY18" s="598">
        <v>0</v>
      </c>
      <c r="CZ18" s="603">
        <v>0</v>
      </c>
      <c r="DA18" s="603">
        <v>0</v>
      </c>
      <c r="DB18" s="603">
        <v>0</v>
      </c>
      <c r="DC18" s="53">
        <f t="shared" si="12"/>
        <v>0</v>
      </c>
      <c r="DD18" s="54"/>
      <c r="DE18" s="598">
        <v>0</v>
      </c>
      <c r="DF18" s="603">
        <v>0</v>
      </c>
      <c r="DG18" s="603">
        <v>0</v>
      </c>
      <c r="DH18" s="603">
        <v>0</v>
      </c>
      <c r="DI18" s="53">
        <f t="shared" si="13"/>
        <v>0</v>
      </c>
      <c r="DP18" s="225"/>
    </row>
    <row r="19" spans="1:121" ht="11.25" customHeight="1">
      <c r="A19" s="223" t="s">
        <v>218</v>
      </c>
      <c r="B19" s="54"/>
      <c r="C19" s="304">
        <v>0</v>
      </c>
      <c r="D19" s="54"/>
      <c r="E19" s="304">
        <v>0.1</v>
      </c>
      <c r="F19" s="54"/>
      <c r="G19" s="304">
        <v>1.0820000000000001</v>
      </c>
      <c r="H19" s="54"/>
      <c r="I19" s="304">
        <v>-0.35599999999999998</v>
      </c>
      <c r="J19" s="54"/>
      <c r="K19" s="304">
        <f>1.19+10.938+0.728+0.617-0.212-1.122</f>
        <v>12.138999999999999</v>
      </c>
      <c r="L19" s="54"/>
      <c r="M19" s="304">
        <f>5.128+0.845-0.853+0.179-1.929-0.696</f>
        <v>2.6740000000000004</v>
      </c>
      <c r="N19" s="54"/>
      <c r="O19" s="304">
        <f>2.422+0.928+0.069</f>
        <v>3.419</v>
      </c>
      <c r="P19" s="54"/>
      <c r="Q19" s="304">
        <f>0.155+0.04-0.513+2.783</f>
        <v>2.4649999999999999</v>
      </c>
      <c r="R19" s="54"/>
      <c r="S19" s="284">
        <f>4.322-S10-S17-S12</f>
        <v>-2.2592499999999958</v>
      </c>
      <c r="T19" s="54">
        <f>4.439-S19-T10-T17-S10-S17-S12-T12</f>
        <v>-5.7432499999999882</v>
      </c>
      <c r="U19" s="54">
        <f>17.835-T19-U10-U17-T10-T17-S10-S17-S19-S12-T12-U12</f>
        <v>7.0977499999999907</v>
      </c>
      <c r="V19" s="54">
        <f>37.693-U19-V10-V17-U10-U17-T10-T17-T19-S10-S17-S19-S12-T12-U12-V12</f>
        <v>6.8277499999999733</v>
      </c>
      <c r="W19" s="668">
        <f>-0.368+0.008-0.464-4.714</f>
        <v>-5.5380000000000003</v>
      </c>
      <c r="X19" s="54"/>
      <c r="Y19" s="284">
        <f>21.523-Y10-Y17-Y12</f>
        <v>-0.80900000000000727</v>
      </c>
      <c r="Z19" s="54">
        <f>16.633-Y19-Z10-Z17-Y10-Y17-Y12-Z12</f>
        <v>-30.537999999999986</v>
      </c>
      <c r="AA19" s="54">
        <f>32.881-Z19-AA10-AA17-Z10-Z17-Y10-Y17-Y19-Y12-Z12-AA12</f>
        <v>-18.71099999999997</v>
      </c>
      <c r="AB19" s="54">
        <f>107.6-AA19-AB10-AB17-AA10-AA17-Z10-Z17-Z19-Y10-Y17-Y19-Y12-Z12-AA12-AB12</f>
        <v>28.657999999999937</v>
      </c>
      <c r="AC19" s="668">
        <v>0.6</v>
      </c>
      <c r="AD19" s="54"/>
      <c r="AE19" s="281">
        <v>-7.7</v>
      </c>
      <c r="AF19" s="50">
        <f>-4.6-(AE19)</f>
        <v>3.1000000000000005</v>
      </c>
      <c r="AG19" s="50">
        <f>-7.2-(AE19+AF19)</f>
        <v>-2.6000000000000005</v>
      </c>
      <c r="AH19" s="50">
        <f>-0.6-(AE19+AF19+AG19)</f>
        <v>6.6000000000000005</v>
      </c>
      <c r="AI19" s="51">
        <f t="shared" si="0"/>
        <v>-0.59999999999999964</v>
      </c>
      <c r="AJ19" s="52"/>
      <c r="AK19" s="281">
        <v>-1.9</v>
      </c>
      <c r="AL19" s="50">
        <f>(-2.1+0.3)-(AK19)</f>
        <v>9.9999999999999867E-2</v>
      </c>
      <c r="AM19" s="50">
        <f>(-2.1+0.5)-(AK19+AL19)</f>
        <v>0.19999999999999996</v>
      </c>
      <c r="AN19" s="50">
        <f>(-1.3-0.2)-(AK19+AL19+AM19)</f>
        <v>0.10000000000000009</v>
      </c>
      <c r="AO19" s="51">
        <f t="shared" si="1"/>
        <v>-1.5</v>
      </c>
      <c r="AP19" s="52"/>
      <c r="AQ19" s="281">
        <v>0</v>
      </c>
      <c r="AR19" s="50">
        <f>(1+1.9)-(AQ19)</f>
        <v>2.9</v>
      </c>
      <c r="AS19" s="50">
        <f>(1+0.7)-(AQ19+AR19)</f>
        <v>-1.2</v>
      </c>
      <c r="AT19" s="50">
        <f>1.3-(AQ19+AR19+AS19)</f>
        <v>-0.39999999999999991</v>
      </c>
      <c r="AU19" s="51">
        <f t="shared" si="2"/>
        <v>1.3</v>
      </c>
      <c r="AV19" s="52"/>
      <c r="AW19" s="281">
        <v>0.6</v>
      </c>
      <c r="AX19" s="50">
        <f>0.7-(AW19)</f>
        <v>9.9999999999999978E-2</v>
      </c>
      <c r="AY19" s="50">
        <f>1.1-(AW19+AX19)</f>
        <v>0.40000000000000013</v>
      </c>
      <c r="AZ19" s="50">
        <f>0.7-(AW19+AX19+AY19)</f>
        <v>-0.40000000000000013</v>
      </c>
      <c r="BA19" s="51">
        <f t="shared" si="3"/>
        <v>0.7</v>
      </c>
      <c r="BB19" s="52"/>
      <c r="BC19" s="281">
        <v>1.8</v>
      </c>
      <c r="BD19" s="50">
        <f>0.8-(BC19)</f>
        <v>-1</v>
      </c>
      <c r="BE19" s="50">
        <f>1.6-2.2-(BC19+BD19)</f>
        <v>-1.4000000000000001</v>
      </c>
      <c r="BF19" s="50">
        <f>23.8-2.2+4.9-BE19-BD19-BC19</f>
        <v>27.099999999999998</v>
      </c>
      <c r="BG19" s="51">
        <f t="shared" si="4"/>
        <v>26.499999999999996</v>
      </c>
      <c r="BH19" s="52"/>
      <c r="BI19" s="281">
        <v>-1.2</v>
      </c>
      <c r="BJ19" s="50">
        <f>-0.6-BI19</f>
        <v>0.6</v>
      </c>
      <c r="BK19" s="50">
        <v>0.9</v>
      </c>
      <c r="BL19" s="50">
        <v>0.9</v>
      </c>
      <c r="BM19" s="51">
        <f t="shared" si="5"/>
        <v>1.2000000000000002</v>
      </c>
      <c r="BN19" s="52"/>
      <c r="BO19" s="281">
        <v>0.7</v>
      </c>
      <c r="BP19" s="50">
        <f>1.2-BO19</f>
        <v>0.5</v>
      </c>
      <c r="BQ19" s="50">
        <f>-9+11.1-SUM(BO19:BP19)</f>
        <v>0.89999999999999969</v>
      </c>
      <c r="BR19" s="50">
        <f>2.7+11.5-8.3-SUM(BO19:BQ19)</f>
        <v>3.7999999999999989</v>
      </c>
      <c r="BS19" s="53">
        <f t="shared" si="6"/>
        <v>5.8999999999999986</v>
      </c>
      <c r="BT19" s="54"/>
      <c r="BU19" s="1836">
        <v>7.3</v>
      </c>
      <c r="BV19" s="1837">
        <f>0.2+0.9-BU19</f>
        <v>-6.1999999999999993</v>
      </c>
      <c r="BW19" s="1837">
        <f>0.2+9.5-SUM(BU19:BV19)</f>
        <v>8.5999999999999979</v>
      </c>
      <c r="BX19" s="52">
        <f t="shared" si="7"/>
        <v>17</v>
      </c>
      <c r="BY19" s="2035">
        <f>0.2+26.5</f>
        <v>26.7</v>
      </c>
      <c r="BZ19" s="54"/>
      <c r="CA19" s="1836">
        <v>1.7</v>
      </c>
      <c r="CB19" s="1837">
        <f>9-CA19</f>
        <v>7.3</v>
      </c>
      <c r="CC19" s="1837">
        <f>12.7-SUM(CA19:CB19)</f>
        <v>3.6999999999999993</v>
      </c>
      <c r="CD19" s="52">
        <f t="shared" si="8"/>
        <v>-5.0999999999999996</v>
      </c>
      <c r="CE19" s="2035">
        <v>7.6</v>
      </c>
      <c r="CF19" s="54"/>
      <c r="CG19" s="1836">
        <v>1.3</v>
      </c>
      <c r="CH19" s="1837">
        <f>1.8-CG19</f>
        <v>0.5</v>
      </c>
      <c r="CI19" s="1837">
        <f>6.1-SUM(CG19:CH19)</f>
        <v>4.3</v>
      </c>
      <c r="CJ19" s="1837">
        <f>11.6-SUM(CG19:CI19)</f>
        <v>5.5</v>
      </c>
      <c r="CK19" s="53">
        <f t="shared" si="9"/>
        <v>11.6</v>
      </c>
      <c r="CL19" s="54"/>
      <c r="CM19" s="598">
        <v>3.5</v>
      </c>
      <c r="CN19" s="603">
        <v>3.5</v>
      </c>
      <c r="CO19" s="603">
        <v>3.5</v>
      </c>
      <c r="CP19" s="603">
        <v>3.5</v>
      </c>
      <c r="CQ19" s="53">
        <f t="shared" si="10"/>
        <v>14</v>
      </c>
      <c r="CR19" s="54"/>
      <c r="CS19" s="598">
        <v>3.5</v>
      </c>
      <c r="CT19" s="603">
        <v>3.5</v>
      </c>
      <c r="CU19" s="603">
        <v>3.5</v>
      </c>
      <c r="CV19" s="603">
        <v>3.54</v>
      </c>
      <c r="CW19" s="53">
        <f t="shared" si="11"/>
        <v>14.04</v>
      </c>
      <c r="CX19" s="54"/>
      <c r="CY19" s="598">
        <v>3.5</v>
      </c>
      <c r="CZ19" s="603">
        <v>3.5</v>
      </c>
      <c r="DA19" s="603">
        <v>3.5</v>
      </c>
      <c r="DB19" s="603">
        <v>3.54</v>
      </c>
      <c r="DC19" s="53">
        <f t="shared" si="12"/>
        <v>14.04</v>
      </c>
      <c r="DD19" s="54"/>
      <c r="DE19" s="598">
        <v>3.5</v>
      </c>
      <c r="DF19" s="603">
        <v>3.5</v>
      </c>
      <c r="DG19" s="603">
        <v>3.5</v>
      </c>
      <c r="DH19" s="603">
        <v>3.54</v>
      </c>
      <c r="DI19" s="53">
        <f t="shared" si="13"/>
        <v>14.04</v>
      </c>
      <c r="DP19" s="225"/>
    </row>
    <row r="20" spans="1:121" ht="11.25" customHeight="1">
      <c r="A20" s="229" t="s">
        <v>174</v>
      </c>
      <c r="B20" s="230"/>
      <c r="C20" s="306">
        <f>SUM(C21:C25)</f>
        <v>-8.6869999999999994</v>
      </c>
      <c r="D20" s="230"/>
      <c r="E20" s="306">
        <f>SUM(E21:E25)</f>
        <v>0.42699999999999827</v>
      </c>
      <c r="F20" s="230"/>
      <c r="G20" s="306">
        <f>SUM(G21:G25)</f>
        <v>-4.3359999999999985</v>
      </c>
      <c r="H20" s="230"/>
      <c r="I20" s="306">
        <f>SUM(I21:I25)</f>
        <v>-21.283000000000001</v>
      </c>
      <c r="J20" s="230"/>
      <c r="K20" s="306">
        <f>SUM(K21:K25)</f>
        <v>-25.622000000000003</v>
      </c>
      <c r="L20" s="230"/>
      <c r="M20" s="306">
        <f>SUM(M21:M25)</f>
        <v>-4.9809999999999981</v>
      </c>
      <c r="N20" s="230"/>
      <c r="O20" s="306">
        <f>SUM(O21:O25)</f>
        <v>-6.504999999999999</v>
      </c>
      <c r="P20" s="230"/>
      <c r="Q20" s="306">
        <f>SUM(Q21:Q25)</f>
        <v>28.290999999999997</v>
      </c>
      <c r="R20" s="230"/>
      <c r="S20" s="311"/>
      <c r="T20" s="230"/>
      <c r="U20" s="230"/>
      <c r="V20" s="230"/>
      <c r="W20" s="231">
        <f>SUM(W21:W25)</f>
        <v>8.5749999999999993</v>
      </c>
      <c r="X20" s="230"/>
      <c r="Y20" s="311"/>
      <c r="Z20" s="230"/>
      <c r="AA20" s="230"/>
      <c r="AB20" s="230"/>
      <c r="AC20" s="231">
        <f>SUM(AC21:AC25)</f>
        <v>-20.799999999999997</v>
      </c>
      <c r="AD20" s="230"/>
      <c r="AE20" s="492">
        <f>SUM(AE21:AE25)</f>
        <v>22.500000000000004</v>
      </c>
      <c r="AF20" s="1097">
        <f>SUM(AF21:AF25)</f>
        <v>-37.200000000000003</v>
      </c>
      <c r="AG20" s="1097">
        <f>SUM(AG21:AG25)</f>
        <v>-23.300000000000004</v>
      </c>
      <c r="AH20" s="1097">
        <f>SUM(AH21:AH25)</f>
        <v>48.2</v>
      </c>
      <c r="AI20" s="1252">
        <f>SUM(AI21:AI25)</f>
        <v>10.200000000000003</v>
      </c>
      <c r="AJ20" s="1097"/>
      <c r="AK20" s="492">
        <f>SUM(AK21:AK25)</f>
        <v>-0.49999999999999645</v>
      </c>
      <c r="AL20" s="1097">
        <f>SUM(AL21:AL25)</f>
        <v>16.999999999999993</v>
      </c>
      <c r="AM20" s="1097">
        <f>SUM(AM21:AM25)</f>
        <v>-3.9000000000000004</v>
      </c>
      <c r="AN20" s="1097">
        <f>SUM(AN21:AN25)</f>
        <v>-2.9999999999999964</v>
      </c>
      <c r="AO20" s="1252">
        <f>SUM(AO21:AO25)</f>
        <v>9.6</v>
      </c>
      <c r="AP20" s="1097"/>
      <c r="AQ20" s="492">
        <f>SUM(AQ21:AQ25)</f>
        <v>-15.500000000000004</v>
      </c>
      <c r="AR20" s="1097">
        <f>SUM(AR21:AR25)</f>
        <v>5.5000000000000062</v>
      </c>
      <c r="AS20" s="1097">
        <f>SUM(AS21:AS25)</f>
        <v>-38.299999999999997</v>
      </c>
      <c r="AT20" s="1097">
        <f>SUM(AT21:AT25)</f>
        <v>41.9</v>
      </c>
      <c r="AU20" s="1252">
        <f>SUM(AU21:AU25)</f>
        <v>-6.3999999999999986</v>
      </c>
      <c r="AV20" s="1097"/>
      <c r="AW20" s="492">
        <f>SUM(AW21:AW25)</f>
        <v>-57.800000000000011</v>
      </c>
      <c r="AX20" s="1097">
        <f>SUM(AX21:AX25)</f>
        <v>-47.7</v>
      </c>
      <c r="AY20" s="1097">
        <f>SUM(AY21:AY25)</f>
        <v>-28.699999999999992</v>
      </c>
      <c r="AZ20" s="1097">
        <f>SUM(AZ21:AZ25)</f>
        <v>32.199999999999996</v>
      </c>
      <c r="BA20" s="1252">
        <f>SUM(BA21:BA25)</f>
        <v>-102.00000000000001</v>
      </c>
      <c r="BB20" s="1097"/>
      <c r="BC20" s="492">
        <f>SUM(BC21:BC25)</f>
        <v>-33.300000000000004</v>
      </c>
      <c r="BD20" s="1097">
        <f>SUM(BD21:BD25)</f>
        <v>3.0000000000000036</v>
      </c>
      <c r="BE20" s="1097">
        <f>SUM(BE21:BE25)</f>
        <v>-63</v>
      </c>
      <c r="BF20" s="1097">
        <f>SUM(BF21:BF25)</f>
        <v>35</v>
      </c>
      <c r="BG20" s="1252">
        <f>SUM(BG21:BG25)</f>
        <v>-58.300000000000004</v>
      </c>
      <c r="BH20" s="1097"/>
      <c r="BI20" s="492">
        <f>SUM(BI21:BI25)</f>
        <v>-44.9</v>
      </c>
      <c r="BJ20" s="1097">
        <f>SUM(BJ21:BJ25)</f>
        <v>-55.199999999999989</v>
      </c>
      <c r="BK20" s="1097">
        <f>SUM(BK21:BK25)</f>
        <v>1.3999999999999986</v>
      </c>
      <c r="BL20" s="1097">
        <f>SUM(BL21:BL25)</f>
        <v>46.099999999999994</v>
      </c>
      <c r="BM20" s="1252">
        <f>SUM(BM21:BM25)</f>
        <v>-52.599999999999994</v>
      </c>
      <c r="BN20" s="1097"/>
      <c r="BO20" s="492">
        <f>SUM(BO21:BO25)</f>
        <v>-17.3</v>
      </c>
      <c r="BP20" s="1097">
        <f>SUM(BP21:BP25)</f>
        <v>-29.699999999999992</v>
      </c>
      <c r="BQ20" s="1097">
        <f>SUM(BQ21:BQ25)</f>
        <v>-20.500000000000007</v>
      </c>
      <c r="BR20" s="1097">
        <f>SUM(BR21:BR25)</f>
        <v>28.2</v>
      </c>
      <c r="BS20" s="231">
        <f>SUM(BS21:BS25)</f>
        <v>-39.300000000000004</v>
      </c>
      <c r="BT20" s="230"/>
      <c r="BU20" s="311">
        <f>SUM(BU21:BU25)</f>
        <v>-4.1999999999999993</v>
      </c>
      <c r="BV20" s="1097">
        <f>SUM(BV21:BV25)</f>
        <v>-41</v>
      </c>
      <c r="BW20" s="1097">
        <f>SUM(BW21:BW25)</f>
        <v>12.5</v>
      </c>
      <c r="BX20" s="1097">
        <f>SUM(BX21:BX25)</f>
        <v>79</v>
      </c>
      <c r="BY20" s="231">
        <f>SUM(BY21:BY25)</f>
        <v>46.300000000000004</v>
      </c>
      <c r="BZ20" s="230"/>
      <c r="CA20" s="311">
        <f>SUM(CA21:CA25)</f>
        <v>-56.8</v>
      </c>
      <c r="CB20" s="1097">
        <f>SUM(CB21:CB25)</f>
        <v>-22</v>
      </c>
      <c r="CC20" s="1097">
        <f>SUM(CC21:CC25)</f>
        <v>-6.9000000000000057</v>
      </c>
      <c r="CD20" s="1097">
        <f>SUM(CD21:CD25)</f>
        <v>-3.099999999999997</v>
      </c>
      <c r="CE20" s="231">
        <f>SUM(CE21:CE25)</f>
        <v>-88.8</v>
      </c>
      <c r="CF20" s="230"/>
      <c r="CG20" s="311">
        <f>SUM(CG21:CG25)</f>
        <v>-11.299999999999999</v>
      </c>
      <c r="CH20" s="1097">
        <f>SUM(CH21:CH25)</f>
        <v>-55.000000000000007</v>
      </c>
      <c r="CI20" s="1097">
        <f>SUM(CI21:CI25)</f>
        <v>-24</v>
      </c>
      <c r="CJ20" s="1097">
        <f>SUM(CJ21:CJ25)</f>
        <v>49.7</v>
      </c>
      <c r="CK20" s="231">
        <f>SUM(CK21:CK25)</f>
        <v>-40.6</v>
      </c>
      <c r="CL20" s="230"/>
      <c r="CM20" s="311">
        <f>SUM(CM21:CM25)</f>
        <v>-7.720099736579769</v>
      </c>
      <c r="CN20" s="230">
        <f>SUM(CN21:CN25)</f>
        <v>-62.7719756591124</v>
      </c>
      <c r="CO20" s="230">
        <f>SUM(CO21:CO25)</f>
        <v>1.3843097989385598</v>
      </c>
      <c r="CP20" s="230">
        <f>SUM(CP21:CP25)</f>
        <v>-9.5059620448964637</v>
      </c>
      <c r="CQ20" s="231">
        <f>SUM(CQ21:CQ25)</f>
        <v>-78.613727641650073</v>
      </c>
      <c r="CR20" s="230"/>
      <c r="CS20" s="311">
        <f>SUM(CS21:CS25)</f>
        <v>83.196210280154219</v>
      </c>
      <c r="CT20" s="230">
        <f>SUM(CT21:CT25)</f>
        <v>-71.699639406487918</v>
      </c>
      <c r="CU20" s="230">
        <f>SUM(CU21:CU25)</f>
        <v>-28.129785812054152</v>
      </c>
      <c r="CV20" s="230">
        <f>SUM(CV21:CV25)</f>
        <v>-67.073177651230225</v>
      </c>
      <c r="CW20" s="231">
        <f>SUM(CW21:CW25)</f>
        <v>-83.706392589618076</v>
      </c>
      <c r="CX20" s="230"/>
      <c r="CY20" s="311">
        <f>SUM(CY21:CY25)</f>
        <v>101.10042375625881</v>
      </c>
      <c r="CZ20" s="230">
        <f>SUM(CZ21:CZ25)</f>
        <v>-67.269782372411072</v>
      </c>
      <c r="DA20" s="230">
        <f>SUM(DA21:DA25)</f>
        <v>-43.066761607738158</v>
      </c>
      <c r="DB20" s="230">
        <f>SUM(DB21:DB25)</f>
        <v>-77.263364699255789</v>
      </c>
      <c r="DC20" s="231">
        <f>SUM(DC21:DC25)</f>
        <v>-86.499484923146198</v>
      </c>
      <c r="DD20" s="230"/>
      <c r="DE20" s="311">
        <f>SUM(DE21:DE25)</f>
        <v>140.03082673006628</v>
      </c>
      <c r="DF20" s="230">
        <f>SUM(DF21:DF25)</f>
        <v>-78.489049032578777</v>
      </c>
      <c r="DG20" s="230">
        <f>SUM(DG21:DG25)</f>
        <v>-35.845280666906902</v>
      </c>
      <c r="DH20" s="230">
        <f>SUM(DH21:DH25)</f>
        <v>-100.2685149916914</v>
      </c>
      <c r="DI20" s="231">
        <f>SUM(DI21:DI25)</f>
        <v>-74.572017961110788</v>
      </c>
      <c r="DP20" s="233"/>
    </row>
    <row r="21" spans="1:121" ht="11.25" hidden="1" customHeight="1" outlineLevel="1">
      <c r="A21" s="223" t="s">
        <v>175</v>
      </c>
      <c r="B21" s="54"/>
      <c r="C21" s="304">
        <v>-6.2729999999999997</v>
      </c>
      <c r="D21" s="54"/>
      <c r="E21" s="304">
        <v>-3.605</v>
      </c>
      <c r="F21" s="54"/>
      <c r="G21" s="304">
        <v>0.499</v>
      </c>
      <c r="H21" s="54"/>
      <c r="I21" s="304">
        <v>-5.9080000000000004</v>
      </c>
      <c r="J21" s="54"/>
      <c r="K21" s="304">
        <v>-10.614000000000001</v>
      </c>
      <c r="L21" s="54"/>
      <c r="M21" s="304">
        <v>4.5629999999999997</v>
      </c>
      <c r="N21" s="54"/>
      <c r="O21" s="304">
        <v>-13.404999999999999</v>
      </c>
      <c r="P21" s="54"/>
      <c r="Q21" s="304">
        <v>-2.2530000000000001</v>
      </c>
      <c r="R21" s="54"/>
      <c r="S21" s="310"/>
      <c r="T21" s="224"/>
      <c r="U21" s="224"/>
      <c r="V21" s="224"/>
      <c r="W21" s="668">
        <v>-5.7789999999999999</v>
      </c>
      <c r="X21" s="54"/>
      <c r="Y21" s="310"/>
      <c r="Z21" s="224"/>
      <c r="AA21" s="224"/>
      <c r="AB21" s="224"/>
      <c r="AC21" s="668">
        <v>-30</v>
      </c>
      <c r="AD21" s="54"/>
      <c r="AE21" s="281">
        <v>16.5</v>
      </c>
      <c r="AF21" s="50">
        <f>41.2-(AE21)</f>
        <v>24.700000000000003</v>
      </c>
      <c r="AG21" s="50">
        <f>41.8-(AE21+AF21)</f>
        <v>0.59999999999999432</v>
      </c>
      <c r="AH21" s="50">
        <f>33-(AE21+AF21+AG21)</f>
        <v>-8.7999999999999972</v>
      </c>
      <c r="AI21" s="51">
        <f t="shared" si="0"/>
        <v>33</v>
      </c>
      <c r="AJ21" s="52"/>
      <c r="AK21" s="281">
        <v>20.6</v>
      </c>
      <c r="AL21" s="50">
        <f>40.3-(AK21)</f>
        <v>19.699999999999996</v>
      </c>
      <c r="AM21" s="50">
        <f>26.9-(AK21+AL21)</f>
        <v>-13.399999999999999</v>
      </c>
      <c r="AN21" s="50">
        <f>-9.4-(AK21+AL21+AM21)</f>
        <v>-36.299999999999997</v>
      </c>
      <c r="AO21" s="51">
        <f t="shared" si="1"/>
        <v>-9.3999999999999986</v>
      </c>
      <c r="AP21" s="52"/>
      <c r="AQ21" s="281">
        <v>4.5</v>
      </c>
      <c r="AR21" s="50">
        <f>9.4-(AQ21)</f>
        <v>4.9000000000000004</v>
      </c>
      <c r="AS21" s="50">
        <f>-11.4-(AQ21+AR21)</f>
        <v>-20.8</v>
      </c>
      <c r="AT21" s="50">
        <f>-27.3-(AQ21+AR21+AS21)</f>
        <v>-15.9</v>
      </c>
      <c r="AU21" s="51">
        <f t="shared" si="2"/>
        <v>-27.3</v>
      </c>
      <c r="AV21" s="52"/>
      <c r="AW21" s="281">
        <v>-10.199999999999999</v>
      </c>
      <c r="AX21" s="50">
        <f>-28.4-(AW21)</f>
        <v>-18.2</v>
      </c>
      <c r="AY21" s="50">
        <f>-38.5-(AW21+AX21)</f>
        <v>-10.100000000000001</v>
      </c>
      <c r="AZ21" s="50">
        <f>-52.8-(AW21+AX21+AY21)</f>
        <v>-14.299999999999997</v>
      </c>
      <c r="BA21" s="51">
        <f t="shared" si="3"/>
        <v>-52.8</v>
      </c>
      <c r="BB21" s="52"/>
      <c r="BC21" s="281">
        <v>28.9</v>
      </c>
      <c r="BD21" s="50">
        <f>36.6-(BC21)</f>
        <v>7.7000000000000028</v>
      </c>
      <c r="BE21" s="50">
        <f>25.2-(BC21+BD21)</f>
        <v>-11.400000000000002</v>
      </c>
      <c r="BF21" s="50">
        <f>1.6-BE21-BD21-BC21</f>
        <v>-23.6</v>
      </c>
      <c r="BG21" s="51">
        <f t="shared" si="4"/>
        <v>1.5999999999999979</v>
      </c>
      <c r="BH21" s="52"/>
      <c r="BI21" s="281">
        <v>8.6999999999999993</v>
      </c>
      <c r="BJ21" s="50">
        <f>-20.9-BI21</f>
        <v>-29.599999999999998</v>
      </c>
      <c r="BK21" s="50">
        <v>11.2</v>
      </c>
      <c r="BL21" s="50">
        <v>-9.6</v>
      </c>
      <c r="BM21" s="51">
        <f>SUM(BI21:BL21)</f>
        <v>-19.299999999999997</v>
      </c>
      <c r="BN21" s="52"/>
      <c r="BO21" s="281">
        <v>12.8</v>
      </c>
      <c r="BP21" s="50">
        <f>28.9-BO21</f>
        <v>16.099999999999998</v>
      </c>
      <c r="BQ21" s="50">
        <f>21.5-SUM(BO21:BP21)</f>
        <v>-7.3999999999999986</v>
      </c>
      <c r="BR21" s="50">
        <f>-14.5-SUM(BO21:BQ21)</f>
        <v>-36</v>
      </c>
      <c r="BS21" s="53">
        <f>SUM(BO21:BR21)</f>
        <v>-14.5</v>
      </c>
      <c r="BT21" s="54"/>
      <c r="BU21" s="1836">
        <v>51.5</v>
      </c>
      <c r="BV21" s="1837">
        <f>42.6-BU21</f>
        <v>-8.8999999999999986</v>
      </c>
      <c r="BW21" s="1837">
        <f>37.7-SUM(BU21:BV21)</f>
        <v>-4.8999999999999986</v>
      </c>
      <c r="BX21" s="52">
        <f>+BY21-SUM(BU21:BW21)</f>
        <v>7.2999999999999972</v>
      </c>
      <c r="BY21" s="2035">
        <v>45</v>
      </c>
      <c r="BZ21" s="54"/>
      <c r="CA21" s="1836">
        <v>7.2</v>
      </c>
      <c r="CB21" s="1837">
        <f>30.3-CA21</f>
        <v>23.1</v>
      </c>
      <c r="CC21" s="1837">
        <f>15.4-SUM(CA21:CB21)</f>
        <v>-14.9</v>
      </c>
      <c r="CD21" s="52">
        <f>+CE21-SUM(CA21:CC21)</f>
        <v>-23.8</v>
      </c>
      <c r="CE21" s="2035">
        <v>-8.4</v>
      </c>
      <c r="CF21" s="54"/>
      <c r="CG21" s="1836">
        <v>25.6</v>
      </c>
      <c r="CH21" s="1837">
        <f>16.9-CG21</f>
        <v>-8.7000000000000028</v>
      </c>
      <c r="CI21" s="1837">
        <f>-8.4-SUM(CG21:CH21)</f>
        <v>-25.299999999999997</v>
      </c>
      <c r="CJ21" s="1837">
        <f>-55.5-SUM(CG21:CI21)</f>
        <v>-47.1</v>
      </c>
      <c r="CK21" s="53">
        <f>SUM(CG21:CJ21)</f>
        <v>-55.5</v>
      </c>
      <c r="CL21" s="54"/>
      <c r="CM21" s="284">
        <f>BS!CK12-BS!CM12</f>
        <v>54.941186355644447</v>
      </c>
      <c r="CN21" s="54">
        <f>BS!CM12-BS!CN12</f>
        <v>-3.9302637756173908</v>
      </c>
      <c r="CO21" s="54">
        <f>BS!CN12-BS!CO12</f>
        <v>-28.347799879964327</v>
      </c>
      <c r="CP21" s="54">
        <f>BS!CO12-BS!CP12</f>
        <v>-60.481784657453659</v>
      </c>
      <c r="CQ21" s="53">
        <f>SUM(CM21:CP21)</f>
        <v>-37.81866195739093</v>
      </c>
      <c r="CR21" s="54"/>
      <c r="CS21" s="284">
        <f>BS!CQ12-BS!CS12</f>
        <v>92.887859507468931</v>
      </c>
      <c r="CT21" s="54">
        <f>BS!CS12-BS!CT12</f>
        <v>-8.4739256509806182</v>
      </c>
      <c r="CU21" s="54">
        <f>BS!CT12-BS!CU12</f>
        <v>-23.380949218088631</v>
      </c>
      <c r="CV21" s="54">
        <f>BS!CU12-BS!CV12</f>
        <v>-71.973719995923489</v>
      </c>
      <c r="CW21" s="53">
        <f>SUM(CS21:CV21)</f>
        <v>-10.940735357523806</v>
      </c>
      <c r="CX21" s="54"/>
      <c r="CY21" s="284">
        <f>BS!CW12-BS!CY12</f>
        <v>79.725475583223727</v>
      </c>
      <c r="CZ21" s="54">
        <f>BS!CY12-BS!CZ12</f>
        <v>-4.5054569394388295</v>
      </c>
      <c r="DA21" s="54">
        <f>BS!CZ12-BS!DA12</f>
        <v>-31.690240847345137</v>
      </c>
      <c r="DB21" s="54">
        <f>BS!DA12-BS!DB12</f>
        <v>-73.408471366633876</v>
      </c>
      <c r="DC21" s="53">
        <f>SUM(CY21:DB21)</f>
        <v>-29.878693570194116</v>
      </c>
      <c r="DD21" s="54"/>
      <c r="DE21" s="284">
        <f>BS!DC12-BS!DE12</f>
        <v>95.05923029212363</v>
      </c>
      <c r="DF21" s="54">
        <f>BS!DE12-BS!DF12</f>
        <v>-9.6666922610529582</v>
      </c>
      <c r="DG21" s="54">
        <f>BS!DF12-BS!DG12</f>
        <v>-27.377875454767889</v>
      </c>
      <c r="DH21" s="54">
        <f>BS!DG12-BS!DH12</f>
        <v>-82.6528648067316</v>
      </c>
      <c r="DI21" s="53">
        <f>SUM(DE21:DH21)</f>
        <v>-24.638202230428817</v>
      </c>
      <c r="DP21" s="225"/>
    </row>
    <row r="22" spans="1:121" ht="11.25" hidden="1" customHeight="1" outlineLevel="1">
      <c r="A22" s="223" t="s">
        <v>74</v>
      </c>
      <c r="B22" s="54"/>
      <c r="C22" s="304">
        <v>-1.802</v>
      </c>
      <c r="D22" s="54"/>
      <c r="E22" s="304">
        <v>-10.265000000000001</v>
      </c>
      <c r="F22" s="54"/>
      <c r="G22" s="304">
        <v>-13.028</v>
      </c>
      <c r="H22" s="54"/>
      <c r="I22" s="304">
        <v>-15.287000000000001</v>
      </c>
      <c r="J22" s="54"/>
      <c r="K22" s="304">
        <v>-18.411000000000001</v>
      </c>
      <c r="L22" s="54"/>
      <c r="M22" s="304">
        <v>5.2249999999999996</v>
      </c>
      <c r="N22" s="54"/>
      <c r="O22" s="304">
        <v>8.298</v>
      </c>
      <c r="P22" s="54"/>
      <c r="Q22" s="304">
        <v>-0.83499999999999996</v>
      </c>
      <c r="R22" s="54"/>
      <c r="S22" s="310"/>
      <c r="T22" s="224"/>
      <c r="U22" s="224"/>
      <c r="V22" s="224"/>
      <c r="W22" s="668">
        <v>-11.675000000000001</v>
      </c>
      <c r="X22" s="54"/>
      <c r="Y22" s="310"/>
      <c r="Z22" s="224"/>
      <c r="AA22" s="224"/>
      <c r="AB22" s="224"/>
      <c r="AC22" s="668">
        <v>-3.5</v>
      </c>
      <c r="AD22" s="54"/>
      <c r="AE22" s="281">
        <v>-25.4</v>
      </c>
      <c r="AF22" s="50">
        <f>-6.9-(AE22)</f>
        <v>18.5</v>
      </c>
      <c r="AG22" s="50">
        <f>-35.6-(AE22+AF22)</f>
        <v>-28.700000000000003</v>
      </c>
      <c r="AH22" s="50">
        <f>8-(AE22+AF22+AG22)</f>
        <v>43.6</v>
      </c>
      <c r="AI22" s="51">
        <f t="shared" si="0"/>
        <v>8</v>
      </c>
      <c r="AJ22" s="52"/>
      <c r="AK22" s="281">
        <v>-16.899999999999999</v>
      </c>
      <c r="AL22" s="50">
        <f>-4.5-(AK22)</f>
        <v>12.399999999999999</v>
      </c>
      <c r="AM22" s="50">
        <f>7.7-(AK22+AL22)</f>
        <v>12.2</v>
      </c>
      <c r="AN22" s="50">
        <f>-4.4-(AK22+AL22+AM22)</f>
        <v>-12.1</v>
      </c>
      <c r="AO22" s="51">
        <f t="shared" si="1"/>
        <v>-4.4000000000000004</v>
      </c>
      <c r="AP22" s="52"/>
      <c r="AQ22" s="281">
        <v>-31.6</v>
      </c>
      <c r="AR22" s="50">
        <f>-48.8-(AQ22)</f>
        <v>-17.199999999999996</v>
      </c>
      <c r="AS22" s="50">
        <f>-76.2-(AQ22+AR22)</f>
        <v>-27.400000000000006</v>
      </c>
      <c r="AT22" s="50">
        <f>-68-(AQ22+AR22+AS22)</f>
        <v>8.2000000000000028</v>
      </c>
      <c r="AU22" s="51">
        <f t="shared" si="2"/>
        <v>-68</v>
      </c>
      <c r="AV22" s="52"/>
      <c r="AW22" s="281">
        <v>-44.2</v>
      </c>
      <c r="AX22" s="50">
        <f>-82-(AW22)</f>
        <v>-37.799999999999997</v>
      </c>
      <c r="AY22" s="50">
        <f>-114.6-(AW22+AX22)</f>
        <v>-32.599999999999994</v>
      </c>
      <c r="AZ22" s="50">
        <f>-111.7-(AW22+AX22+AY22)</f>
        <v>2.8999999999999915</v>
      </c>
      <c r="BA22" s="51">
        <f t="shared" si="3"/>
        <v>-111.7</v>
      </c>
      <c r="BB22" s="52"/>
      <c r="BC22" s="281">
        <v>-52.5</v>
      </c>
      <c r="BD22" s="50">
        <f>-58.6-(BC22)</f>
        <v>-6.1000000000000014</v>
      </c>
      <c r="BE22" s="50">
        <f>-72.9-(BC22+BD22)</f>
        <v>-14.300000000000004</v>
      </c>
      <c r="BF22" s="50">
        <f>-49.5-BE22-BD22-BC22</f>
        <v>23.400000000000006</v>
      </c>
      <c r="BG22" s="51">
        <f t="shared" si="4"/>
        <v>-49.5</v>
      </c>
      <c r="BH22" s="52"/>
      <c r="BI22" s="281">
        <v>-37</v>
      </c>
      <c r="BJ22" s="50">
        <f>-21.9-BI22</f>
        <v>15.100000000000001</v>
      </c>
      <c r="BK22" s="50">
        <v>-13</v>
      </c>
      <c r="BL22" s="50">
        <v>40.6</v>
      </c>
      <c r="BM22" s="51">
        <f>SUM(BI22:BL22)</f>
        <v>5.7000000000000028</v>
      </c>
      <c r="BN22" s="52"/>
      <c r="BO22" s="281">
        <v>-38</v>
      </c>
      <c r="BP22" s="50">
        <f>-38.4-BO22</f>
        <v>-0.39999999999999858</v>
      </c>
      <c r="BQ22" s="50">
        <f>-46.9-SUM(BO22:BP22)</f>
        <v>-8.5</v>
      </c>
      <c r="BR22" s="50">
        <f>4.6-SUM(BO22:BQ22)</f>
        <v>51.5</v>
      </c>
      <c r="BS22" s="53">
        <f>SUM(BO22:BR22)</f>
        <v>4.6000000000000014</v>
      </c>
      <c r="BT22" s="54"/>
      <c r="BU22" s="1836">
        <v>-36.6</v>
      </c>
      <c r="BV22" s="1837">
        <f>-38.9-BU22</f>
        <v>-2.2999999999999972</v>
      </c>
      <c r="BW22" s="1837">
        <f>-40.7-SUM(BU22:BV22)</f>
        <v>-1.8000000000000043</v>
      </c>
      <c r="BX22" s="52">
        <f>+BY22-SUM(BU22:BW22)</f>
        <v>35.300000000000004</v>
      </c>
      <c r="BY22" s="2035">
        <v>-5.4</v>
      </c>
      <c r="BZ22" s="54"/>
      <c r="CA22" s="1836">
        <v>-28.8</v>
      </c>
      <c r="CB22" s="1837">
        <f>-60-CA22</f>
        <v>-31.2</v>
      </c>
      <c r="CC22" s="1837">
        <f>-73.4-SUM(CA22:CB22)</f>
        <v>-13.400000000000006</v>
      </c>
      <c r="CD22" s="52">
        <f>+CE22-SUM(CA22:CC22)</f>
        <v>30.200000000000003</v>
      </c>
      <c r="CE22" s="2035">
        <v>-43.2</v>
      </c>
      <c r="CF22" s="54"/>
      <c r="CG22" s="1836">
        <v>-31.1</v>
      </c>
      <c r="CH22" s="1837">
        <f>-36.6-CG22</f>
        <v>-5.5</v>
      </c>
      <c r="CI22" s="1837">
        <f>-37.5-SUM(CG22:CH22)</f>
        <v>-0.89999999999999858</v>
      </c>
      <c r="CJ22" s="1837">
        <f>-6.6-SUM(CG22:CI22)</f>
        <v>30.9</v>
      </c>
      <c r="CK22" s="53">
        <f>SUM(CG22:CJ22)</f>
        <v>-6.6000000000000014</v>
      </c>
      <c r="CL22" s="54"/>
      <c r="CM22" s="284">
        <f>BS!CK13-BS!CM13-CM16</f>
        <v>-69.593632297008469</v>
      </c>
      <c r="CN22" s="54">
        <f>BS!CM13-BS!CN13-CN16</f>
        <v>6.2251536670626137</v>
      </c>
      <c r="CO22" s="54">
        <f>BS!CN13-BS!CO13-CO16</f>
        <v>29.644882104865815</v>
      </c>
      <c r="CP22" s="54">
        <f>BS!CO13-BS!CP13-CP16</f>
        <v>38.126938258828091</v>
      </c>
      <c r="CQ22" s="53">
        <f>SUM(CM22:CP22)</f>
        <v>4.40334173374805</v>
      </c>
      <c r="CR22" s="54"/>
      <c r="CS22" s="284">
        <f>BS!CQ13-BS!CS13-CS16</f>
        <v>-37.781789375593121</v>
      </c>
      <c r="CT22" s="54">
        <f>BS!CS13-BS!CT13-CT16</f>
        <v>-2.8950554710449978</v>
      </c>
      <c r="CU22" s="54">
        <f>BS!CT13-BS!CU13-CU16</f>
        <v>-4.8512844426833226</v>
      </c>
      <c r="CV22" s="54">
        <f>BS!CU13-BS!CV13-CV16</f>
        <v>-20.576945901132376</v>
      </c>
      <c r="CW22" s="53">
        <f>SUM(CS22:CV22)</f>
        <v>-66.105075190453817</v>
      </c>
      <c r="CX22" s="54"/>
      <c r="CY22" s="284">
        <f>BS!CW13-BS!CY13-CY16</f>
        <v>12.211107042581602</v>
      </c>
      <c r="CZ22" s="54">
        <f>BS!CY13-BS!CZ13-CZ16</f>
        <v>5.6083981180123601</v>
      </c>
      <c r="DA22" s="54">
        <f>BS!CZ13-BS!DA13-DA16</f>
        <v>-18.095465381130794</v>
      </c>
      <c r="DB22" s="54">
        <f>BS!DA13-BS!DB13-DB16</f>
        <v>-14.907790118602179</v>
      </c>
      <c r="DC22" s="53">
        <f>SUM(CY22:DB22)</f>
        <v>-15.18375033913901</v>
      </c>
      <c r="DD22" s="54"/>
      <c r="DE22" s="284">
        <f>BS!DC13-BS!DE13-DE16</f>
        <v>21.501506789778659</v>
      </c>
      <c r="DF22" s="54">
        <f>BS!DE13-BS!DF13-DF16</f>
        <v>-2.9319516893016271</v>
      </c>
      <c r="DG22" s="54">
        <f>BS!DF13-BS!DG13-DG16</f>
        <v>-9.2182911395860856</v>
      </c>
      <c r="DH22" s="54">
        <f>BS!DG13-BS!DH13-DH16</f>
        <v>-23.66572246888154</v>
      </c>
      <c r="DI22" s="53">
        <f>SUM(DE22:DH22)</f>
        <v>-14.314458507990594</v>
      </c>
      <c r="DP22" s="225"/>
    </row>
    <row r="23" spans="1:121" ht="11.25" hidden="1" customHeight="1" outlineLevel="1">
      <c r="A23" s="223" t="s">
        <v>81</v>
      </c>
      <c r="B23" s="54"/>
      <c r="C23" s="304">
        <v>-0.48</v>
      </c>
      <c r="D23" s="54"/>
      <c r="E23" s="304">
        <v>6.3739999999999997</v>
      </c>
      <c r="F23" s="54"/>
      <c r="G23" s="304">
        <v>1.7390000000000001</v>
      </c>
      <c r="H23" s="54"/>
      <c r="I23" s="304">
        <v>3.032</v>
      </c>
      <c r="J23" s="54"/>
      <c r="K23" s="304">
        <v>2</v>
      </c>
      <c r="L23" s="54"/>
      <c r="M23" s="304">
        <v>-4.75</v>
      </c>
      <c r="N23" s="54"/>
      <c r="O23" s="304">
        <v>1.8420000000000001</v>
      </c>
      <c r="P23" s="54"/>
      <c r="Q23" s="304">
        <v>0.57299999999999995</v>
      </c>
      <c r="R23" s="54"/>
      <c r="S23" s="310"/>
      <c r="T23" s="224"/>
      <c r="U23" s="224"/>
      <c r="V23" s="224"/>
      <c r="W23" s="668">
        <v>11.172000000000001</v>
      </c>
      <c r="X23" s="54"/>
      <c r="Y23" s="310"/>
      <c r="Z23" s="224"/>
      <c r="AA23" s="224"/>
      <c r="AB23" s="224"/>
      <c r="AC23" s="668">
        <v>2.2999999999999998</v>
      </c>
      <c r="AD23" s="54"/>
      <c r="AE23" s="281">
        <v>15.3</v>
      </c>
      <c r="AF23" s="50">
        <f>-13-(AE23)</f>
        <v>-28.3</v>
      </c>
      <c r="AG23" s="50">
        <f>-14.7-(AE23+AF23)</f>
        <v>-1.6999999999999993</v>
      </c>
      <c r="AH23" s="50">
        <f>-39.3-(AE23+AF23+AG23)</f>
        <v>-24.599999999999998</v>
      </c>
      <c r="AI23" s="51">
        <f t="shared" si="0"/>
        <v>-39.299999999999997</v>
      </c>
      <c r="AJ23" s="52"/>
      <c r="AK23" s="281">
        <v>6.6</v>
      </c>
      <c r="AL23" s="50">
        <f>-2.3-(AK23)</f>
        <v>-8.8999999999999986</v>
      </c>
      <c r="AM23" s="50">
        <f>0.6-(AK23+AL23)</f>
        <v>2.899999999999999</v>
      </c>
      <c r="AN23" s="50">
        <f>5.7-(AK23+AL23+AM23)</f>
        <v>5.0999999999999996</v>
      </c>
      <c r="AO23" s="51">
        <f t="shared" si="1"/>
        <v>5.6999999999999993</v>
      </c>
      <c r="AP23" s="52"/>
      <c r="AQ23" s="281">
        <v>5.9</v>
      </c>
      <c r="AR23" s="50">
        <f>9.3-(AQ23)</f>
        <v>3.4000000000000004</v>
      </c>
      <c r="AS23" s="50">
        <f>10.8-(AQ23+AR23)</f>
        <v>1.5</v>
      </c>
      <c r="AT23" s="50">
        <f>6.5-(AQ23+AR23+AS23)</f>
        <v>-4.3000000000000007</v>
      </c>
      <c r="AU23" s="51">
        <f t="shared" si="2"/>
        <v>6.5</v>
      </c>
      <c r="AV23" s="52"/>
      <c r="AW23" s="281">
        <v>14.3</v>
      </c>
      <c r="AX23" s="50">
        <f>13-(AW23)</f>
        <v>-1.3000000000000007</v>
      </c>
      <c r="AY23" s="50">
        <f>11.6-(AW23+AX23)</f>
        <v>-1.4000000000000004</v>
      </c>
      <c r="AZ23" s="50">
        <f>9.2-(AW23+AX23+AY23)</f>
        <v>-2.4000000000000004</v>
      </c>
      <c r="BA23" s="51">
        <f t="shared" si="3"/>
        <v>9.1999999999999993</v>
      </c>
      <c r="BB23" s="52"/>
      <c r="BC23" s="281">
        <v>10.8</v>
      </c>
      <c r="BD23" s="50">
        <f>4-(BC23)</f>
        <v>-6.8000000000000007</v>
      </c>
      <c r="BE23" s="50">
        <f>-11-(BC23+BD23)</f>
        <v>-15</v>
      </c>
      <c r="BF23" s="50">
        <f>4.6-BE23-BD23-BC23</f>
        <v>15.600000000000001</v>
      </c>
      <c r="BG23" s="51">
        <f t="shared" si="4"/>
        <v>4.6000000000000014</v>
      </c>
      <c r="BH23" s="52"/>
      <c r="BI23" s="281">
        <v>-7.8</v>
      </c>
      <c r="BJ23" s="50">
        <f>-14.1-BI23</f>
        <v>-6.3</v>
      </c>
      <c r="BK23" s="50">
        <v>19.8</v>
      </c>
      <c r="BL23" s="50">
        <v>1.3</v>
      </c>
      <c r="BM23" s="51">
        <f>SUM(BI23:BL23)</f>
        <v>7.0000000000000009</v>
      </c>
      <c r="BN23" s="52"/>
      <c r="BO23" s="281">
        <v>21.9</v>
      </c>
      <c r="BP23" s="50">
        <f>8.9-BO23</f>
        <v>-12.999999999999998</v>
      </c>
      <c r="BQ23" s="50">
        <f>24.7-SUM(BO23:BP23)</f>
        <v>15.799999999999999</v>
      </c>
      <c r="BR23" s="50">
        <f>9-SUM(BO23:BQ23)</f>
        <v>-15.7</v>
      </c>
      <c r="BS23" s="53">
        <f>SUM(BO23:BR23)</f>
        <v>9</v>
      </c>
      <c r="BT23" s="54"/>
      <c r="BU23" s="1836">
        <v>-6.8</v>
      </c>
      <c r="BV23" s="1837">
        <f>-7.3-BU23</f>
        <v>-0.5</v>
      </c>
      <c r="BW23" s="1837">
        <f>4.8-SUM(BU23:BV23)</f>
        <v>12.1</v>
      </c>
      <c r="BX23" s="52">
        <f>+BY23-SUM(BU23:BW23)</f>
        <v>7.8</v>
      </c>
      <c r="BY23" s="2035">
        <v>12.6</v>
      </c>
      <c r="BZ23" s="54"/>
      <c r="CA23" s="1836">
        <v>-9</v>
      </c>
      <c r="CB23" s="1837">
        <f>-12.3-CA23</f>
        <v>-3.3000000000000007</v>
      </c>
      <c r="CC23" s="1837">
        <f>-11.5-SUM(CA23:CB23)</f>
        <v>0.80000000000000071</v>
      </c>
      <c r="CD23" s="52">
        <f>+CE23-SUM(CA23:CC23)</f>
        <v>-8.1000000000000014</v>
      </c>
      <c r="CE23" s="2035">
        <v>-19.600000000000001</v>
      </c>
      <c r="CF23" s="54"/>
      <c r="CG23" s="1836">
        <v>-2.7</v>
      </c>
      <c r="CH23" s="1837">
        <f>-24.4-CG23</f>
        <v>-21.7</v>
      </c>
      <c r="CI23" s="1837">
        <f>-8.6-SUM(CG23:CH23)</f>
        <v>15.799999999999999</v>
      </c>
      <c r="CJ23" s="1837">
        <f>33.7-SUM(CG23:CI23)</f>
        <v>42.300000000000004</v>
      </c>
      <c r="CK23" s="53">
        <f>SUM(CG23:CJ23)</f>
        <v>33.700000000000003</v>
      </c>
      <c r="CL23" s="54"/>
      <c r="CM23" s="284">
        <f>BS!CM24-BS!CK24</f>
        <v>9.0454558135919285</v>
      </c>
      <c r="CN23" s="54">
        <f>BS!CN24-BS!CM24</f>
        <v>-10.818445728545925</v>
      </c>
      <c r="CO23" s="54">
        <f>BS!CO24-BS!CN24</f>
        <v>-3.6578960158158509</v>
      </c>
      <c r="CP23" s="54">
        <f>BS!CP24-BS!CO24</f>
        <v>-7.1216989600323188</v>
      </c>
      <c r="CQ23" s="53">
        <f>SUM(CM23:CP23)</f>
        <v>-12.552584890802166</v>
      </c>
      <c r="CR23" s="54"/>
      <c r="CS23" s="284">
        <f>BS!CS24-BS!CQ24</f>
        <v>17.900635555470814</v>
      </c>
      <c r="CT23" s="54">
        <f>BS!CT24-BS!CS24</f>
        <v>-8.6259855547715745</v>
      </c>
      <c r="CU23" s="54">
        <f>BS!CU24-BS!CT24</f>
        <v>2.0059617950265221</v>
      </c>
      <c r="CV23" s="54">
        <f>BS!CV24-BS!CU24</f>
        <v>3.2105119856625066</v>
      </c>
      <c r="CW23" s="53">
        <f>SUM(CS23:CV23)</f>
        <v>14.491123781388268</v>
      </c>
      <c r="CX23" s="54"/>
      <c r="CY23" s="284">
        <f>BS!CY24-BS!CW24</f>
        <v>-3.6291148802308584</v>
      </c>
      <c r="CZ23" s="54">
        <f>BS!CZ24-BS!CY24</f>
        <v>-10.435152781748684</v>
      </c>
      <c r="DA23" s="54">
        <f>BS!DA24-BS!CZ24</f>
        <v>3.8101146682045908</v>
      </c>
      <c r="DB23" s="54">
        <f>BS!DB24-BS!DA24</f>
        <v>-0.4880391662388206</v>
      </c>
      <c r="DC23" s="53">
        <f>SUM(CY23:DB23)</f>
        <v>-10.742192160013772</v>
      </c>
      <c r="DD23" s="54"/>
      <c r="DE23" s="284">
        <f>BS!DE24-BS!DC24</f>
        <v>2.4468945520924308</v>
      </c>
      <c r="DF23" s="54">
        <f>BS!DF24-BS!DE24</f>
        <v>-9.417143255143003</v>
      </c>
      <c r="DG23" s="54">
        <f>BS!DG24-BS!DF24</f>
        <v>2.3420505423481188</v>
      </c>
      <c r="DH23" s="54">
        <f>BS!DH24-BS!DG24</f>
        <v>-0.84268339733009157</v>
      </c>
      <c r="DI23" s="53">
        <f>SUM(DE23:DH23)</f>
        <v>-5.4708815580325449</v>
      </c>
      <c r="DP23" s="225"/>
    </row>
    <row r="24" spans="1:121" ht="11.25" hidden="1" customHeight="1" outlineLevel="1">
      <c r="A24" s="223" t="s">
        <v>208</v>
      </c>
      <c r="B24" s="54"/>
      <c r="C24" s="304">
        <v>6.6000000000000003E-2</v>
      </c>
      <c r="D24" s="54"/>
      <c r="E24" s="304">
        <v>4.68</v>
      </c>
      <c r="F24" s="54"/>
      <c r="G24" s="304">
        <v>7.2370000000000001</v>
      </c>
      <c r="H24" s="54"/>
      <c r="I24" s="304">
        <v>1.847</v>
      </c>
      <c r="J24" s="54"/>
      <c r="K24" s="304">
        <v>0</v>
      </c>
      <c r="L24" s="54"/>
      <c r="M24" s="304">
        <v>0</v>
      </c>
      <c r="N24" s="54"/>
      <c r="O24" s="304">
        <v>0</v>
      </c>
      <c r="P24" s="54"/>
      <c r="Q24" s="304">
        <v>0</v>
      </c>
      <c r="R24" s="54"/>
      <c r="S24" s="310"/>
      <c r="T24" s="224"/>
      <c r="U24" s="224"/>
      <c r="V24" s="224"/>
      <c r="W24" s="668">
        <v>0</v>
      </c>
      <c r="X24" s="54"/>
      <c r="Y24" s="310"/>
      <c r="Z24" s="224"/>
      <c r="AA24" s="224"/>
      <c r="AB24" s="224"/>
      <c r="AC24" s="668">
        <v>-19.8</v>
      </c>
      <c r="AD24" s="54"/>
      <c r="AE24" s="281">
        <v>27.8</v>
      </c>
      <c r="AF24" s="50">
        <f>-25.6-(AE24)</f>
        <v>-53.400000000000006</v>
      </c>
      <c r="AG24" s="50">
        <f>-26.1-(AE24+AF24)</f>
        <v>-0.49999999999999645</v>
      </c>
      <c r="AH24" s="50">
        <f>-27.1-(AE24+AF24+AG24)</f>
        <v>-1</v>
      </c>
      <c r="AI24" s="51">
        <f t="shared" si="0"/>
        <v>-27.1</v>
      </c>
      <c r="AJ24" s="52"/>
      <c r="AK24" s="281">
        <v>5.9</v>
      </c>
      <c r="AL24" s="50">
        <f>-4.7-(AK24)</f>
        <v>-10.600000000000001</v>
      </c>
      <c r="AM24" s="50">
        <f>-16.6-(AK24+AL24)</f>
        <v>-11.9</v>
      </c>
      <c r="AN24" s="50">
        <f>8.5-(AK24+AL24+AM24)</f>
        <v>25.1</v>
      </c>
      <c r="AO24" s="51">
        <f t="shared" si="1"/>
        <v>8.5</v>
      </c>
      <c r="AP24" s="52"/>
      <c r="AQ24" s="281">
        <v>6.1</v>
      </c>
      <c r="AR24" s="50">
        <f>13.8-(AQ24)</f>
        <v>7.7000000000000011</v>
      </c>
      <c r="AS24" s="50">
        <f>-2.1-(AQ24+AR24)</f>
        <v>-15.9</v>
      </c>
      <c r="AT24" s="50">
        <f>27.9-(AQ24+AR24+AS24)</f>
        <v>30</v>
      </c>
      <c r="AU24" s="51">
        <f t="shared" si="2"/>
        <v>27.9</v>
      </c>
      <c r="AV24" s="52"/>
      <c r="AW24" s="281">
        <v>13.8</v>
      </c>
      <c r="AX24" s="50">
        <f>2.9-(AW24)</f>
        <v>-10.9</v>
      </c>
      <c r="AY24" s="50">
        <f>7.5-(AW24+AX24)</f>
        <v>4.5999999999999996</v>
      </c>
      <c r="AZ24" s="50">
        <f>31.3-(AW24+AX24+AY24)</f>
        <v>23.8</v>
      </c>
      <c r="BA24" s="51">
        <f t="shared" si="3"/>
        <v>31.3</v>
      </c>
      <c r="BB24" s="52"/>
      <c r="BC24" s="281">
        <v>25.7</v>
      </c>
      <c r="BD24" s="50">
        <f>22.2-(BC24)</f>
        <v>-3.5</v>
      </c>
      <c r="BE24" s="50">
        <f>-2.8-(BC24+BD24)</f>
        <v>-25</v>
      </c>
      <c r="BF24" s="50">
        <f>-4.6-BE24-BD24-BC24</f>
        <v>-1.8000000000000007</v>
      </c>
      <c r="BG24" s="51">
        <f t="shared" si="4"/>
        <v>-4.6000000000000014</v>
      </c>
      <c r="BH24" s="52"/>
      <c r="BI24" s="281">
        <v>3.7</v>
      </c>
      <c r="BJ24" s="50">
        <f>-21.9-BI24</f>
        <v>-25.599999999999998</v>
      </c>
      <c r="BK24" s="50">
        <v>3</v>
      </c>
      <c r="BL24" s="50">
        <v>6.8</v>
      </c>
      <c r="BM24" s="51">
        <f>SUM(BI24:BL24)</f>
        <v>-12.099999999999998</v>
      </c>
      <c r="BN24" s="52"/>
      <c r="BO24" s="281">
        <v>-7.6</v>
      </c>
      <c r="BP24" s="50">
        <f>-34.8-BO24</f>
        <v>-27.199999999999996</v>
      </c>
      <c r="BQ24" s="50">
        <f>-35.1-SUM(BO24:BP24)</f>
        <v>-0.30000000000000426</v>
      </c>
      <c r="BR24" s="50">
        <f>-48.2-SUM(BO24:BQ24)</f>
        <v>-13.100000000000001</v>
      </c>
      <c r="BS24" s="53">
        <f>SUM(BO24:BR24)</f>
        <v>-48.2</v>
      </c>
      <c r="BT24" s="54"/>
      <c r="BU24" s="1836">
        <v>8.9</v>
      </c>
      <c r="BV24" s="1837">
        <f>-7.4-BU24</f>
        <v>-16.3</v>
      </c>
      <c r="BW24" s="1837">
        <f>-9.7-SUM(BU24:BV24)</f>
        <v>-2.2999999999999989</v>
      </c>
      <c r="BX24" s="52">
        <f>+BY24-SUM(BU24:BW24)</f>
        <v>11.1</v>
      </c>
      <c r="BY24" s="2035">
        <v>1.4</v>
      </c>
      <c r="BZ24" s="54"/>
      <c r="CA24" s="1836">
        <v>-18.399999999999999</v>
      </c>
      <c r="CB24" s="1837">
        <f>-6.4-CA24</f>
        <v>11.999999999999998</v>
      </c>
      <c r="CC24" s="1837">
        <f>-6.5-SUM(CA24:CB24)</f>
        <v>-9.9999999999999645E-2</v>
      </c>
      <c r="CD24" s="52">
        <f>+CE24-SUM(CA24:CC24)</f>
        <v>-0.79999999999999982</v>
      </c>
      <c r="CE24" s="2035">
        <v>-7.3</v>
      </c>
      <c r="CF24" s="54"/>
      <c r="CG24" s="1836">
        <v>-3.1</v>
      </c>
      <c r="CH24" s="1837">
        <f>-20.6-CG24</f>
        <v>-17.5</v>
      </c>
      <c r="CI24" s="1837">
        <f>-34.7-SUM(CG24:CH24)</f>
        <v>-14.100000000000001</v>
      </c>
      <c r="CJ24" s="1837">
        <f>-27.8-SUM(CG24:CI24)</f>
        <v>6.9000000000000021</v>
      </c>
      <c r="CK24" s="53">
        <f>SUM(CG24:CJ24)</f>
        <v>-27.8</v>
      </c>
      <c r="CL24" s="54"/>
      <c r="CM24" s="284">
        <f>BS!CM25-BS!CK25</f>
        <v>35.254013658780778</v>
      </c>
      <c r="CN24" s="54">
        <f>BS!CN25-BS!CM25</f>
        <v>-21.552716551036298</v>
      </c>
      <c r="CO24" s="54">
        <f>BS!CO25-BS!CN25</f>
        <v>-12.779732836510917</v>
      </c>
      <c r="CP24" s="54">
        <f>BS!CP25-BS!CO25</f>
        <v>-17.487479139770087</v>
      </c>
      <c r="CQ24" s="53">
        <f>SUM(CM24:CP24)</f>
        <v>-16.565914868536524</v>
      </c>
      <c r="CR24" s="54"/>
      <c r="CS24" s="284">
        <f>BS!CS25-BS!CQ25</f>
        <v>45.75379714385511</v>
      </c>
      <c r="CT24" s="54">
        <f>BS!CT25-BS!CS25</f>
        <v>-20.108755062292559</v>
      </c>
      <c r="CU24" s="54">
        <f>BS!CU25-BS!CT25</f>
        <v>-15.617906753004917</v>
      </c>
      <c r="CV24" s="54">
        <f>BS!CV25-BS!CU25</f>
        <v>-17.102837100278848</v>
      </c>
      <c r="CW24" s="53">
        <f>SUM(CS24:CV24)</f>
        <v>-7.0757017717212136</v>
      </c>
      <c r="CX24" s="54"/>
      <c r="CY24" s="284">
        <f>BS!CY25-BS!CW25</f>
        <v>47.774840317361281</v>
      </c>
      <c r="CZ24" s="54">
        <f>BS!CZ25-BS!CY25</f>
        <v>-22.925113773580648</v>
      </c>
      <c r="DA24" s="54">
        <f>BS!DA25-BS!CZ25</f>
        <v>-13.57084922550095</v>
      </c>
      <c r="DB24" s="54">
        <f>BS!DB25-BS!DA25</f>
        <v>-21.520835080434921</v>
      </c>
      <c r="DC24" s="53">
        <f>SUM(CY24:DB24)</f>
        <v>-10.241957762155238</v>
      </c>
      <c r="DD24" s="54"/>
      <c r="DE24" s="284">
        <f>BS!DE25-BS!DC25</f>
        <v>51.226771033438297</v>
      </c>
      <c r="DF24" s="54">
        <f>BS!DF25-BS!DE25</f>
        <v>-21.86689658982155</v>
      </c>
      <c r="DG24" s="54">
        <f>BS!DG25-BS!DF25</f>
        <v>-15.967788081757519</v>
      </c>
      <c r="DH24" s="54">
        <f>BS!DH25-BS!DG25</f>
        <v>-23.457145309399337</v>
      </c>
      <c r="DI24" s="53">
        <f>SUM(DE24:DH24)</f>
        <v>-10.065058947540109</v>
      </c>
      <c r="DP24" s="225"/>
    </row>
    <row r="25" spans="1:121" ht="11.25" hidden="1" customHeight="1" outlineLevel="1">
      <c r="A25" s="226" t="s">
        <v>219</v>
      </c>
      <c r="B25" s="105" t="s">
        <v>361</v>
      </c>
      <c r="C25" s="304">
        <f>1.759-0.367-0.526-0.282-0.009-0.773</f>
        <v>-0.19800000000000018</v>
      </c>
      <c r="D25" s="105"/>
      <c r="E25" s="304">
        <f>0.419+2.034+0.295+0.495</f>
        <v>3.2429999999999999</v>
      </c>
      <c r="F25" s="105"/>
      <c r="G25" s="304">
        <f>-1.148-1.095-1.219+2.632-0.022+0.069</f>
        <v>-0.7829999999999997</v>
      </c>
      <c r="H25" s="105"/>
      <c r="I25" s="304">
        <f>-3.062-0.159-1.064-0.996+0.314</f>
        <v>-4.9670000000000005</v>
      </c>
      <c r="J25" s="105"/>
      <c r="K25" s="304">
        <f>0.02+1.278+1.479+0.751-2.125</f>
        <v>1.403</v>
      </c>
      <c r="L25" s="105"/>
      <c r="M25" s="304">
        <f>-4.741-2.381+0.903-3.8</f>
        <v>-10.018999999999998</v>
      </c>
      <c r="N25" s="105"/>
      <c r="O25" s="304">
        <f>-2.656-2.553+0.955+1.014</f>
        <v>-3.2399999999999993</v>
      </c>
      <c r="P25" s="105"/>
      <c r="Q25" s="304">
        <f>-3.728+9.982+1.02+23.532</f>
        <v>30.805999999999997</v>
      </c>
      <c r="R25" s="105"/>
      <c r="S25" s="310"/>
      <c r="T25" s="140"/>
      <c r="U25" s="140"/>
      <c r="V25" s="140"/>
      <c r="W25" s="668">
        <f>-10.349+1.52+30.717-7.031</f>
        <v>14.856999999999999</v>
      </c>
      <c r="X25" s="105"/>
      <c r="Y25" s="310"/>
      <c r="Z25" s="140"/>
      <c r="AA25" s="140"/>
      <c r="AB25" s="140"/>
      <c r="AC25" s="668">
        <f>-12.5+42.7</f>
        <v>30.200000000000003</v>
      </c>
      <c r="AD25" s="105"/>
      <c r="AE25" s="281">
        <v>-11.7</v>
      </c>
      <c r="AF25" s="199">
        <f>-10.4-(AE25)</f>
        <v>1.2999999999999989</v>
      </c>
      <c r="AG25" s="199">
        <f>-3.4-(AE25+AF25)</f>
        <v>7</v>
      </c>
      <c r="AH25" s="199">
        <f>(6.7+28.9)-(AE25+AF25+AG25)</f>
        <v>39</v>
      </c>
      <c r="AI25" s="51">
        <f t="shared" si="0"/>
        <v>35.6</v>
      </c>
      <c r="AJ25" s="181"/>
      <c r="AK25" s="281">
        <v>-16.7</v>
      </c>
      <c r="AL25" s="199">
        <f>-12.3-(AK25)</f>
        <v>4.3999999999999986</v>
      </c>
      <c r="AM25" s="199">
        <f>-6-(AK25+AL25)</f>
        <v>6.3000000000000007</v>
      </c>
      <c r="AN25" s="199">
        <f>(2+7.2)-(AK25+AL25+AM25)</f>
        <v>15.2</v>
      </c>
      <c r="AO25" s="51">
        <f t="shared" si="1"/>
        <v>9.1999999999999993</v>
      </c>
      <c r="AP25" s="181"/>
      <c r="AQ25" s="281">
        <v>-0.4</v>
      </c>
      <c r="AR25" s="199">
        <f>6.3-(AQ25)</f>
        <v>6.7</v>
      </c>
      <c r="AS25" s="199">
        <f>30.6-(AQ25+AR25)</f>
        <v>24.3</v>
      </c>
      <c r="AT25" s="199">
        <f>(-11.5+66)-(AQ25+AR25+AS25)</f>
        <v>23.9</v>
      </c>
      <c r="AU25" s="51">
        <f t="shared" si="2"/>
        <v>54.5</v>
      </c>
      <c r="AV25" s="181"/>
      <c r="AW25" s="281">
        <v>-31.5</v>
      </c>
      <c r="AX25" s="199">
        <f>-11-(AW25)</f>
        <v>20.5</v>
      </c>
      <c r="AY25" s="199">
        <f>-0.2-(AW25+AX25)</f>
        <v>10.8</v>
      </c>
      <c r="AZ25" s="199">
        <f>(-7.8+29.8)-(AW25+AX25+AY25)</f>
        <v>22.2</v>
      </c>
      <c r="BA25" s="51">
        <f t="shared" si="3"/>
        <v>22</v>
      </c>
      <c r="BB25" s="181"/>
      <c r="BC25" s="281">
        <v>-46.2</v>
      </c>
      <c r="BD25" s="199">
        <f>-34.5-(BC25)</f>
        <v>11.700000000000003</v>
      </c>
      <c r="BE25" s="199">
        <f>-7.6-10.6-13.6-(BC25+BD25)</f>
        <v>2.7000000000000028</v>
      </c>
      <c r="BF25" s="199">
        <f>-2.4-4.4-3.6-BE25-BD25-BC25</f>
        <v>21.4</v>
      </c>
      <c r="BG25" s="51">
        <f t="shared" si="4"/>
        <v>-10.399999999999999</v>
      </c>
      <c r="BH25" s="181"/>
      <c r="BI25" s="281">
        <f>-11.4-4+2.9</f>
        <v>-12.5</v>
      </c>
      <c r="BJ25" s="199">
        <f>-13.4+5-12.9-BI25</f>
        <v>-8.8000000000000007</v>
      </c>
      <c r="BK25" s="199">
        <f>-21.1-3.7+5.2</f>
        <v>-19.600000000000001</v>
      </c>
      <c r="BL25" s="199">
        <f>-32.6+3.3+36.3</f>
        <v>6.9999999999999964</v>
      </c>
      <c r="BM25" s="51">
        <f>SUM(BI25:BL25)</f>
        <v>-33.900000000000006</v>
      </c>
      <c r="BN25" s="181"/>
      <c r="BO25" s="281">
        <f>-13.4+2+5</f>
        <v>-6.4</v>
      </c>
      <c r="BP25" s="199">
        <f>8.8+1.9-22.3-BO25</f>
        <v>-5.1999999999999993</v>
      </c>
      <c r="BQ25" s="199">
        <f>-14.8+2.2-19.1-SUM(BO25:BP25)</f>
        <v>-20.100000000000001</v>
      </c>
      <c r="BR25" s="50">
        <f>5.6-8.7+12.9-SUM(BO25:BQ25)</f>
        <v>41.5</v>
      </c>
      <c r="BS25" s="53">
        <f>SUM(BO25:BR25)</f>
        <v>9.7999999999999972</v>
      </c>
      <c r="BT25" s="105"/>
      <c r="BU25" s="1836">
        <f>-6.9-3.1-11.2</f>
        <v>-21.2</v>
      </c>
      <c r="BV25" s="1838">
        <f>-16.7-1.1-16.4-BU25</f>
        <v>-13.000000000000004</v>
      </c>
      <c r="BW25" s="1837">
        <f>-4.5-1.2-19.1-SUM(BU25:BV25)</f>
        <v>9.4000000000000021</v>
      </c>
      <c r="BX25" s="52">
        <f>+BY25-SUM(BU25:BW25)</f>
        <v>17.500000000000004</v>
      </c>
      <c r="BY25" s="2035">
        <f>-33.8+22.7+3.8</f>
        <v>-7.299999999999998</v>
      </c>
      <c r="BZ25" s="105"/>
      <c r="CA25" s="1836">
        <f>-13.7+9.2-3.3</f>
        <v>-7.8</v>
      </c>
      <c r="CB25" s="1837">
        <f>-31.4+5.4-4.4-CA25</f>
        <v>-22.599999999999998</v>
      </c>
      <c r="CC25" s="1837">
        <f>-19.8+3+7.1-SUM(CA25:CB25)</f>
        <v>20.699999999999996</v>
      </c>
      <c r="CD25" s="52">
        <f>+CE25-SUM(CA25:CC25)</f>
        <v>-0.59999999999999787</v>
      </c>
      <c r="CE25" s="2035">
        <f>11.6-26.8+4.9</f>
        <v>-10.3</v>
      </c>
      <c r="CF25" s="105"/>
      <c r="CG25" s="1836">
        <f>-6.4+0.9+5.5</f>
        <v>0</v>
      </c>
      <c r="CH25" s="1837">
        <f>-7.6+3.3+2.7-CG25</f>
        <v>-1.5999999999999996</v>
      </c>
      <c r="CI25" s="1837">
        <f>-6.3-0.2+5.4-SUM(CG25:CH25)</f>
        <v>0.5</v>
      </c>
      <c r="CJ25" s="1837">
        <f>5.2+4+6.4-SUM(CG25:CI25)</f>
        <v>16.7</v>
      </c>
      <c r="CK25" s="53">
        <f>SUM(CG25:CJ25)</f>
        <v>15.6</v>
      </c>
      <c r="CL25" s="105"/>
      <c r="CM25" s="284">
        <f>BS!CK14-BS!CM14+BS!CM26-BS!CK26</f>
        <v>-37.367123267588454</v>
      </c>
      <c r="CN25" s="105">
        <f>BS!CM14-BS!CN14+BS!CN26-BS!CM26</f>
        <v>-32.6957032709754</v>
      </c>
      <c r="CO25" s="105">
        <f>BS!CN14-BS!CO14+BS!CO26-BS!CN26</f>
        <v>16.52485642636384</v>
      </c>
      <c r="CP25" s="105">
        <f>BS!CO14-BS!CP14+BS!CP26-BS!CO26</f>
        <v>37.458062453531511</v>
      </c>
      <c r="CQ25" s="53">
        <f>SUM(CM25:CP25)</f>
        <v>-16.079907658668503</v>
      </c>
      <c r="CR25" s="105"/>
      <c r="CS25" s="284">
        <f>BS!CQ14-BS!CS14+BS!CS26-BS!CQ26</f>
        <v>-35.564292551047515</v>
      </c>
      <c r="CT25" s="105">
        <f>BS!CS14-BS!CT14+BS!CT26-BS!CS26</f>
        <v>-31.595917667398169</v>
      </c>
      <c r="CU25" s="105">
        <f>BS!CT14-BS!CU14+BS!CU26-BS!CT26</f>
        <v>13.714392806696196</v>
      </c>
      <c r="CV25" s="105">
        <f>BS!CU14-BS!CV14+BS!CV26-BS!CU26</f>
        <v>39.369813360441981</v>
      </c>
      <c r="CW25" s="53">
        <f>SUM(CS25:CV25)</f>
        <v>-14.076004051307507</v>
      </c>
      <c r="CX25" s="105"/>
      <c r="CY25" s="284">
        <f>BS!CW14-BS!CY14+BS!CY26-BS!CW26</f>
        <v>-34.981884306676932</v>
      </c>
      <c r="CZ25" s="105">
        <f>BS!CY14-BS!CZ14+BS!CZ26-BS!CY26</f>
        <v>-35.01245699565527</v>
      </c>
      <c r="DA25" s="105">
        <f>BS!CZ14-BS!DA14+BS!DA26-BS!CZ26</f>
        <v>16.479679178034132</v>
      </c>
      <c r="DB25" s="105">
        <f>BS!DA14-BS!DB14+BS!DB26-BS!DA26</f>
        <v>33.061771032654008</v>
      </c>
      <c r="DC25" s="53">
        <f>SUM(CY25:DB25)</f>
        <v>-20.452891091644062</v>
      </c>
      <c r="DD25" s="105"/>
      <c r="DE25" s="284">
        <f>BS!DC14-BS!DE14+BS!DE26-BS!DC26</f>
        <v>-30.203575937366736</v>
      </c>
      <c r="DF25" s="105">
        <f>BS!DE14-BS!DF14+BS!DF26-BS!DE26</f>
        <v>-34.606365237259638</v>
      </c>
      <c r="DG25" s="105">
        <f>BS!DF14-BS!DG14+BS!DG26-BS!DF26</f>
        <v>14.376623466856472</v>
      </c>
      <c r="DH25" s="105">
        <f>BS!DG14-BS!DH14+BS!DH26-BS!DG26</f>
        <v>30.349900990651179</v>
      </c>
      <c r="DI25" s="53">
        <f>SUM(DE25:DH25)</f>
        <v>-20.083416717118723</v>
      </c>
      <c r="DP25" s="225"/>
    </row>
    <row r="26" spans="1:121" ht="11.25" customHeight="1" collapsed="1">
      <c r="A26" s="1012" t="s">
        <v>176</v>
      </c>
      <c r="B26" s="982"/>
      <c r="C26" s="1013">
        <f>SUM(C10,C12,C15:C20)</f>
        <v>-6.4439999999999991</v>
      </c>
      <c r="D26" s="982"/>
      <c r="E26" s="1013">
        <f>SUM(E10,E12,E15:E20)</f>
        <v>5.7649999999999988</v>
      </c>
      <c r="F26" s="982"/>
      <c r="G26" s="1013">
        <f>SUM(G10,G12,G15:G20)</f>
        <v>-0.20199999999999907</v>
      </c>
      <c r="H26" s="982"/>
      <c r="I26" s="1013">
        <f>SUM(I10,I12,I15:I20)</f>
        <v>-11.475000000000001</v>
      </c>
      <c r="J26" s="982"/>
      <c r="K26" s="1013">
        <f>SUM(K10,K12,K15:K20)</f>
        <v>-10.728000000000003</v>
      </c>
      <c r="L26" s="982"/>
      <c r="M26" s="1013">
        <f>SUM(M10,M12,M15:M20)</f>
        <v>-6.1119999999999965</v>
      </c>
      <c r="N26" s="982"/>
      <c r="O26" s="1013">
        <f>SUM(O10,O12,O15:O20)</f>
        <v>-0.88900000000000023</v>
      </c>
      <c r="P26" s="982"/>
      <c r="Q26" s="1013">
        <f>SUM(Q10,Q12,Q15:Q20)</f>
        <v>49.721999999999994</v>
      </c>
      <c r="R26" s="982"/>
      <c r="S26" s="984">
        <f>SUM(S10,S12,S15:S20)</f>
        <v>4.3219999999999992</v>
      </c>
      <c r="T26" s="982">
        <f>SUM(T10,T12,T15:T20)</f>
        <v>0.11699999999999999</v>
      </c>
      <c r="U26" s="982">
        <f>SUM(U10,U12,U15:U20)</f>
        <v>13.395999999999997</v>
      </c>
      <c r="V26" s="982">
        <f>SUM(V10,V12,V15:V20)</f>
        <v>19.857999999999997</v>
      </c>
      <c r="W26" s="981">
        <f>SUM(W10,W12,W15:W20)</f>
        <v>37.692999999999998</v>
      </c>
      <c r="X26" s="982"/>
      <c r="Y26" s="984">
        <f>SUM(Y10,Y12,Y15:Y20)</f>
        <v>21.522999999999996</v>
      </c>
      <c r="Z26" s="982">
        <f>SUM(Z10,Z12,Z15:Z20)</f>
        <v>-4.8900000000000006</v>
      </c>
      <c r="AA26" s="982">
        <f>SUM(AA10,AA12,AA15:AA20)</f>
        <v>16.247999999999998</v>
      </c>
      <c r="AB26" s="982">
        <f>SUM(AB10,AB12,AB15:AB20)</f>
        <v>74.718999999999994</v>
      </c>
      <c r="AC26" s="981">
        <f>SUM(AC10,AC12,AC15:AC20)</f>
        <v>107.60000000000001</v>
      </c>
      <c r="AD26" s="982"/>
      <c r="AE26" s="983">
        <f>SUM(AE10,AE12,AE15:AE20)</f>
        <v>22.300000000000004</v>
      </c>
      <c r="AF26" s="977">
        <f>SUM(AF10,AF12,AF15:AF20)</f>
        <v>-4.1999999999999957</v>
      </c>
      <c r="AG26" s="977">
        <f>SUM(AG10,AG12,AG15:AG20)</f>
        <v>0.79999999999999716</v>
      </c>
      <c r="AH26" s="977">
        <f>SUM(AH10,AH12,AH15:AH20)</f>
        <v>88</v>
      </c>
      <c r="AI26" s="978">
        <f>SUM(AI10,AI12,AI15:AI20)</f>
        <v>106.9</v>
      </c>
      <c r="AJ26" s="977"/>
      <c r="AK26" s="983">
        <f>SUM(AK10,AK12,AK15:AK20)</f>
        <v>13.100000000000003</v>
      </c>
      <c r="AL26" s="977">
        <f>SUM(AL10,AL12,AL15:AL20)</f>
        <v>38.199999999999996</v>
      </c>
      <c r="AM26" s="977">
        <f>SUM(AM10,AM12,AM15:AM20)</f>
        <v>15.999999999999995</v>
      </c>
      <c r="AN26" s="977">
        <f>SUM(AN10,AN12,AN15:AN20)</f>
        <v>82.500000000000014</v>
      </c>
      <c r="AO26" s="978">
        <f>SUM(AO10,AO12,AO15:AO20)</f>
        <v>149.80000000000001</v>
      </c>
      <c r="AP26" s="977"/>
      <c r="AQ26" s="983">
        <f>SUM(AQ10,AQ12,AQ15:AQ20)</f>
        <v>5.4999999999999964</v>
      </c>
      <c r="AR26" s="977">
        <f>SUM(AR10,AR12,AR15:AR20)</f>
        <v>47.600000000000009</v>
      </c>
      <c r="AS26" s="977">
        <f>SUM(AS10,AS12,AS15:AS20)</f>
        <v>9.6000000000000085</v>
      </c>
      <c r="AT26" s="977">
        <f>SUM(AT10,AT12,AT15:AT20)</f>
        <v>93.399999999999991</v>
      </c>
      <c r="AU26" s="978">
        <f>SUM(AU10,AU12,AU15:AU20)</f>
        <v>156.10000000000002</v>
      </c>
      <c r="AV26" s="977"/>
      <c r="AW26" s="983">
        <f>SUM(AW10,AW12,AW15:AW20)</f>
        <v>-29.400000000000009</v>
      </c>
      <c r="AX26" s="977">
        <f>SUM(AX10,AX12,AX15:AX20)</f>
        <v>3.7999999999999972</v>
      </c>
      <c r="AY26" s="977">
        <f>SUM(AY10,AY12,AY15:AY20)</f>
        <v>21.200000000000014</v>
      </c>
      <c r="AZ26" s="977">
        <f>SUM(AZ10,AZ12,AZ15:AZ20)</f>
        <v>92.1</v>
      </c>
      <c r="BA26" s="978">
        <f>SUM(BA10,BA12,BA15:BA20)</f>
        <v>87.699999999999974</v>
      </c>
      <c r="BB26" s="977"/>
      <c r="BC26" s="983">
        <f>SUM(BC10,BC12,BC15:BC20)</f>
        <v>4.7999999999999901</v>
      </c>
      <c r="BD26" s="977">
        <f>SUM(BD10,BD12,BD15:BD20)</f>
        <v>37.100000000000009</v>
      </c>
      <c r="BE26" s="977">
        <f>SUM(BE10,BE12,BE15:BE20)</f>
        <v>0.30000000000000426</v>
      </c>
      <c r="BF26" s="977">
        <f>SUM(BF10,BF12,BF15:BF20)</f>
        <v>90.899999999999991</v>
      </c>
      <c r="BG26" s="978">
        <f>SUM(BG10,BG12,BG15:BG20)</f>
        <v>133.10000000000002</v>
      </c>
      <c r="BH26" s="977"/>
      <c r="BI26" s="983">
        <f>SUM(BI10,BI12,BI15:BI20)</f>
        <v>-18.2</v>
      </c>
      <c r="BJ26" s="977">
        <f>SUM(BJ10,BJ12,BJ15:BJ20)</f>
        <v>-6.6999999999999886</v>
      </c>
      <c r="BK26" s="977">
        <f>SUM(BK10,BK12,BK15:BK20)</f>
        <v>38.499999999999993</v>
      </c>
      <c r="BL26" s="977">
        <f>SUM(BL10,BL12,BL15:BL20)</f>
        <v>131.4</v>
      </c>
      <c r="BM26" s="978">
        <f>SUM(BM10,BM12,BM15:BM20)</f>
        <v>145</v>
      </c>
      <c r="BN26" s="977"/>
      <c r="BO26" s="983">
        <f>SUM(BO10,BO12,BO15:BO20)</f>
        <v>18.499999999999996</v>
      </c>
      <c r="BP26" s="977">
        <f>SUM(BP10,BP12,BP15:BP20)</f>
        <v>13.000000000000011</v>
      </c>
      <c r="BQ26" s="977">
        <f>SUM(BQ10,BQ12,BQ15:BQ20)</f>
        <v>13.5</v>
      </c>
      <c r="BR26" s="982">
        <f>SUM(BR10,BR12,BR15:BR20)</f>
        <v>69.3</v>
      </c>
      <c r="BS26" s="981">
        <f>SUM(BS10,BS12,BS15:BS20)</f>
        <v>114.30000000000001</v>
      </c>
      <c r="BT26" s="982"/>
      <c r="BU26" s="984">
        <f>SUM(BU10,BU12,BU15:BU20)</f>
        <v>27</v>
      </c>
      <c r="BV26" s="977">
        <f>SUM(BV10,BV12,BV15:BV20)</f>
        <v>-1.5</v>
      </c>
      <c r="BW26" s="977">
        <f>SUM(BW10,BW12,BW15:BW20)</f>
        <v>54.099999999999994</v>
      </c>
      <c r="BX26" s="982">
        <f>SUM(BX10,BX12,BX15:BX20)</f>
        <v>149.60000000000002</v>
      </c>
      <c r="BY26" s="981">
        <f>SUM(BY10,BY12,BY15:BY20)</f>
        <v>229.2</v>
      </c>
      <c r="BZ26" s="982"/>
      <c r="CA26" s="984">
        <f>SUM(CA10,CA12,CA15:CA20)</f>
        <v>-14</v>
      </c>
      <c r="CB26" s="977">
        <f>SUM(CB10,CB12,CB15:CB20)</f>
        <v>18.099999999999994</v>
      </c>
      <c r="CC26" s="977">
        <f>SUM(CC10,CC12,CC15:CC20)</f>
        <v>35.899999999999991</v>
      </c>
      <c r="CD26" s="982">
        <f>SUM(CD10,CD12,CD15:CD20)</f>
        <v>90.800000000000011</v>
      </c>
      <c r="CE26" s="981">
        <f>SUM(CE10,CE12,CE15:CE20)</f>
        <v>130.80000000000001</v>
      </c>
      <c r="CF26" s="982"/>
      <c r="CG26" s="984">
        <f>SUM(CG10,CG12,CG15:CG20)</f>
        <v>32.599999999999994</v>
      </c>
      <c r="CH26" s="977">
        <f>SUM(CH10,CH12,CH15:CH20)</f>
        <v>-17.200000000000003</v>
      </c>
      <c r="CI26" s="977">
        <f>SUM(CI10,CI12,CI15:CI20)</f>
        <v>35.299999999999997</v>
      </c>
      <c r="CJ26" s="982">
        <f>SUM(CJ10,CJ12,CJ15:CJ20)</f>
        <v>103.7</v>
      </c>
      <c r="CK26" s="981">
        <f>SUM(CK10,CK12,CK15:CK20)</f>
        <v>154.39999999999998</v>
      </c>
      <c r="CL26" s="982"/>
      <c r="CM26" s="984">
        <f>SUM(CM10,CM12,CM15:CM20)</f>
        <v>39.335308794911661</v>
      </c>
      <c r="CN26" s="982">
        <f>SUM(CN10,CN12,CN15:CN20)</f>
        <v>-14.128456200073011</v>
      </c>
      <c r="CO26" s="982">
        <f>SUM(CO10,CO12,CO15:CO20)</f>
        <v>66.299258712598274</v>
      </c>
      <c r="CP26" s="982">
        <f>SUM(CP10,CP12,CP15:CP20)</f>
        <v>87.189065761644045</v>
      </c>
      <c r="CQ26" s="981">
        <f>SUM(CQ10,CQ12,CQ15:CQ20)</f>
        <v>178.6951770690809</v>
      </c>
      <c r="CR26" s="982"/>
      <c r="CS26" s="984">
        <f>SUM(CS10,CS12,CS15:CS20)</f>
        <v>146.4634044233153</v>
      </c>
      <c r="CT26" s="982">
        <f>SUM(CT10,CT12,CT15:CT20)</f>
        <v>-5.5513548317320414</v>
      </c>
      <c r="CU26" s="982">
        <f>SUM(CU10,CU12,CU15:CU20)</f>
        <v>39.228517587550286</v>
      </c>
      <c r="CV26" s="982">
        <f>SUM(CV10,CV12,CV15:CV20)</f>
        <v>18.272555531106605</v>
      </c>
      <c r="CW26" s="981">
        <f>SUM(CW10,CW12,CW15:CW20)</f>
        <v>198.41312271024015</v>
      </c>
      <c r="CX26" s="982"/>
      <c r="CY26" s="984">
        <f>SUM(CY10,CY12,CY15:CY20)</f>
        <v>170.12222044725223</v>
      </c>
      <c r="CZ26" s="982">
        <f>SUM(CZ10,CZ12,CZ15:CZ20)</f>
        <v>11.813494191696805</v>
      </c>
      <c r="DA26" s="982">
        <f>SUM(DA10,DA12,DA15:DA20)</f>
        <v>37.860721924825526</v>
      </c>
      <c r="DB26" s="982">
        <f>SUM(DB10,DB12,DB15:DB20)</f>
        <v>21.465693184590066</v>
      </c>
      <c r="DC26" s="981">
        <f>SUM(DC10,DC12,DC15:DC20)</f>
        <v>241.26212974836471</v>
      </c>
      <c r="DD26" s="982"/>
      <c r="DE26" s="984">
        <f>SUM(DE10,DE12,DE15:DE20)</f>
        <v>220.11952469706739</v>
      </c>
      <c r="DF26" s="982">
        <f>SUM(DF10,DF12,DF15:DF20)</f>
        <v>-0.21251240304178509</v>
      </c>
      <c r="DG26" s="982">
        <f>SUM(DG10,DG12,DG15:DG20)</f>
        <v>44.337653111518094</v>
      </c>
      <c r="DH26" s="982">
        <f>SUM(DH10,DH12,DH15:DH20)</f>
        <v>0.89735572324727286</v>
      </c>
      <c r="DI26" s="981">
        <f>SUM(DI10,DI12,DI15:DI20)</f>
        <v>265.14202112879093</v>
      </c>
      <c r="DP26" s="235"/>
    </row>
    <row r="27" spans="1:121" ht="11.25" customHeight="1">
      <c r="A27" s="126"/>
      <c r="B27" s="221"/>
      <c r="C27" s="305"/>
      <c r="D27" s="54"/>
      <c r="E27" s="305"/>
      <c r="F27" s="54"/>
      <c r="G27" s="305"/>
      <c r="H27" s="54"/>
      <c r="I27" s="305"/>
      <c r="J27" s="54"/>
      <c r="K27" s="305"/>
      <c r="L27" s="54"/>
      <c r="M27" s="305"/>
      <c r="N27" s="54"/>
      <c r="O27" s="305"/>
      <c r="P27" s="54"/>
      <c r="Q27" s="305"/>
      <c r="R27" s="54"/>
      <c r="S27" s="284"/>
      <c r="T27" s="54"/>
      <c r="U27" s="54"/>
      <c r="V27" s="54"/>
      <c r="W27" s="53"/>
      <c r="X27" s="54"/>
      <c r="Y27" s="284"/>
      <c r="Z27" s="54"/>
      <c r="AA27" s="54"/>
      <c r="AB27" s="54"/>
      <c r="AC27" s="53"/>
      <c r="AD27" s="54"/>
      <c r="AE27" s="288"/>
      <c r="AF27" s="52"/>
      <c r="AG27" s="52"/>
      <c r="AH27" s="52"/>
      <c r="AI27" s="51"/>
      <c r="AJ27" s="52"/>
      <c r="AK27" s="288"/>
      <c r="AL27" s="52"/>
      <c r="AM27" s="52"/>
      <c r="AN27" s="52"/>
      <c r="AO27" s="51"/>
      <c r="AP27" s="52"/>
      <c r="AQ27" s="288"/>
      <c r="AR27" s="52"/>
      <c r="AS27" s="52"/>
      <c r="AT27" s="52"/>
      <c r="AU27" s="51"/>
      <c r="AV27" s="52"/>
      <c r="AW27" s="288"/>
      <c r="AX27" s="52"/>
      <c r="AY27" s="52"/>
      <c r="AZ27" s="52"/>
      <c r="BA27" s="51"/>
      <c r="BB27" s="52"/>
      <c r="BC27" s="288"/>
      <c r="BD27" s="52"/>
      <c r="BE27" s="52"/>
      <c r="BF27" s="52"/>
      <c r="BG27" s="51"/>
      <c r="BH27" s="2358"/>
      <c r="BI27" s="288"/>
      <c r="BJ27" s="52"/>
      <c r="BK27" s="52"/>
      <c r="BL27" s="52"/>
      <c r="BM27" s="2358"/>
      <c r="BN27" s="2358"/>
      <c r="BO27" s="288"/>
      <c r="BP27" s="52"/>
      <c r="BQ27" s="52"/>
      <c r="BR27" s="54"/>
      <c r="BS27" s="2358"/>
      <c r="BT27" s="54"/>
      <c r="BU27" s="284"/>
      <c r="BV27" s="52"/>
      <c r="BW27" s="52"/>
      <c r="BX27" s="54"/>
      <c r="BY27" s="2358"/>
      <c r="BZ27" s="54"/>
      <c r="CA27" s="284"/>
      <c r="CB27" s="52"/>
      <c r="CC27" s="52"/>
      <c r="CD27" s="54"/>
      <c r="CE27" s="2358"/>
      <c r="CF27" s="54"/>
      <c r="CG27" s="284"/>
      <c r="CH27" s="52"/>
      <c r="CI27" s="52"/>
      <c r="CJ27" s="54"/>
      <c r="CK27" s="2358"/>
      <c r="CL27" s="54"/>
      <c r="CM27" s="284"/>
      <c r="CN27" s="54"/>
      <c r="CO27" s="54"/>
      <c r="CP27" s="54"/>
      <c r="CQ27" s="2358"/>
      <c r="CR27" s="54"/>
      <c r="CS27" s="284"/>
      <c r="CT27" s="54"/>
      <c r="CU27" s="54"/>
      <c r="CV27" s="54"/>
      <c r="CW27" s="2358"/>
      <c r="CX27" s="54"/>
      <c r="CY27" s="284"/>
      <c r="CZ27" s="54"/>
      <c r="DA27" s="54"/>
      <c r="DB27" s="54"/>
      <c r="DC27" s="2358"/>
      <c r="DD27" s="54"/>
      <c r="DE27" s="284"/>
      <c r="DF27" s="54"/>
      <c r="DG27" s="54"/>
      <c r="DH27" s="54"/>
      <c r="DI27" s="2358"/>
      <c r="DP27" s="70"/>
    </row>
    <row r="28" spans="1:121" ht="11.25" customHeight="1">
      <c r="A28" s="236" t="s">
        <v>177</v>
      </c>
      <c r="B28" s="221"/>
      <c r="C28" s="305"/>
      <c r="D28" s="54"/>
      <c r="E28" s="305"/>
      <c r="F28" s="54"/>
      <c r="G28" s="305"/>
      <c r="H28" s="54"/>
      <c r="I28" s="305"/>
      <c r="J28" s="54"/>
      <c r="K28" s="305"/>
      <c r="L28" s="54"/>
      <c r="M28" s="305"/>
      <c r="N28" s="54"/>
      <c r="O28" s="305"/>
      <c r="P28" s="54"/>
      <c r="Q28" s="305"/>
      <c r="R28" s="54"/>
      <c r="S28" s="284"/>
      <c r="T28" s="54"/>
      <c r="U28" s="54"/>
      <c r="V28" s="54"/>
      <c r="W28" s="303"/>
      <c r="X28" s="54"/>
      <c r="Y28" s="284"/>
      <c r="Z28" s="54"/>
      <c r="AA28" s="54"/>
      <c r="AB28" s="54"/>
      <c r="AC28" s="303"/>
      <c r="AD28" s="54"/>
      <c r="AE28" s="288"/>
      <c r="AF28" s="52"/>
      <c r="AG28" s="52"/>
      <c r="AH28" s="52"/>
      <c r="AI28" s="1253"/>
      <c r="AJ28" s="52"/>
      <c r="AK28" s="288"/>
      <c r="AL28" s="52"/>
      <c r="AM28" s="52"/>
      <c r="AN28" s="52"/>
      <c r="AO28" s="1253"/>
      <c r="AP28" s="52"/>
      <c r="AQ28" s="288"/>
      <c r="AR28" s="52"/>
      <c r="AS28" s="52"/>
      <c r="AT28" s="52"/>
      <c r="AU28" s="1253"/>
      <c r="AV28" s="52"/>
      <c r="AW28" s="288"/>
      <c r="AX28" s="52"/>
      <c r="AY28" s="52"/>
      <c r="AZ28" s="52"/>
      <c r="BA28" s="1253"/>
      <c r="BB28" s="52"/>
      <c r="BC28" s="288"/>
      <c r="BD28" s="52"/>
      <c r="BE28" s="52"/>
      <c r="BF28" s="52"/>
      <c r="BG28" s="1253"/>
      <c r="BH28" s="52"/>
      <c r="BI28" s="288"/>
      <c r="BJ28" s="52"/>
      <c r="BK28" s="52"/>
      <c r="BL28" s="52"/>
      <c r="BM28" s="1253"/>
      <c r="BN28" s="52"/>
      <c r="BO28" s="288"/>
      <c r="BP28" s="52"/>
      <c r="BQ28" s="52"/>
      <c r="BR28" s="54"/>
      <c r="BS28" s="303"/>
      <c r="BT28" s="54"/>
      <c r="BU28" s="284"/>
      <c r="BV28" s="52"/>
      <c r="BW28" s="52"/>
      <c r="BX28" s="54"/>
      <c r="BY28" s="303"/>
      <c r="BZ28" s="54"/>
      <c r="CA28" s="284"/>
      <c r="CB28" s="52"/>
      <c r="CC28" s="52"/>
      <c r="CD28" s="54"/>
      <c r="CE28" s="303"/>
      <c r="CF28" s="54"/>
      <c r="CG28" s="284"/>
      <c r="CH28" s="52"/>
      <c r="CI28" s="52"/>
      <c r="CJ28" s="54"/>
      <c r="CK28" s="303"/>
      <c r="CL28" s="54"/>
      <c r="CM28" s="284"/>
      <c r="CN28" s="54"/>
      <c r="CO28" s="54"/>
      <c r="CP28" s="54"/>
      <c r="CQ28" s="303"/>
      <c r="CR28" s="54"/>
      <c r="CS28" s="284"/>
      <c r="CT28" s="54"/>
      <c r="CU28" s="54"/>
      <c r="CV28" s="54"/>
      <c r="CW28" s="303"/>
      <c r="CX28" s="54"/>
      <c r="CY28" s="284"/>
      <c r="CZ28" s="54"/>
      <c r="DA28" s="54"/>
      <c r="DB28" s="54"/>
      <c r="DC28" s="303"/>
      <c r="DD28" s="54"/>
      <c r="DE28" s="284"/>
      <c r="DF28" s="54"/>
      <c r="DG28" s="54"/>
      <c r="DH28" s="54"/>
      <c r="DI28" s="303"/>
      <c r="DP28" s="70"/>
    </row>
    <row r="29" spans="1:121" ht="11.25" hidden="1" customHeight="1" outlineLevel="1">
      <c r="A29" s="223" t="s">
        <v>220</v>
      </c>
      <c r="B29" s="54"/>
      <c r="C29" s="344">
        <v>0</v>
      </c>
      <c r="D29" s="47"/>
      <c r="E29" s="344">
        <v>-0.2</v>
      </c>
      <c r="F29" s="47"/>
      <c r="G29" s="344">
        <v>2.1999999999999999E-2</v>
      </c>
      <c r="H29" s="47"/>
      <c r="I29" s="344">
        <v>0</v>
      </c>
      <c r="J29" s="47"/>
      <c r="K29" s="344">
        <v>-0.86699999999999999</v>
      </c>
      <c r="L29" s="47"/>
      <c r="M29" s="344">
        <v>-5.4989999999999997</v>
      </c>
      <c r="N29" s="47"/>
      <c r="O29" s="344">
        <v>0</v>
      </c>
      <c r="P29" s="47"/>
      <c r="Q29" s="344">
        <v>-5.6050000000000004</v>
      </c>
      <c r="R29" s="47"/>
      <c r="S29" s="345">
        <v>-2.7010000000000001</v>
      </c>
      <c r="T29" s="220">
        <f>-3.97-S29</f>
        <v>-1.2690000000000001</v>
      </c>
      <c r="U29" s="220">
        <f>-27.642-S29-T29</f>
        <v>-23.671999999999997</v>
      </c>
      <c r="V29" s="220">
        <f>-26.449-S29-T29-U29</f>
        <v>1.1929999999999978</v>
      </c>
      <c r="W29" s="55">
        <f>SUM(S29:V29)</f>
        <v>-26.448999999999998</v>
      </c>
      <c r="X29" s="47"/>
      <c r="Y29" s="345">
        <v>-1.9159999999999999</v>
      </c>
      <c r="Z29" s="220">
        <f>-2.468-(Y29)</f>
        <v>-0.55200000000000005</v>
      </c>
      <c r="AA29" s="220">
        <f>-2.855-(Y29+Z29)</f>
        <v>-0.38700000000000001</v>
      </c>
      <c r="AB29" s="220">
        <f>-3.5-Y29-Z29-AA29</f>
        <v>-0.64500000000000002</v>
      </c>
      <c r="AC29" s="55">
        <f>SUM(Y29:AB29)</f>
        <v>-3.5</v>
      </c>
      <c r="AD29" s="47"/>
      <c r="AE29" s="280">
        <v>-2.2000000000000002</v>
      </c>
      <c r="AF29" s="1096">
        <f>-2.1-(AE29)</f>
        <v>0.10000000000000009</v>
      </c>
      <c r="AG29" s="1096">
        <f>-4.1-(AE29+AF29)</f>
        <v>-1.9999999999999996</v>
      </c>
      <c r="AH29" s="1096">
        <f>(-4.6-6.8)-(AE29+AF29+AG29)</f>
        <v>-7.2999999999999989</v>
      </c>
      <c r="AI29" s="45">
        <f>SUM(AE29:AH29)</f>
        <v>-11.399999999999999</v>
      </c>
      <c r="AJ29" s="46"/>
      <c r="AK29" s="280">
        <v>-0.7</v>
      </c>
      <c r="AL29" s="1096">
        <f>-1.1-(AK29)</f>
        <v>-0.40000000000000013</v>
      </c>
      <c r="AM29" s="1096">
        <f>-1.6-(AK29+AL29)</f>
        <v>-0.5</v>
      </c>
      <c r="AN29" s="1096">
        <f>-1.9-(AK29+AL29+AM29)</f>
        <v>-0.29999999999999982</v>
      </c>
      <c r="AO29" s="45">
        <f>SUM(AK29:AN29)</f>
        <v>-1.9</v>
      </c>
      <c r="AP29" s="46"/>
      <c r="AQ29" s="280">
        <v>0</v>
      </c>
      <c r="AR29" s="1096">
        <f>-37.8-(AQ29)</f>
        <v>-37.799999999999997</v>
      </c>
      <c r="AS29" s="1096">
        <f>-37.8-(AQ29+AR29)</f>
        <v>0</v>
      </c>
      <c r="AT29" s="1096">
        <f>-269.8-(AQ29+AR29+AS29)</f>
        <v>-232</v>
      </c>
      <c r="AU29" s="45">
        <f>SUM(AQ29:AT29)</f>
        <v>-269.8</v>
      </c>
      <c r="AV29" s="46"/>
      <c r="AW29" s="280">
        <v>-0.2</v>
      </c>
      <c r="AX29" s="1096">
        <f>-1.3-(AW29)</f>
        <v>-1.1000000000000001</v>
      </c>
      <c r="AY29" s="1096">
        <f>-1.3-(AW29+AX29)</f>
        <v>0</v>
      </c>
      <c r="AZ29" s="1096">
        <f>-14.3-(AW29+AX29+AY29)</f>
        <v>-13</v>
      </c>
      <c r="BA29" s="45">
        <f>SUM(AW29:AZ29)</f>
        <v>-14.3</v>
      </c>
      <c r="BB29" s="46"/>
      <c r="BC29" s="280">
        <v>-21.7</v>
      </c>
      <c r="BD29" s="1096">
        <f>-21.7-(BC29)</f>
        <v>0</v>
      </c>
      <c r="BE29" s="1096">
        <f>-21.7+3.3-(BC29+BD29)</f>
        <v>3.3000000000000007</v>
      </c>
      <c r="BF29" s="1096">
        <f>-27-BE29-BD29-BC29</f>
        <v>-8.6000000000000014</v>
      </c>
      <c r="BG29" s="45">
        <f>SUM(BC29:BF29)</f>
        <v>-27</v>
      </c>
      <c r="BH29" s="46"/>
      <c r="BI29" s="280">
        <v>-0.8</v>
      </c>
      <c r="BJ29" s="1096">
        <f>-2.1-BI29</f>
        <v>-1.3</v>
      </c>
      <c r="BK29" s="1096">
        <v>-9.5</v>
      </c>
      <c r="BL29" s="1096">
        <v>0</v>
      </c>
      <c r="BM29" s="45">
        <f>SUM(BI29:BL29)</f>
        <v>-11.6</v>
      </c>
      <c r="BN29" s="46"/>
      <c r="BO29" s="280">
        <v>0</v>
      </c>
      <c r="BP29" s="1096">
        <f>0-BO29</f>
        <v>0</v>
      </c>
      <c r="BQ29" s="1096">
        <f>-3.9-SUM(BO29:BP29)</f>
        <v>-3.9</v>
      </c>
      <c r="BR29" s="1096">
        <f>-3.9-SUM(BO29:BQ29)</f>
        <v>0</v>
      </c>
      <c r="BS29" s="55">
        <f>SUM(BO29:BR29)</f>
        <v>-3.9</v>
      </c>
      <c r="BT29" s="47"/>
      <c r="BU29" s="1839">
        <v>0</v>
      </c>
      <c r="BV29" s="1840">
        <f>0-BU29</f>
        <v>0</v>
      </c>
      <c r="BW29" s="1840">
        <f>0-SUM(BU29:BV29)</f>
        <v>0</v>
      </c>
      <c r="BX29" s="46">
        <f>+BY29-SUM(BU29:BW29)</f>
        <v>-28.6</v>
      </c>
      <c r="BY29" s="2036">
        <v>-28.6</v>
      </c>
      <c r="BZ29" s="47"/>
      <c r="CA29" s="1839">
        <v>0</v>
      </c>
      <c r="CB29" s="1840">
        <f>-1.2-CA29</f>
        <v>-1.2</v>
      </c>
      <c r="CC29" s="1840">
        <f>-1.2-SUM(CA29:CB29)</f>
        <v>0</v>
      </c>
      <c r="CD29" s="46">
        <f>+CE29-SUM(CA29:CC29)</f>
        <v>-23.1</v>
      </c>
      <c r="CE29" s="2036">
        <v>-24.3</v>
      </c>
      <c r="CF29" s="47"/>
      <c r="CG29" s="1839">
        <v>-39.799999999999997</v>
      </c>
      <c r="CH29" s="1840">
        <f>-58.7-CG29</f>
        <v>-18.900000000000006</v>
      </c>
      <c r="CI29" s="1840">
        <f>-65.8-SUM(CG29:CH29)</f>
        <v>-7.0999999999999943</v>
      </c>
      <c r="CJ29" s="1840">
        <f>-66.3-SUM(CG29:CI29)</f>
        <v>-0.5</v>
      </c>
      <c r="CK29" s="55">
        <f>SUM(CG29:CJ29)</f>
        <v>-66.3</v>
      </c>
      <c r="CL29" s="47"/>
      <c r="CM29" s="605">
        <v>0</v>
      </c>
      <c r="CN29" s="604">
        <v>0</v>
      </c>
      <c r="CO29" s="604">
        <v>0</v>
      </c>
      <c r="CP29" s="604">
        <v>0</v>
      </c>
      <c r="CQ29" s="55">
        <f>SUM(CM29:CP29)</f>
        <v>0</v>
      </c>
      <c r="CR29" s="47"/>
      <c r="CS29" s="605">
        <v>0</v>
      </c>
      <c r="CT29" s="604">
        <v>0</v>
      </c>
      <c r="CU29" s="604">
        <v>0</v>
      </c>
      <c r="CV29" s="604">
        <v>0</v>
      </c>
      <c r="CW29" s="55">
        <f>SUM(CS29:CV29)</f>
        <v>0</v>
      </c>
      <c r="CX29" s="47"/>
      <c r="CY29" s="605">
        <v>0</v>
      </c>
      <c r="CZ29" s="604">
        <v>0</v>
      </c>
      <c r="DA29" s="604">
        <v>0</v>
      </c>
      <c r="DB29" s="604">
        <v>0</v>
      </c>
      <c r="DC29" s="55">
        <f>SUM(CY29:DB29)</f>
        <v>0</v>
      </c>
      <c r="DD29" s="47"/>
      <c r="DE29" s="605">
        <v>0</v>
      </c>
      <c r="DF29" s="604">
        <v>0</v>
      </c>
      <c r="DG29" s="604">
        <v>0</v>
      </c>
      <c r="DH29" s="604">
        <v>0</v>
      </c>
      <c r="DI29" s="55">
        <f>SUM(DE29:DH29)</f>
        <v>0</v>
      </c>
      <c r="DP29" s="225"/>
    </row>
    <row r="30" spans="1:121" ht="11.25" customHeight="1" collapsed="1">
      <c r="A30" s="223" t="s">
        <v>221</v>
      </c>
      <c r="B30" s="54"/>
      <c r="C30" s="304">
        <v>-2.9780000000000002</v>
      </c>
      <c r="D30" s="54"/>
      <c r="E30" s="304">
        <v>-4.5629999999999997</v>
      </c>
      <c r="F30" s="54"/>
      <c r="G30" s="304">
        <v>-5.5810000000000004</v>
      </c>
      <c r="H30" s="54"/>
      <c r="I30" s="304">
        <v>-17.594999999999999</v>
      </c>
      <c r="J30" s="54"/>
      <c r="K30" s="304">
        <v>-28.765000000000001</v>
      </c>
      <c r="L30" s="54"/>
      <c r="M30" s="304">
        <v>-5.4909999999999997</v>
      </c>
      <c r="N30" s="54"/>
      <c r="O30" s="304">
        <v>-7.2640000000000002</v>
      </c>
      <c r="P30" s="54"/>
      <c r="Q30" s="304">
        <v>-4.7910000000000004</v>
      </c>
      <c r="R30" s="54"/>
      <c r="S30" s="310">
        <v>-1.3620000000000001</v>
      </c>
      <c r="T30" s="224">
        <f>-2.46-S30</f>
        <v>-1.0979999999999999</v>
      </c>
      <c r="U30" s="224">
        <f>-5.037-S30-T30</f>
        <v>-2.577</v>
      </c>
      <c r="V30" s="224">
        <f>-7.623-S30-T30-U30</f>
        <v>-2.5860000000000003</v>
      </c>
      <c r="W30" s="53">
        <f>SUM(S30:V30)</f>
        <v>-7.6230000000000002</v>
      </c>
      <c r="X30" s="54"/>
      <c r="Y30" s="310">
        <v>-4.2569999999999997</v>
      </c>
      <c r="Z30" s="224">
        <f>-13.023-(Y30)</f>
        <v>-8.766</v>
      </c>
      <c r="AA30" s="224">
        <f>-19.878-(Y30+Z30)</f>
        <v>-6.8550000000000004</v>
      </c>
      <c r="AB30" s="224">
        <f>-26.2-Y30-Z30-AA30</f>
        <v>-6.3219999999999974</v>
      </c>
      <c r="AC30" s="53">
        <f>SUM(Y30:AB30)</f>
        <v>-26.199999999999996</v>
      </c>
      <c r="AD30" s="54"/>
      <c r="AE30" s="281">
        <v>-13.4</v>
      </c>
      <c r="AF30" s="50">
        <f>-27.1-(AE30)</f>
        <v>-13.700000000000001</v>
      </c>
      <c r="AG30" s="50">
        <f>-39.8-(AE30+AF30)</f>
        <v>-12.699999999999996</v>
      </c>
      <c r="AH30" s="50">
        <f>-47.4-(AE30+AF30+AG30)</f>
        <v>-7.6000000000000014</v>
      </c>
      <c r="AI30" s="51">
        <f>SUM(AE30:AH30)</f>
        <v>-47.4</v>
      </c>
      <c r="AJ30" s="52"/>
      <c r="AK30" s="281">
        <v>-3.9</v>
      </c>
      <c r="AL30" s="50">
        <f>-7.1-(AK30)</f>
        <v>-3.1999999999999997</v>
      </c>
      <c r="AM30" s="50">
        <f>-8.9-(AK30+AL30)</f>
        <v>-1.8000000000000007</v>
      </c>
      <c r="AN30" s="50">
        <f>-16.3-(AK30+AL30+AM30)</f>
        <v>-7.4</v>
      </c>
      <c r="AO30" s="51">
        <f>SUM(AK30:AN30)</f>
        <v>-16.3</v>
      </c>
      <c r="AP30" s="52"/>
      <c r="AQ30" s="281">
        <v>-5.4</v>
      </c>
      <c r="AR30" s="50">
        <f>-10.7-(AQ30)</f>
        <v>-5.2999999999999989</v>
      </c>
      <c r="AS30" s="50">
        <f>-20.5-(AQ30+AR30)</f>
        <v>-9.8000000000000007</v>
      </c>
      <c r="AT30" s="50">
        <f>-31.9-(AQ30+AR30+AS30)</f>
        <v>-11.399999999999999</v>
      </c>
      <c r="AU30" s="51">
        <f>SUM(AQ30:AT30)</f>
        <v>-31.9</v>
      </c>
      <c r="AV30" s="52"/>
      <c r="AW30" s="281">
        <v>-9.9</v>
      </c>
      <c r="AX30" s="50">
        <f>-33.1-(AW30)</f>
        <v>-23.200000000000003</v>
      </c>
      <c r="AY30" s="50">
        <f>-38.4-(AW30+AX30)</f>
        <v>-5.2999999999999972</v>
      </c>
      <c r="AZ30" s="50">
        <f>-54.4-(AW30+AX30+AY30)</f>
        <v>-16</v>
      </c>
      <c r="BA30" s="51">
        <f>SUM(AW30:AZ30)</f>
        <v>-54.4</v>
      </c>
      <c r="BB30" s="52"/>
      <c r="BC30" s="281">
        <v>-10.8</v>
      </c>
      <c r="BD30" s="50">
        <f>-30.4-(BC30)</f>
        <v>-19.599999999999998</v>
      </c>
      <c r="BE30" s="50">
        <f>-49.8-(BC30+BD30)</f>
        <v>-19.399999999999999</v>
      </c>
      <c r="BF30" s="50">
        <f>-72.8-BE30-BD30-BC30</f>
        <v>-22.999999999999996</v>
      </c>
      <c r="BG30" s="51">
        <f>SUM(BC30:BF30)</f>
        <v>-72.8</v>
      </c>
      <c r="BH30" s="52"/>
      <c r="BI30" s="281">
        <v>-14.6</v>
      </c>
      <c r="BJ30" s="50">
        <f>-31.1-BI30</f>
        <v>-16.5</v>
      </c>
      <c r="BK30" s="50">
        <v>-10.199999999999999</v>
      </c>
      <c r="BL30" s="50">
        <v>-9</v>
      </c>
      <c r="BM30" s="51">
        <f>SUM(BI30:BL30)</f>
        <v>-50.3</v>
      </c>
      <c r="BN30" s="52"/>
      <c r="BO30" s="281">
        <v>-9.1999999999999993</v>
      </c>
      <c r="BP30" s="50">
        <f>-16.8-BO30</f>
        <v>-7.6000000000000014</v>
      </c>
      <c r="BQ30" s="50">
        <f>-26.7-SUM(BO30:BP30)</f>
        <v>-9.8999999999999986</v>
      </c>
      <c r="BR30" s="50">
        <f>-33.8-SUM(BO30:BQ30)</f>
        <v>-7.0999999999999979</v>
      </c>
      <c r="BS30" s="53">
        <f>SUM(BO30:BR30)</f>
        <v>-33.799999999999997</v>
      </c>
      <c r="BT30" s="54"/>
      <c r="BU30" s="1836">
        <v>-5.7</v>
      </c>
      <c r="BV30" s="1837">
        <f>-13.4-BU30</f>
        <v>-7.7</v>
      </c>
      <c r="BW30" s="1837">
        <f>-22.8+0.7-SUM(BU30:BV30)</f>
        <v>-8.7000000000000011</v>
      </c>
      <c r="BX30" s="52">
        <f>+BY30-SUM(BU30:BW30)</f>
        <v>-12.100000000000001</v>
      </c>
      <c r="BY30" s="2035">
        <v>-34.200000000000003</v>
      </c>
      <c r="BZ30" s="54"/>
      <c r="CA30" s="1836">
        <v>-8</v>
      </c>
      <c r="CB30" s="1837">
        <f>-17.2-CA30</f>
        <v>-9.1999999999999993</v>
      </c>
      <c r="CC30" s="1837">
        <f>-26-SUM(CA30:CB30)</f>
        <v>-8.8000000000000007</v>
      </c>
      <c r="CD30" s="52">
        <f>+CE30-SUM(CA30:CC30)</f>
        <v>-11.100000000000001</v>
      </c>
      <c r="CE30" s="2035">
        <v>-37.1</v>
      </c>
      <c r="CF30" s="54"/>
      <c r="CG30" s="1836">
        <v>-11.5</v>
      </c>
      <c r="CH30" s="1837">
        <f>-21.1-CG30</f>
        <v>-9.6000000000000014</v>
      </c>
      <c r="CI30" s="1837">
        <f>-31.3-SUM(CG30:CH30)</f>
        <v>-10.199999999999999</v>
      </c>
      <c r="CJ30" s="1837">
        <f>-43.7-SUM(CG30:CI30)</f>
        <v>-12.400000000000002</v>
      </c>
      <c r="CK30" s="53">
        <f>SUM(CG30:CJ30)</f>
        <v>-43.7</v>
      </c>
      <c r="CL30" s="54"/>
      <c r="CM30" s="284">
        <f>-BS!CM100</f>
        <v>-11.227445591274529</v>
      </c>
      <c r="CN30" s="54">
        <f>-BS!CN100</f>
        <v>-11.508534368677875</v>
      </c>
      <c r="CO30" s="54">
        <f>-BS!CO100</f>
        <v>-11.951494493349246</v>
      </c>
      <c r="CP30" s="54">
        <f>-BS!CP100</f>
        <v>-14.781374362283346</v>
      </c>
      <c r="CQ30" s="53">
        <f>SUM(CM30:CP30)</f>
        <v>-49.468848815584991</v>
      </c>
      <c r="CR30" s="54"/>
      <c r="CS30" s="284">
        <f>-BS!CS100</f>
        <v>-10.345022505337445</v>
      </c>
      <c r="CT30" s="54">
        <f>-BS!CT100</f>
        <v>-10.785699757290439</v>
      </c>
      <c r="CU30" s="54">
        <f>-BS!CU100</f>
        <v>-10.98694298825996</v>
      </c>
      <c r="CV30" s="54">
        <f>-BS!CV100</f>
        <v>-14.037302327985968</v>
      </c>
      <c r="CW30" s="53">
        <f>SUM(CS30:CV30)</f>
        <v>-46.154967578873816</v>
      </c>
      <c r="CX30" s="54"/>
      <c r="CY30" s="284">
        <f>-BS!CY100</f>
        <v>-10.623945770308628</v>
      </c>
      <c r="CZ30" s="54">
        <f>-BS!CZ100</f>
        <v>-10.893475265244161</v>
      </c>
      <c r="DA30" s="54">
        <f>-BS!DA100</f>
        <v>-11.368239973205979</v>
      </c>
      <c r="DB30" s="54">
        <f>-BS!DB100</f>
        <v>-14.304919588629494</v>
      </c>
      <c r="DC30" s="53">
        <f>SUM(CY30:DB30)</f>
        <v>-47.190580597388262</v>
      </c>
      <c r="DD30" s="54"/>
      <c r="DE30" s="284">
        <f>-BS!DE100</f>
        <v>-10.796571263461276</v>
      </c>
      <c r="DF30" s="54">
        <f>-BS!DF100</f>
        <v>-11.244534035299656</v>
      </c>
      <c r="DG30" s="54">
        <f>-BS!DG100</f>
        <v>-11.538362384182415</v>
      </c>
      <c r="DH30" s="54">
        <f>-BS!DH100</f>
        <v>-14.707764709094596</v>
      </c>
      <c r="DI30" s="53">
        <f>SUM(DE30:DH30)</f>
        <v>-48.287232392037943</v>
      </c>
      <c r="DP30" s="225"/>
      <c r="DQ30" s="1691"/>
    </row>
    <row r="31" spans="1:121" ht="11.25" hidden="1" customHeight="1" outlineLevel="1">
      <c r="A31" s="228" t="s">
        <v>222</v>
      </c>
      <c r="B31" s="54"/>
      <c r="C31" s="304">
        <v>0</v>
      </c>
      <c r="D31" s="54"/>
      <c r="E31" s="304">
        <v>0</v>
      </c>
      <c r="F31" s="54"/>
      <c r="G31" s="304">
        <v>0</v>
      </c>
      <c r="H31" s="54"/>
      <c r="I31" s="304">
        <v>0</v>
      </c>
      <c r="J31" s="54"/>
      <c r="K31" s="304">
        <v>0</v>
      </c>
      <c r="L31" s="54"/>
      <c r="M31" s="304">
        <v>0</v>
      </c>
      <c r="N31" s="54"/>
      <c r="O31" s="304">
        <v>0</v>
      </c>
      <c r="P31" s="54"/>
      <c r="Q31" s="304">
        <v>0</v>
      </c>
      <c r="R31" s="54"/>
      <c r="S31" s="310">
        <v>0</v>
      </c>
      <c r="T31" s="224">
        <v>0</v>
      </c>
      <c r="U31" s="224">
        <v>0</v>
      </c>
      <c r="V31" s="224">
        <v>0</v>
      </c>
      <c r="W31" s="53">
        <f>SUM(S31:V31)</f>
        <v>0</v>
      </c>
      <c r="X31" s="54"/>
      <c r="Y31" s="310">
        <v>0</v>
      </c>
      <c r="Z31" s="224">
        <f>0-(Y31)</f>
        <v>0</v>
      </c>
      <c r="AA31" s="224">
        <f>0-(Y31+Z31)</f>
        <v>0</v>
      </c>
      <c r="AB31" s="224">
        <v>0</v>
      </c>
      <c r="AC31" s="53">
        <f>SUM(Y31:AB31)</f>
        <v>0</v>
      </c>
      <c r="AD31" s="54"/>
      <c r="AE31" s="281">
        <v>0</v>
      </c>
      <c r="AF31" s="50">
        <f>0-(AE31)</f>
        <v>0</v>
      </c>
      <c r="AG31" s="50">
        <f>0-(AE31+AF31)</f>
        <v>0</v>
      </c>
      <c r="AH31" s="50">
        <f>0-(AE31+AF31+AG31)</f>
        <v>0</v>
      </c>
      <c r="AI31" s="51">
        <f>SUM(AE31:AH31)</f>
        <v>0</v>
      </c>
      <c r="AJ31" s="52"/>
      <c r="AK31" s="281">
        <v>0</v>
      </c>
      <c r="AL31" s="50">
        <f>0-(AK31)</f>
        <v>0</v>
      </c>
      <c r="AM31" s="50">
        <f>0-(AK31+AL31)</f>
        <v>0</v>
      </c>
      <c r="AN31" s="50">
        <f>0-(AK31+AL31+AM31)</f>
        <v>0</v>
      </c>
      <c r="AO31" s="51">
        <f>SUM(AK31:AN31)</f>
        <v>0</v>
      </c>
      <c r="AP31" s="52"/>
      <c r="AQ31" s="281">
        <v>0</v>
      </c>
      <c r="AR31" s="50">
        <f>0-(AQ31)</f>
        <v>0</v>
      </c>
      <c r="AS31" s="50">
        <f>0-(AQ31+AR31)</f>
        <v>0</v>
      </c>
      <c r="AT31" s="50">
        <f>2.7-(AQ31+AR31+AS31)</f>
        <v>2.7</v>
      </c>
      <c r="AU31" s="51">
        <f>SUM(AQ31:AT31)</f>
        <v>2.7</v>
      </c>
      <c r="AV31" s="52"/>
      <c r="AW31" s="281">
        <v>0</v>
      </c>
      <c r="AX31" s="50">
        <f>1.9-(AW31)</f>
        <v>1.9</v>
      </c>
      <c r="AY31" s="50">
        <f>0-(AW31+AX31)</f>
        <v>-1.9</v>
      </c>
      <c r="AZ31" s="50">
        <f>0-(AW31+AX31+AY31)</f>
        <v>0</v>
      </c>
      <c r="BA31" s="51">
        <f>SUM(AW31:AZ31)</f>
        <v>0</v>
      </c>
      <c r="BB31" s="52"/>
      <c r="BC31" s="281">
        <v>0</v>
      </c>
      <c r="BD31" s="50">
        <f>1.7-(BC31)</f>
        <v>1.7</v>
      </c>
      <c r="BE31" s="50">
        <f>2.5-(BC31+BD31)</f>
        <v>0.8</v>
      </c>
      <c r="BF31" s="50">
        <f>3.3+3.3-BE31-BD31-BC31</f>
        <v>4.0999999999999996</v>
      </c>
      <c r="BG31" s="51">
        <f>SUM(BC31:BF31)</f>
        <v>6.6</v>
      </c>
      <c r="BH31" s="52"/>
      <c r="BI31" s="281">
        <f>0.6+0.5</f>
        <v>1.1000000000000001</v>
      </c>
      <c r="BJ31" s="50">
        <f>0.6-BI31</f>
        <v>-0.50000000000000011</v>
      </c>
      <c r="BK31" s="50">
        <v>0.2</v>
      </c>
      <c r="BL31" s="50">
        <v>0.6</v>
      </c>
      <c r="BM31" s="51">
        <f>SUM(BI31:BL31)</f>
        <v>1.4</v>
      </c>
      <c r="BN31" s="52"/>
      <c r="BO31" s="281">
        <v>0.6</v>
      </c>
      <c r="BP31" s="50">
        <f>1.1-BO31</f>
        <v>0.50000000000000011</v>
      </c>
      <c r="BQ31" s="50">
        <f>2.9-SUM(BO31:BP31)</f>
        <v>1.7999999999999998</v>
      </c>
      <c r="BR31" s="50">
        <f>3.1-SUM(BO31:BQ31)</f>
        <v>0.20000000000000018</v>
      </c>
      <c r="BS31" s="53">
        <f>SUM(BO31:BR31)</f>
        <v>3.1</v>
      </c>
      <c r="BT31" s="54"/>
      <c r="BU31" s="1836">
        <v>0</v>
      </c>
      <c r="BV31" s="1837">
        <f>0.7-BU31</f>
        <v>0.7</v>
      </c>
      <c r="BW31" s="1837">
        <f>0-SUM(BU31:BV31)</f>
        <v>-0.7</v>
      </c>
      <c r="BX31" s="52">
        <f>+BY31-SUM(BU31:BW31)</f>
        <v>0.9</v>
      </c>
      <c r="BY31" s="2035">
        <v>0.9</v>
      </c>
      <c r="BZ31" s="54"/>
      <c r="CA31" s="1836">
        <v>0.6</v>
      </c>
      <c r="CB31" s="1837">
        <f>0.9-CA31</f>
        <v>0.30000000000000004</v>
      </c>
      <c r="CC31" s="1837">
        <f>0.9-SUM(CA31:CB31)</f>
        <v>0</v>
      </c>
      <c r="CD31" s="52">
        <f>+CE31-SUM(CA31:CC31)</f>
        <v>0.20000000000000007</v>
      </c>
      <c r="CE31" s="2035">
        <v>1.1000000000000001</v>
      </c>
      <c r="CF31" s="54"/>
      <c r="CG31" s="1836">
        <v>6.6</v>
      </c>
      <c r="CH31" s="1837">
        <f>6.9-CG31</f>
        <v>0.30000000000000071</v>
      </c>
      <c r="CI31" s="1837">
        <f>6.9-SUM(CG31:CH31)</f>
        <v>0</v>
      </c>
      <c r="CJ31" s="1837">
        <f>11.5-SUM(CG31:CI31)</f>
        <v>4.5999999999999996</v>
      </c>
      <c r="CK31" s="53">
        <f>SUM(CG31:CJ31)</f>
        <v>11.5</v>
      </c>
      <c r="CL31" s="54"/>
      <c r="CM31" s="284">
        <f>-BS!CM103-BS!CM109</f>
        <v>0</v>
      </c>
      <c r="CN31" s="54">
        <f>-BS!CN103-BS!CN109</f>
        <v>0</v>
      </c>
      <c r="CO31" s="54">
        <f>-BS!CO103-BS!CO109</f>
        <v>0</v>
      </c>
      <c r="CP31" s="54">
        <f>-BS!CP103-BS!CP109</f>
        <v>0</v>
      </c>
      <c r="CQ31" s="53">
        <f>SUM(CM31:CP31)</f>
        <v>0</v>
      </c>
      <c r="CR31" s="54"/>
      <c r="CS31" s="284">
        <f>-BS!CS103-BS!CS109</f>
        <v>0</v>
      </c>
      <c r="CT31" s="54">
        <f>-BS!CT103-BS!CT109</f>
        <v>0</v>
      </c>
      <c r="CU31" s="54">
        <f>-BS!CU103-BS!CU109</f>
        <v>0</v>
      </c>
      <c r="CV31" s="54">
        <f>-BS!CV103-BS!CV109</f>
        <v>0</v>
      </c>
      <c r="CW31" s="53">
        <f>SUM(CS31:CV31)</f>
        <v>0</v>
      </c>
      <c r="CX31" s="54"/>
      <c r="CY31" s="284">
        <f>-BS!CY103-BS!CY109</f>
        <v>0</v>
      </c>
      <c r="CZ31" s="54">
        <f>-BS!CZ103-BS!CZ109</f>
        <v>0</v>
      </c>
      <c r="DA31" s="54">
        <f>-BS!DA103-BS!DA109</f>
        <v>0</v>
      </c>
      <c r="DB31" s="54">
        <f>-BS!DB103-BS!DB109</f>
        <v>0</v>
      </c>
      <c r="DC31" s="53">
        <f>SUM(CY31:DB31)</f>
        <v>0</v>
      </c>
      <c r="DD31" s="54"/>
      <c r="DE31" s="284">
        <f>-BS!DE103-BS!DE109</f>
        <v>0</v>
      </c>
      <c r="DF31" s="54">
        <f>-BS!DF103-BS!DF109</f>
        <v>0</v>
      </c>
      <c r="DG31" s="54">
        <f>-BS!DG103-BS!DG109</f>
        <v>0</v>
      </c>
      <c r="DH31" s="54">
        <f>-BS!DH103-BS!DH109</f>
        <v>0</v>
      </c>
      <c r="DI31" s="53">
        <f>SUM(DE31:DH31)</f>
        <v>0</v>
      </c>
      <c r="DP31" s="225"/>
    </row>
    <row r="32" spans="1:121" ht="11.25" hidden="1" customHeight="1" outlineLevel="1">
      <c r="A32" s="1015" t="s">
        <v>232</v>
      </c>
      <c r="B32" s="105"/>
      <c r="C32" s="304">
        <v>0</v>
      </c>
      <c r="D32" s="105"/>
      <c r="E32" s="304">
        <v>0</v>
      </c>
      <c r="F32" s="105"/>
      <c r="G32" s="304">
        <f>-92.394+19.5-7.075</f>
        <v>-79.969000000000008</v>
      </c>
      <c r="H32" s="105"/>
      <c r="I32" s="304">
        <f>-3.235+14.438-1</f>
        <v>10.203000000000001</v>
      </c>
      <c r="J32" s="1016"/>
      <c r="K32" s="304">
        <f>-0.785+47.764</f>
        <v>46.979000000000006</v>
      </c>
      <c r="L32" s="105"/>
      <c r="M32" s="304">
        <f>-56.782+27.033+0.027</f>
        <v>-29.721999999999994</v>
      </c>
      <c r="N32" s="105"/>
      <c r="O32" s="304">
        <f>-5.392+11.588-0.446</f>
        <v>5.7499999999999991</v>
      </c>
      <c r="P32" s="105"/>
      <c r="Q32" s="304">
        <f>-1.276-0.357</f>
        <v>-1.633</v>
      </c>
      <c r="R32" s="105"/>
      <c r="S32" s="310">
        <f>17.159-0.035</f>
        <v>17.123999999999999</v>
      </c>
      <c r="T32" s="140">
        <f>46.46-0.107-S32</f>
        <v>29.229000000000003</v>
      </c>
      <c r="U32" s="140">
        <f>46.46-0.076-S32-T32</f>
        <v>3.0999999999998806E-2</v>
      </c>
      <c r="V32" s="140">
        <f>46.46-0.089-S32-T32-U32</f>
        <v>-1.2999999999998124E-2</v>
      </c>
      <c r="W32" s="53">
        <f>SUM(S32:V32)</f>
        <v>46.371000000000002</v>
      </c>
      <c r="X32" s="105"/>
      <c r="Y32" s="310">
        <f>-0.116-0.806</f>
        <v>-0.92200000000000004</v>
      </c>
      <c r="Z32" s="140">
        <f>(-0.273+0.144)-(Y32)</f>
        <v>0.79300000000000004</v>
      </c>
      <c r="AA32" s="140">
        <f>(2.473-0.323)-(Y32+Z32)</f>
        <v>2.2789999999999999</v>
      </c>
      <c r="AB32" s="140">
        <f>-0.5+3-4.8+0.9-Y32-Z32-AA32</f>
        <v>-3.55</v>
      </c>
      <c r="AC32" s="53">
        <f>SUM(Y32:AB32)</f>
        <v>-1.4</v>
      </c>
      <c r="AD32" s="105"/>
      <c r="AE32" s="281">
        <f>-0.4+0.7-5.2-10.7</f>
        <v>-15.6</v>
      </c>
      <c r="AF32" s="199">
        <f>(9.8-5.2-3.4)-(AE32)</f>
        <v>16.8</v>
      </c>
      <c r="AG32" s="199">
        <f>(9.6-6.5-0.2)-(AE32+AF32)</f>
        <v>1.6999999999999984</v>
      </c>
      <c r="AH32" s="199">
        <f>(-0.1+9.8)-(AE32+AF32+AG32)</f>
        <v>6.8000000000000016</v>
      </c>
      <c r="AI32" s="51">
        <f>SUM(AE32:AH32)</f>
        <v>9.7000000000000011</v>
      </c>
      <c r="AJ32" s="181"/>
      <c r="AK32" s="281">
        <v>0</v>
      </c>
      <c r="AL32" s="199">
        <v>0</v>
      </c>
      <c r="AM32" s="199">
        <v>0</v>
      </c>
      <c r="AN32" s="199">
        <v>0</v>
      </c>
      <c r="AO32" s="51">
        <f>SUM(AK32:AN32)</f>
        <v>0</v>
      </c>
      <c r="AP32" s="181"/>
      <c r="AQ32" s="281">
        <v>0</v>
      </c>
      <c r="AR32" s="199">
        <v>0</v>
      </c>
      <c r="AS32" s="199">
        <v>0</v>
      </c>
      <c r="AT32" s="199">
        <v>0</v>
      </c>
      <c r="AU32" s="51">
        <f>SUM(AQ32:AT32)</f>
        <v>0</v>
      </c>
      <c r="AV32" s="181"/>
      <c r="AW32" s="281">
        <v>0</v>
      </c>
      <c r="AX32" s="199">
        <v>0</v>
      </c>
      <c r="AY32" s="199">
        <v>0</v>
      </c>
      <c r="AZ32" s="199">
        <v>0</v>
      </c>
      <c r="BA32" s="51">
        <f>SUM(AW32:AZ32)</f>
        <v>0</v>
      </c>
      <c r="BB32" s="181"/>
      <c r="BC32" s="281">
        <v>0</v>
      </c>
      <c r="BD32" s="199">
        <v>0</v>
      </c>
      <c r="BE32" s="199">
        <v>0</v>
      </c>
      <c r="BF32" s="199">
        <v>0</v>
      </c>
      <c r="BG32" s="51">
        <f>SUM(BC32:BF32)</f>
        <v>0</v>
      </c>
      <c r="BH32" s="181"/>
      <c r="BI32" s="281">
        <v>0</v>
      </c>
      <c r="BJ32" s="199">
        <f>0.5-BI32</f>
        <v>0.5</v>
      </c>
      <c r="BK32" s="199">
        <v>0</v>
      </c>
      <c r="BL32" s="199">
        <v>0</v>
      </c>
      <c r="BM32" s="51">
        <f>SUM(BI32:BL32)</f>
        <v>0.5</v>
      </c>
      <c r="BN32" s="181"/>
      <c r="BO32" s="281">
        <v>0.7</v>
      </c>
      <c r="BP32" s="199">
        <f>-67.8+0.7-BO32</f>
        <v>-67.8</v>
      </c>
      <c r="BQ32" s="199">
        <f>-120.8+12.8-SUM(BO32:BP32)</f>
        <v>-40.900000000000006</v>
      </c>
      <c r="BR32" s="50">
        <f>-211.6+19+25.3-SUM(BO32:BQ32)</f>
        <v>-59.299999999999983</v>
      </c>
      <c r="BS32" s="53">
        <f>SUM(BO32:BR32)</f>
        <v>-167.29999999999998</v>
      </c>
      <c r="BT32" s="105"/>
      <c r="BU32" s="1836">
        <f>-21.5+21.5</f>
        <v>0</v>
      </c>
      <c r="BV32" s="1838">
        <f>-49.1+40.3-BU32</f>
        <v>-8.8000000000000043</v>
      </c>
      <c r="BW32" s="1838">
        <f>-78+41.3-SUM(BU32:BV32)</f>
        <v>-27.9</v>
      </c>
      <c r="BX32" s="52">
        <f>+BY32-SUM(BU32:BW32)</f>
        <v>-3.7999999999999972</v>
      </c>
      <c r="BY32" s="2035">
        <f>-159.4+118.7+0.2</f>
        <v>-40.5</v>
      </c>
      <c r="BZ32" s="105"/>
      <c r="CA32" s="1836">
        <f>-21.5+21.5</f>
        <v>0</v>
      </c>
      <c r="CB32" s="1838">
        <f>-33.1+50.1-CA32</f>
        <v>17</v>
      </c>
      <c r="CC32" s="1838">
        <f>-77.6+122.4-SUM(CA32:CB32)</f>
        <v>27.800000000000011</v>
      </c>
      <c r="CD32" s="52">
        <f>+CE32-SUM(CA32:CC32)</f>
        <v>-6.3000000000000114</v>
      </c>
      <c r="CE32" s="2035">
        <f>-126.5+165</f>
        <v>38.5</v>
      </c>
      <c r="CF32" s="105"/>
      <c r="CG32" s="1836">
        <f>-85.3+58.7</f>
        <v>-26.599999999999994</v>
      </c>
      <c r="CH32" s="1838">
        <f>-118.5+69.4-CG32</f>
        <v>-22.5</v>
      </c>
      <c r="CI32" s="1838">
        <f>-118.5+134-SUM(CG32:CH32)</f>
        <v>64.599999999999994</v>
      </c>
      <c r="CJ32" s="1837">
        <f>-118.5+186.8-SUM(CG32:CI32)</f>
        <v>52.800000000000011</v>
      </c>
      <c r="CK32" s="53">
        <f>SUM(CG32:CJ32)</f>
        <v>68.300000000000011</v>
      </c>
      <c r="CL32" s="105"/>
      <c r="CM32" s="598">
        <v>0</v>
      </c>
      <c r="CN32" s="597">
        <v>0</v>
      </c>
      <c r="CO32" s="597">
        <v>0</v>
      </c>
      <c r="CP32" s="597">
        <v>0</v>
      </c>
      <c r="CQ32" s="53">
        <f>SUM(CM32:CP32)</f>
        <v>0</v>
      </c>
      <c r="CR32" s="105"/>
      <c r="CS32" s="598">
        <v>0</v>
      </c>
      <c r="CT32" s="597">
        <v>0</v>
      </c>
      <c r="CU32" s="597">
        <v>0</v>
      </c>
      <c r="CV32" s="597">
        <v>0</v>
      </c>
      <c r="CW32" s="53">
        <f>SUM(CS32:CV32)</f>
        <v>0</v>
      </c>
      <c r="CX32" s="105"/>
      <c r="CY32" s="598">
        <v>0</v>
      </c>
      <c r="CZ32" s="597">
        <v>0</v>
      </c>
      <c r="DA32" s="597">
        <v>0</v>
      </c>
      <c r="DB32" s="597">
        <v>0</v>
      </c>
      <c r="DC32" s="53">
        <f>SUM(CY32:DB32)</f>
        <v>0</v>
      </c>
      <c r="DD32" s="105"/>
      <c r="DE32" s="598">
        <v>0</v>
      </c>
      <c r="DF32" s="597">
        <v>0</v>
      </c>
      <c r="DG32" s="597">
        <v>0</v>
      </c>
      <c r="DH32" s="597">
        <v>0</v>
      </c>
      <c r="DI32" s="53">
        <f>SUM(DE32:DH32)</f>
        <v>0</v>
      </c>
      <c r="DP32" s="225"/>
    </row>
    <row r="33" spans="1:120" ht="11.25" customHeight="1" collapsed="1">
      <c r="A33" s="1014" t="s">
        <v>178</v>
      </c>
      <c r="B33" s="982" t="s">
        <v>361</v>
      </c>
      <c r="C33" s="1013">
        <f>SUM(C29:C32)</f>
        <v>-2.9780000000000002</v>
      </c>
      <c r="D33" s="982"/>
      <c r="E33" s="1013">
        <f>SUM(E29:E32)</f>
        <v>-4.7629999999999999</v>
      </c>
      <c r="F33" s="982"/>
      <c r="G33" s="1013">
        <f>SUM(G29:G32)</f>
        <v>-85.528000000000006</v>
      </c>
      <c r="H33" s="982"/>
      <c r="I33" s="1013">
        <f>SUM(I29:I32)</f>
        <v>-7.3919999999999977</v>
      </c>
      <c r="J33" s="982"/>
      <c r="K33" s="1013">
        <f>SUM(K29:K32)</f>
        <v>17.347000000000005</v>
      </c>
      <c r="L33" s="982"/>
      <c r="M33" s="1013">
        <f>SUM(M29:M32)</f>
        <v>-40.711999999999989</v>
      </c>
      <c r="N33" s="982"/>
      <c r="O33" s="1013">
        <f>SUM(O29:O32)</f>
        <v>-1.5140000000000011</v>
      </c>
      <c r="P33" s="982"/>
      <c r="Q33" s="1013">
        <f>SUM(Q29:Q32)</f>
        <v>-12.029</v>
      </c>
      <c r="R33" s="982"/>
      <c r="S33" s="984">
        <f>SUM(S29:S32)</f>
        <v>13.060999999999998</v>
      </c>
      <c r="T33" s="982">
        <f>SUM(T29:T32)</f>
        <v>26.862000000000002</v>
      </c>
      <c r="U33" s="982">
        <f>SUM(U29:U32)</f>
        <v>-26.217999999999996</v>
      </c>
      <c r="V33" s="982">
        <f>SUM(V29:V32)</f>
        <v>-1.4060000000000006</v>
      </c>
      <c r="W33" s="981">
        <f>SUM(W29:W32)</f>
        <v>12.299000000000007</v>
      </c>
      <c r="X33" s="982"/>
      <c r="Y33" s="984">
        <f>SUM(Y29:Y32)</f>
        <v>-7.0949999999999998</v>
      </c>
      <c r="Z33" s="982">
        <f>SUM(Z29:Z32)</f>
        <v>-8.5250000000000004</v>
      </c>
      <c r="AA33" s="982">
        <f>SUM(AA29:AA32)</f>
        <v>-4.963000000000001</v>
      </c>
      <c r="AB33" s="982">
        <f>SUM(AB29:AB32)</f>
        <v>-10.516999999999996</v>
      </c>
      <c r="AC33" s="981">
        <f>SUM(AC29:AC32)</f>
        <v>-31.099999999999994</v>
      </c>
      <c r="AD33" s="982"/>
      <c r="AE33" s="983">
        <f>SUM(AE29:AE32)</f>
        <v>-31.200000000000003</v>
      </c>
      <c r="AF33" s="977">
        <f>SUM(AF29:AF32)</f>
        <v>3.1999999999999993</v>
      </c>
      <c r="AG33" s="977">
        <f>SUM(AG29:AG32)</f>
        <v>-12.999999999999996</v>
      </c>
      <c r="AH33" s="977">
        <f>SUM(AH29:AH32)</f>
        <v>-8.0999999999999979</v>
      </c>
      <c r="AI33" s="978">
        <f>SUM(AI29:AI32)</f>
        <v>-49.099999999999994</v>
      </c>
      <c r="AJ33" s="977"/>
      <c r="AK33" s="983">
        <f t="shared" ref="AK33:BE33" si="17">SUM(AK29:AK32)</f>
        <v>-4.5999999999999996</v>
      </c>
      <c r="AL33" s="977">
        <f t="shared" si="17"/>
        <v>-3.5999999999999996</v>
      </c>
      <c r="AM33" s="977">
        <f t="shared" si="17"/>
        <v>-2.3000000000000007</v>
      </c>
      <c r="AN33" s="977">
        <f t="shared" si="17"/>
        <v>-7.7</v>
      </c>
      <c r="AO33" s="978">
        <f t="shared" si="17"/>
        <v>-18.2</v>
      </c>
      <c r="AP33" s="977"/>
      <c r="AQ33" s="983">
        <f t="shared" si="17"/>
        <v>-5.4</v>
      </c>
      <c r="AR33" s="977">
        <f t="shared" si="17"/>
        <v>-43.099999999999994</v>
      </c>
      <c r="AS33" s="977">
        <f t="shared" si="17"/>
        <v>-9.8000000000000007</v>
      </c>
      <c r="AT33" s="977">
        <f t="shared" si="17"/>
        <v>-240.70000000000002</v>
      </c>
      <c r="AU33" s="978">
        <f t="shared" si="17"/>
        <v>-299</v>
      </c>
      <c r="AV33" s="977"/>
      <c r="AW33" s="983">
        <f t="shared" si="17"/>
        <v>-10.1</v>
      </c>
      <c r="AX33" s="977">
        <f t="shared" si="17"/>
        <v>-22.400000000000006</v>
      </c>
      <c r="AY33" s="977">
        <f t="shared" si="17"/>
        <v>-7.1999999999999975</v>
      </c>
      <c r="AZ33" s="977">
        <f t="shared" si="17"/>
        <v>-29</v>
      </c>
      <c r="BA33" s="978">
        <f t="shared" si="17"/>
        <v>-68.7</v>
      </c>
      <c r="BB33" s="977"/>
      <c r="BC33" s="983">
        <f t="shared" si="17"/>
        <v>-32.5</v>
      </c>
      <c r="BD33" s="977">
        <f t="shared" si="17"/>
        <v>-17.899999999999999</v>
      </c>
      <c r="BE33" s="977">
        <f t="shared" si="17"/>
        <v>-15.299999999999997</v>
      </c>
      <c r="BF33" s="977">
        <f>SUM(BF29:BF32)</f>
        <v>-27.5</v>
      </c>
      <c r="BG33" s="978">
        <f>SUM(BG29:BG32)</f>
        <v>-93.2</v>
      </c>
      <c r="BH33" s="977"/>
      <c r="BI33" s="983">
        <f>SUM(BI29:BI32)</f>
        <v>-14.3</v>
      </c>
      <c r="BJ33" s="977">
        <f>SUM(BJ29:BJ32)</f>
        <v>-17.8</v>
      </c>
      <c r="BK33" s="977">
        <f>SUM(BK29:BK32)</f>
        <v>-19.5</v>
      </c>
      <c r="BL33" s="977">
        <f>SUM(BL29:BL32)</f>
        <v>-8.4</v>
      </c>
      <c r="BM33" s="978">
        <f>SUM(BM29:BM32)</f>
        <v>-60</v>
      </c>
      <c r="BN33" s="977"/>
      <c r="BO33" s="983">
        <f>SUM(BO29:BO32)</f>
        <v>-7.8999999999999995</v>
      </c>
      <c r="BP33" s="977">
        <f>SUM(BP29:BP32)</f>
        <v>-74.900000000000006</v>
      </c>
      <c r="BQ33" s="977">
        <f>SUM(BQ29:BQ32)</f>
        <v>-52.900000000000006</v>
      </c>
      <c r="BR33" s="982">
        <f>SUM(BR29:BR32)</f>
        <v>-66.199999999999974</v>
      </c>
      <c r="BS33" s="981">
        <f>SUM(BS29:BS32)</f>
        <v>-201.89999999999998</v>
      </c>
      <c r="BT33" s="982"/>
      <c r="BU33" s="984">
        <f>SUM(BU29:BU32)</f>
        <v>-5.7</v>
      </c>
      <c r="BV33" s="977">
        <f>SUM(BV29:BV32)</f>
        <v>-15.800000000000004</v>
      </c>
      <c r="BW33" s="977">
        <f>SUM(BW29:BW32)</f>
        <v>-37.299999999999997</v>
      </c>
      <c r="BX33" s="982">
        <f>SUM(BX29:BX32)</f>
        <v>-43.6</v>
      </c>
      <c r="BY33" s="981">
        <f>SUM(BY29:BY32)</f>
        <v>-102.4</v>
      </c>
      <c r="BZ33" s="982"/>
      <c r="CA33" s="984">
        <f>SUM(CA29:CA32)</f>
        <v>-7.4</v>
      </c>
      <c r="CB33" s="977">
        <f>SUM(CB29:CB32)</f>
        <v>6.9000000000000021</v>
      </c>
      <c r="CC33" s="977">
        <f>SUM(CC29:CC32)</f>
        <v>19.000000000000011</v>
      </c>
      <c r="CD33" s="982">
        <f>SUM(CD29:CD32)</f>
        <v>-40.300000000000011</v>
      </c>
      <c r="CE33" s="981">
        <f>SUM(CE29:CE32)</f>
        <v>-21.800000000000004</v>
      </c>
      <c r="CF33" s="982"/>
      <c r="CG33" s="984">
        <f>SUM(CG29:CG32)</f>
        <v>-71.299999999999983</v>
      </c>
      <c r="CH33" s="977">
        <f>SUM(CH29:CH32)</f>
        <v>-50.7</v>
      </c>
      <c r="CI33" s="977">
        <f>SUM(CI29:CI32)</f>
        <v>47.3</v>
      </c>
      <c r="CJ33" s="982">
        <f>SUM(CJ29:CJ32)</f>
        <v>44.500000000000007</v>
      </c>
      <c r="CK33" s="981">
        <f>SUM(CK29:CK32)</f>
        <v>-30.199999999999989</v>
      </c>
      <c r="CL33" s="982"/>
      <c r="CM33" s="984">
        <f>SUM(CM29:CM32)</f>
        <v>-11.227445591274529</v>
      </c>
      <c r="CN33" s="982">
        <f>SUM(CN29:CN32)</f>
        <v>-11.508534368677875</v>
      </c>
      <c r="CO33" s="982">
        <f>SUM(CO29:CO32)</f>
        <v>-11.951494493349246</v>
      </c>
      <c r="CP33" s="982">
        <f>SUM(CP29:CP32)</f>
        <v>-14.781374362283346</v>
      </c>
      <c r="CQ33" s="981">
        <f>SUM(CQ29:CQ32)</f>
        <v>-49.468848815584991</v>
      </c>
      <c r="CR33" s="982"/>
      <c r="CS33" s="984">
        <f>SUM(CS29:CS32)</f>
        <v>-10.345022505337445</v>
      </c>
      <c r="CT33" s="982">
        <f>SUM(CT29:CT32)</f>
        <v>-10.785699757290439</v>
      </c>
      <c r="CU33" s="982">
        <f>SUM(CU29:CU32)</f>
        <v>-10.98694298825996</v>
      </c>
      <c r="CV33" s="982">
        <f>SUM(CV29:CV32)</f>
        <v>-14.037302327985968</v>
      </c>
      <c r="CW33" s="981">
        <f>SUM(CW29:CW32)</f>
        <v>-46.154967578873816</v>
      </c>
      <c r="CX33" s="982"/>
      <c r="CY33" s="984">
        <f>SUM(CY29:CY32)</f>
        <v>-10.623945770308628</v>
      </c>
      <c r="CZ33" s="982">
        <f>SUM(CZ29:CZ32)</f>
        <v>-10.893475265244161</v>
      </c>
      <c r="DA33" s="982">
        <f>SUM(DA29:DA32)</f>
        <v>-11.368239973205979</v>
      </c>
      <c r="DB33" s="982">
        <f>SUM(DB29:DB32)</f>
        <v>-14.304919588629494</v>
      </c>
      <c r="DC33" s="981">
        <f>SUM(DC29:DC32)</f>
        <v>-47.190580597388262</v>
      </c>
      <c r="DD33" s="982"/>
      <c r="DE33" s="984">
        <f>SUM(DE29:DE32)</f>
        <v>-10.796571263461276</v>
      </c>
      <c r="DF33" s="982">
        <f>SUM(DF29:DF32)</f>
        <v>-11.244534035299656</v>
      </c>
      <c r="DG33" s="982">
        <f>SUM(DG29:DG32)</f>
        <v>-11.538362384182415</v>
      </c>
      <c r="DH33" s="982">
        <f>SUM(DH29:DH32)</f>
        <v>-14.707764709094596</v>
      </c>
      <c r="DI33" s="981">
        <f>SUM(DI29:DI32)</f>
        <v>-48.287232392037943</v>
      </c>
      <c r="DP33" s="235"/>
    </row>
    <row r="34" spans="1:120" ht="11.25" customHeight="1">
      <c r="A34" s="237"/>
      <c r="B34" s="221"/>
      <c r="C34" s="305"/>
      <c r="D34" s="54"/>
      <c r="E34" s="305"/>
      <c r="F34" s="54"/>
      <c r="G34" s="305"/>
      <c r="H34" s="54"/>
      <c r="I34" s="305"/>
      <c r="J34" s="54"/>
      <c r="K34" s="305"/>
      <c r="L34" s="54"/>
      <c r="M34" s="305"/>
      <c r="N34" s="54"/>
      <c r="O34" s="305"/>
      <c r="P34" s="54"/>
      <c r="Q34" s="305"/>
      <c r="R34" s="54"/>
      <c r="S34" s="284"/>
      <c r="T34" s="54"/>
      <c r="U34" s="54"/>
      <c r="V34" s="54"/>
      <c r="W34" s="53"/>
      <c r="X34" s="54"/>
      <c r="Y34" s="284"/>
      <c r="Z34" s="54"/>
      <c r="AA34" s="54"/>
      <c r="AB34" s="54"/>
      <c r="AC34" s="53"/>
      <c r="AD34" s="54"/>
      <c r="AE34" s="288"/>
      <c r="AF34" s="52"/>
      <c r="AG34" s="52"/>
      <c r="AH34" s="52"/>
      <c r="AI34" s="51"/>
      <c r="AJ34" s="52"/>
      <c r="AK34" s="288"/>
      <c r="AL34" s="52"/>
      <c r="AM34" s="52"/>
      <c r="AN34" s="52"/>
      <c r="AO34" s="51"/>
      <c r="AP34" s="52"/>
      <c r="AQ34" s="288"/>
      <c r="AR34" s="52"/>
      <c r="AS34" s="52"/>
      <c r="AT34" s="52"/>
      <c r="AU34" s="51"/>
      <c r="AV34" s="52"/>
      <c r="AW34" s="288"/>
      <c r="AX34" s="52"/>
      <c r="AY34" s="52"/>
      <c r="AZ34" s="52"/>
      <c r="BA34" s="51"/>
      <c r="BB34" s="52"/>
      <c r="BC34" s="288"/>
      <c r="BD34" s="52"/>
      <c r="BE34" s="52"/>
      <c r="BF34" s="52"/>
      <c r="BG34" s="51"/>
      <c r="BH34" s="52"/>
      <c r="BI34" s="288"/>
      <c r="BJ34" s="52"/>
      <c r="BK34" s="52"/>
      <c r="BL34" s="52"/>
      <c r="BM34" s="51"/>
      <c r="BN34" s="52"/>
      <c r="BO34" s="288"/>
      <c r="BP34" s="52"/>
      <c r="BQ34" s="52"/>
      <c r="BR34" s="54"/>
      <c r="BS34" s="53"/>
      <c r="BT34" s="54"/>
      <c r="BU34" s="284"/>
      <c r="BV34" s="52"/>
      <c r="BW34" s="52"/>
      <c r="BX34" s="54"/>
      <c r="BY34" s="53"/>
      <c r="BZ34" s="54"/>
      <c r="CA34" s="284"/>
      <c r="CB34" s="52"/>
      <c r="CC34" s="52"/>
      <c r="CD34" s="54"/>
      <c r="CE34" s="53"/>
      <c r="CF34" s="54"/>
      <c r="CG34" s="284"/>
      <c r="CH34" s="52"/>
      <c r="CI34" s="52"/>
      <c r="CJ34" s="54"/>
      <c r="CK34" s="53"/>
      <c r="CL34" s="54"/>
      <c r="CM34" s="284"/>
      <c r="CN34" s="54"/>
      <c r="CO34" s="54"/>
      <c r="CP34" s="54"/>
      <c r="CQ34" s="53"/>
      <c r="CR34" s="54"/>
      <c r="CS34" s="284"/>
      <c r="CT34" s="54"/>
      <c r="CU34" s="54"/>
      <c r="CV34" s="54"/>
      <c r="CW34" s="53"/>
      <c r="CX34" s="54"/>
      <c r="CY34" s="284"/>
      <c r="CZ34" s="54"/>
      <c r="DA34" s="54"/>
      <c r="DB34" s="54"/>
      <c r="DC34" s="53"/>
      <c r="DD34" s="54"/>
      <c r="DE34" s="284"/>
      <c r="DF34" s="54"/>
      <c r="DG34" s="54"/>
      <c r="DH34" s="54"/>
      <c r="DI34" s="53"/>
      <c r="DP34" s="70"/>
    </row>
    <row r="35" spans="1:120" ht="11.25" customHeight="1">
      <c r="A35" s="236" t="s">
        <v>179</v>
      </c>
      <c r="B35" s="232"/>
      <c r="C35" s="306"/>
      <c r="D35" s="230"/>
      <c r="E35" s="306"/>
      <c r="F35" s="230"/>
      <c r="G35" s="306"/>
      <c r="H35" s="230"/>
      <c r="I35" s="306"/>
      <c r="J35" s="230"/>
      <c r="K35" s="306"/>
      <c r="L35" s="230"/>
      <c r="M35" s="306"/>
      <c r="N35" s="230"/>
      <c r="O35" s="306"/>
      <c r="P35" s="230"/>
      <c r="Q35" s="306"/>
      <c r="R35" s="230"/>
      <c r="S35" s="311"/>
      <c r="T35" s="230"/>
      <c r="U35" s="230"/>
      <c r="V35" s="230"/>
      <c r="W35" s="231"/>
      <c r="X35" s="230"/>
      <c r="Y35" s="311"/>
      <c r="Z35" s="230"/>
      <c r="AA35" s="230"/>
      <c r="AB35" s="230"/>
      <c r="AC35" s="231"/>
      <c r="AD35" s="230"/>
      <c r="AE35" s="492"/>
      <c r="AF35" s="1097"/>
      <c r="AG35" s="1097"/>
      <c r="AH35" s="1097"/>
      <c r="AI35" s="1252"/>
      <c r="AJ35" s="1097"/>
      <c r="AK35" s="492"/>
      <c r="AL35" s="1097"/>
      <c r="AM35" s="1097"/>
      <c r="AN35" s="1097"/>
      <c r="AO35" s="1252"/>
      <c r="AP35" s="1097"/>
      <c r="AQ35" s="492"/>
      <c r="AR35" s="1097"/>
      <c r="AS35" s="1097"/>
      <c r="AT35" s="1097"/>
      <c r="AU35" s="1252"/>
      <c r="AV35" s="1097"/>
      <c r="AW35" s="492"/>
      <c r="AX35" s="1097"/>
      <c r="AY35" s="1097"/>
      <c r="AZ35" s="1097"/>
      <c r="BA35" s="1252"/>
      <c r="BB35" s="1097"/>
      <c r="BC35" s="492"/>
      <c r="BD35" s="1097"/>
      <c r="BE35" s="1097"/>
      <c r="BF35" s="1097"/>
      <c r="BG35" s="1252"/>
      <c r="BH35" s="1097"/>
      <c r="BI35" s="492"/>
      <c r="BJ35" s="1097"/>
      <c r="BK35" s="1097"/>
      <c r="BL35" s="1097"/>
      <c r="BM35" s="1252"/>
      <c r="BN35" s="1097"/>
      <c r="BO35" s="492"/>
      <c r="BP35" s="1097"/>
      <c r="BQ35" s="1097"/>
      <c r="BR35" s="230"/>
      <c r="BS35" s="231"/>
      <c r="BT35" s="230"/>
      <c r="BU35" s="311"/>
      <c r="BV35" s="1097"/>
      <c r="BW35" s="1097"/>
      <c r="BX35" s="230"/>
      <c r="BY35" s="231"/>
      <c r="BZ35" s="230"/>
      <c r="CA35" s="311"/>
      <c r="CB35" s="1097"/>
      <c r="CC35" s="1097"/>
      <c r="CD35" s="230"/>
      <c r="CE35" s="231"/>
      <c r="CF35" s="230"/>
      <c r="CG35" s="311"/>
      <c r="CH35" s="1097"/>
      <c r="CI35" s="1097"/>
      <c r="CJ35" s="230"/>
      <c r="CK35" s="231"/>
      <c r="CL35" s="230"/>
      <c r="CM35" s="311"/>
      <c r="CN35" s="230"/>
      <c r="CO35" s="230"/>
      <c r="CP35" s="230"/>
      <c r="CQ35" s="231"/>
      <c r="CR35" s="230"/>
      <c r="CS35" s="311"/>
      <c r="CT35" s="230"/>
      <c r="CU35" s="230"/>
      <c r="CV35" s="230"/>
      <c r="CW35" s="231"/>
      <c r="CX35" s="230"/>
      <c r="CY35" s="311"/>
      <c r="CZ35" s="230"/>
      <c r="DA35" s="230"/>
      <c r="DB35" s="230"/>
      <c r="DC35" s="231"/>
      <c r="DD35" s="230"/>
      <c r="DE35" s="311"/>
      <c r="DF35" s="230"/>
      <c r="DG35" s="230"/>
      <c r="DH35" s="230"/>
      <c r="DI35" s="231"/>
      <c r="DP35" s="238"/>
    </row>
    <row r="36" spans="1:120" ht="11.25" customHeight="1">
      <c r="A36" s="81" t="s">
        <v>223</v>
      </c>
      <c r="B36" s="54"/>
      <c r="C36" s="344">
        <f>2.604-0.05</f>
        <v>2.5540000000000003</v>
      </c>
      <c r="D36" s="47"/>
      <c r="E36" s="344">
        <f>1-1.087</f>
        <v>-8.6999999999999966E-2</v>
      </c>
      <c r="F36" s="47"/>
      <c r="G36" s="344">
        <f>2.51-4.833</f>
        <v>-2.3230000000000004</v>
      </c>
      <c r="H36" s="47"/>
      <c r="I36" s="344">
        <f>4.742-0.797</f>
        <v>3.9449999999999998</v>
      </c>
      <c r="J36" s="47"/>
      <c r="K36" s="344">
        <v>5.8520000000000003</v>
      </c>
      <c r="L36" s="47"/>
      <c r="M36" s="344">
        <v>3.1560000000000001</v>
      </c>
      <c r="N36" s="47"/>
      <c r="O36" s="344">
        <v>-7.19</v>
      </c>
      <c r="P36" s="47"/>
      <c r="Q36" s="344">
        <v>-5.3659999999999997</v>
      </c>
      <c r="R36" s="47"/>
      <c r="S36" s="345">
        <v>1.724</v>
      </c>
      <c r="T36" s="220">
        <f>1.163-S36</f>
        <v>-0.56099999999999994</v>
      </c>
      <c r="U36" s="220">
        <f>19.521-S36-T36</f>
        <v>18.358000000000001</v>
      </c>
      <c r="V36" s="220">
        <f>12.179-S36-T36-U36</f>
        <v>-7.3420000000000005</v>
      </c>
      <c r="W36" s="55">
        <f t="shared" ref="W36:W46" si="18">SUM(S36:V36)</f>
        <v>12.179</v>
      </c>
      <c r="X36" s="47"/>
      <c r="Y36" s="345">
        <v>-9.9990000000000006</v>
      </c>
      <c r="Z36" s="220">
        <f>-9.321-(Y36)</f>
        <v>0.67800000000000082</v>
      </c>
      <c r="AA36" s="220">
        <f>-6.052-(Y36+Z36)</f>
        <v>3.2690000000000001</v>
      </c>
      <c r="AB36" s="220">
        <f>-10.5-Y36-Z36-AA36</f>
        <v>-4.4480000000000004</v>
      </c>
      <c r="AC36" s="55">
        <f t="shared" ref="AC36:AC46" si="19">SUM(Y36:AB36)</f>
        <v>-10.5</v>
      </c>
      <c r="AD36" s="47"/>
      <c r="AE36" s="280">
        <v>209.3</v>
      </c>
      <c r="AF36" s="1096">
        <f>33.4-(AE36)</f>
        <v>-175.9</v>
      </c>
      <c r="AG36" s="1096">
        <f>3.8-(AE36+AF36)</f>
        <v>-29.600000000000005</v>
      </c>
      <c r="AH36" s="1096">
        <f>33.1-(AE36+AF36+AG36)</f>
        <v>29.3</v>
      </c>
      <c r="AI36" s="45">
        <f t="shared" ref="AI36:AI46" si="20">SUM(AE36:AH36)</f>
        <v>33.1</v>
      </c>
      <c r="AJ36" s="46"/>
      <c r="AK36" s="280">
        <v>-15.6</v>
      </c>
      <c r="AL36" s="1096">
        <f>-35.8-(AK36)</f>
        <v>-20.199999999999996</v>
      </c>
      <c r="AM36" s="1096">
        <f>-51.5-(AK36+AL36)</f>
        <v>-15.700000000000003</v>
      </c>
      <c r="AN36" s="1096">
        <f>-62.4-(AK36+AL36+AM36)</f>
        <v>-10.899999999999999</v>
      </c>
      <c r="AO36" s="45">
        <f t="shared" ref="AO36:AO46" si="21">SUM(AK36:AN36)</f>
        <v>-62.4</v>
      </c>
      <c r="AP36" s="46"/>
      <c r="AQ36" s="280">
        <v>-0.1</v>
      </c>
      <c r="AR36" s="1096">
        <f>-0.4-(AQ36)</f>
        <v>-0.30000000000000004</v>
      </c>
      <c r="AS36" s="1096">
        <f>-0.5-(AQ36+AR36)</f>
        <v>-9.9999999999999978E-2</v>
      </c>
      <c r="AT36" s="1096">
        <f>185-(AQ36+AR36+AS36)</f>
        <v>185.5</v>
      </c>
      <c r="AU36" s="45">
        <f t="shared" ref="AU36:AU46" si="22">SUM(AQ36:AT36)</f>
        <v>185</v>
      </c>
      <c r="AV36" s="46"/>
      <c r="AW36" s="280">
        <v>0</v>
      </c>
      <c r="AX36" s="1096">
        <f>-0.3-(AW36)</f>
        <v>-0.3</v>
      </c>
      <c r="AY36" s="1096">
        <f>31-(AW36+AX36)</f>
        <v>31.3</v>
      </c>
      <c r="AZ36" s="1096">
        <f>30.7-(AW36+AX36+AY36)</f>
        <v>-0.30000000000000071</v>
      </c>
      <c r="BA36" s="45">
        <f t="shared" ref="BA36:BA46" si="23">SUM(AW36:AZ36)</f>
        <v>30.7</v>
      </c>
      <c r="BB36" s="46"/>
      <c r="BC36" s="280">
        <v>-216.5</v>
      </c>
      <c r="BD36" s="1096">
        <f>-196.5-(BC36)</f>
        <v>20</v>
      </c>
      <c r="BE36" s="1096">
        <f>-161.5-(BC36+BD36)</f>
        <v>35</v>
      </c>
      <c r="BF36" s="1096">
        <f>-216.5-BE36-BD36-BC36+93</f>
        <v>38</v>
      </c>
      <c r="BG36" s="45">
        <f t="shared" ref="BG36:BG46" si="24">SUM(BC36:BF36)</f>
        <v>-123.5</v>
      </c>
      <c r="BH36" s="46"/>
      <c r="BI36" s="280">
        <v>0</v>
      </c>
      <c r="BJ36" s="1096">
        <f>0-BI36</f>
        <v>0</v>
      </c>
      <c r="BK36" s="1096">
        <v>19.5</v>
      </c>
      <c r="BL36" s="1096">
        <v>0</v>
      </c>
      <c r="BM36" s="45">
        <f t="shared" ref="BM36:BM46" si="25">SUM(BI36:BL36)</f>
        <v>19.5</v>
      </c>
      <c r="BN36" s="46"/>
      <c r="BO36" s="280">
        <v>0</v>
      </c>
      <c r="BP36" s="1096">
        <f t="shared" ref="BP36:BP46" si="26">0-BO36</f>
        <v>0</v>
      </c>
      <c r="BQ36" s="1096">
        <f t="shared" ref="BQ36:BQ46" si="27">0-SUM(BO36:BP36)</f>
        <v>0</v>
      </c>
      <c r="BR36" s="1096">
        <f t="shared" ref="BR36:BR46" si="28">0-SUM(BO36:BQ36)</f>
        <v>0</v>
      </c>
      <c r="BS36" s="55">
        <f t="shared" ref="BS36:BS46" si="29">SUM(BO36:BR36)</f>
        <v>0</v>
      </c>
      <c r="BT36" s="47"/>
      <c r="BU36" s="1839">
        <v>0</v>
      </c>
      <c r="BV36" s="1840">
        <f>10-BU36</f>
        <v>10</v>
      </c>
      <c r="BW36" s="1840">
        <f>17-SUM(BU36:BV36)</f>
        <v>7</v>
      </c>
      <c r="BX36" s="52">
        <f t="shared" ref="BX36:BX46" si="30">+BY36-SUM(BU36:BW36)</f>
        <v>-104.5</v>
      </c>
      <c r="BY36" s="2036">
        <f>-129.5+42</f>
        <v>-87.5</v>
      </c>
      <c r="BZ36" s="47"/>
      <c r="CA36" s="1839">
        <v>36</v>
      </c>
      <c r="CB36" s="1840">
        <f>77-CA36</f>
        <v>41</v>
      </c>
      <c r="CC36" s="1840">
        <f>99-SUM(CA36:CB36)</f>
        <v>22</v>
      </c>
      <c r="CD36" s="52">
        <f t="shared" ref="CD36:CD46" si="31">+CE36-SUM(CA36:CC36)</f>
        <v>47</v>
      </c>
      <c r="CE36" s="2036">
        <v>146</v>
      </c>
      <c r="CF36" s="47"/>
      <c r="CG36" s="1839">
        <v>33</v>
      </c>
      <c r="CH36" s="1840">
        <f>79-CG36</f>
        <v>46</v>
      </c>
      <c r="CI36" s="1840">
        <f>154-SUM(CG36:CH36)</f>
        <v>75</v>
      </c>
      <c r="CJ36" s="1837">
        <f>154-SUM(CG36:CI36)</f>
        <v>0</v>
      </c>
      <c r="CK36" s="55">
        <f t="shared" ref="CK36:CK46" si="32">SUM(CG36:CJ36)</f>
        <v>154</v>
      </c>
      <c r="CL36" s="47"/>
      <c r="CM36" s="298">
        <f>Debt!BU65+Debt!BU67</f>
        <v>0</v>
      </c>
      <c r="CN36" s="47">
        <f>Debt!BV65+Debt!BV67</f>
        <v>0</v>
      </c>
      <c r="CO36" s="47">
        <f>Debt!BW65+Debt!BW67</f>
        <v>0</v>
      </c>
      <c r="CP36" s="47">
        <f>Debt!BX65+Debt!BX67</f>
        <v>0</v>
      </c>
      <c r="CQ36" s="55">
        <f t="shared" ref="CQ36:CQ46" si="33">SUM(CM36:CP36)</f>
        <v>0</v>
      </c>
      <c r="CR36" s="47"/>
      <c r="CS36" s="298">
        <f>Debt!CA65+Debt!CA67</f>
        <v>0</v>
      </c>
      <c r="CT36" s="47">
        <f>Debt!CB65+Debt!CB67</f>
        <v>0</v>
      </c>
      <c r="CU36" s="47">
        <f>Debt!CC65+Debt!CC67</f>
        <v>0</v>
      </c>
      <c r="CV36" s="47">
        <f>Debt!CD65+Debt!CD67</f>
        <v>0</v>
      </c>
      <c r="CW36" s="55">
        <f t="shared" ref="CW36:CW46" si="34">SUM(CS36:CV36)</f>
        <v>0</v>
      </c>
      <c r="CX36" s="47"/>
      <c r="CY36" s="298">
        <f>Debt!CG65+Debt!CG67</f>
        <v>0</v>
      </c>
      <c r="CZ36" s="47">
        <f>Debt!CH65+Debt!CH67</f>
        <v>0</v>
      </c>
      <c r="DA36" s="47">
        <f>Debt!CI65+Debt!CI67</f>
        <v>0</v>
      </c>
      <c r="DB36" s="47">
        <f>Debt!CJ65+Debt!CJ67</f>
        <v>0</v>
      </c>
      <c r="DC36" s="55">
        <f t="shared" ref="DC36:DC40" si="35">SUM(CY36:DB36)</f>
        <v>0</v>
      </c>
      <c r="DD36" s="47"/>
      <c r="DE36" s="298">
        <f>Debt!CM65+Debt!CM67</f>
        <v>0</v>
      </c>
      <c r="DF36" s="47">
        <f>Debt!CN65+Debt!CN67</f>
        <v>0</v>
      </c>
      <c r="DG36" s="47">
        <f>Debt!CO65+Debt!CO67</f>
        <v>0</v>
      </c>
      <c r="DH36" s="47">
        <f>Debt!CP65+Debt!CP67</f>
        <v>0</v>
      </c>
      <c r="DI36" s="55">
        <f t="shared" ref="DI36:DI40" si="36">SUM(DE36:DH36)</f>
        <v>0</v>
      </c>
      <c r="DP36" s="225"/>
    </row>
    <row r="37" spans="1:120" ht="11.25" customHeight="1">
      <c r="A37" s="81" t="s">
        <v>224</v>
      </c>
      <c r="B37" s="54"/>
      <c r="C37" s="304">
        <v>14.212999999999999</v>
      </c>
      <c r="D37" s="54"/>
      <c r="E37" s="304">
        <v>0</v>
      </c>
      <c r="F37" s="54"/>
      <c r="G37" s="304">
        <v>0</v>
      </c>
      <c r="H37" s="54"/>
      <c r="I37" s="304">
        <v>0</v>
      </c>
      <c r="J37" s="54"/>
      <c r="K37" s="304">
        <v>8.1620000000000008</v>
      </c>
      <c r="L37" s="54"/>
      <c r="M37" s="304">
        <v>1.9870000000000001</v>
      </c>
      <c r="N37" s="54"/>
      <c r="O37" s="304">
        <v>0</v>
      </c>
      <c r="P37" s="54"/>
      <c r="Q37" s="304">
        <v>0.313</v>
      </c>
      <c r="R37" s="54"/>
      <c r="S37" s="310">
        <v>0</v>
      </c>
      <c r="T37" s="224">
        <v>0</v>
      </c>
      <c r="U37" s="224">
        <f>0.899-S39-T39</f>
        <v>2.2170000000000001</v>
      </c>
      <c r="V37" s="224">
        <f>2.583-S37-T37-U37</f>
        <v>0.3660000000000001</v>
      </c>
      <c r="W37" s="53">
        <f t="shared" si="18"/>
        <v>2.5830000000000002</v>
      </c>
      <c r="X37" s="54"/>
      <c r="Y37" s="310">
        <v>0</v>
      </c>
      <c r="Z37" s="224">
        <f>0-(Y37)</f>
        <v>0</v>
      </c>
      <c r="AA37" s="224">
        <f>0-(Y37+Z37)</f>
        <v>0</v>
      </c>
      <c r="AB37" s="224">
        <v>0</v>
      </c>
      <c r="AC37" s="53">
        <f t="shared" si="19"/>
        <v>0</v>
      </c>
      <c r="AD37" s="54"/>
      <c r="AE37" s="281">
        <v>149.6</v>
      </c>
      <c r="AF37" s="50">
        <f>160-(AE37)</f>
        <v>10.400000000000006</v>
      </c>
      <c r="AG37" s="50">
        <f>168.9-(AE37+AF37)</f>
        <v>8.9000000000000057</v>
      </c>
      <c r="AH37" s="50">
        <f>166.1-(AE37+AF37+AG37)</f>
        <v>-2.8000000000000114</v>
      </c>
      <c r="AI37" s="51">
        <f t="shared" si="20"/>
        <v>166.1</v>
      </c>
      <c r="AJ37" s="52"/>
      <c r="AK37" s="281">
        <v>0</v>
      </c>
      <c r="AL37" s="50">
        <f>0-(AK37)</f>
        <v>0</v>
      </c>
      <c r="AM37" s="50">
        <f>0-(AK37+AL37)</f>
        <v>0</v>
      </c>
      <c r="AN37" s="50">
        <f>1.6-(AK37+AL37+AM37)</f>
        <v>1.6</v>
      </c>
      <c r="AO37" s="51">
        <f t="shared" si="21"/>
        <v>1.6</v>
      </c>
      <c r="AP37" s="52"/>
      <c r="AQ37" s="281">
        <v>0</v>
      </c>
      <c r="AR37" s="50">
        <f>0-(AQ37)</f>
        <v>0</v>
      </c>
      <c r="AS37" s="50">
        <f>0-(AQ37+AR37)</f>
        <v>0</v>
      </c>
      <c r="AT37" s="50">
        <f>0-(AQ37+AR37+AS37)</f>
        <v>0</v>
      </c>
      <c r="AU37" s="51">
        <f t="shared" si="22"/>
        <v>0</v>
      </c>
      <c r="AV37" s="52"/>
      <c r="AW37" s="281">
        <v>0</v>
      </c>
      <c r="AX37" s="50">
        <f>0-(AW37)</f>
        <v>0</v>
      </c>
      <c r="AY37" s="50">
        <f>0-(AW37+AX37)</f>
        <v>0</v>
      </c>
      <c r="AZ37" s="50">
        <f>0-(AW37+AX37+AY37)</f>
        <v>0</v>
      </c>
      <c r="BA37" s="51">
        <f t="shared" si="23"/>
        <v>0</v>
      </c>
      <c r="BB37" s="52"/>
      <c r="BC37" s="281">
        <v>240</v>
      </c>
      <c r="BD37" s="50">
        <f>240-(BC37)</f>
        <v>0</v>
      </c>
      <c r="BE37" s="50">
        <f>240-(BC37+BD37)</f>
        <v>0</v>
      </c>
      <c r="BF37" s="50">
        <f>240-BE37-BD37-BC37</f>
        <v>0</v>
      </c>
      <c r="BG37" s="51">
        <f>SUM(BC37:BF37)</f>
        <v>240</v>
      </c>
      <c r="BH37" s="52"/>
      <c r="BI37" s="281">
        <v>0</v>
      </c>
      <c r="BJ37" s="50">
        <f>0-BI37</f>
        <v>0</v>
      </c>
      <c r="BK37" s="50">
        <v>0</v>
      </c>
      <c r="BL37" s="50">
        <v>0</v>
      </c>
      <c r="BM37" s="51">
        <f t="shared" si="25"/>
        <v>0</v>
      </c>
      <c r="BN37" s="52"/>
      <c r="BO37" s="281">
        <v>0</v>
      </c>
      <c r="BP37" s="50">
        <f t="shared" si="26"/>
        <v>0</v>
      </c>
      <c r="BQ37" s="50">
        <f t="shared" si="27"/>
        <v>0</v>
      </c>
      <c r="BR37" s="50">
        <f t="shared" si="28"/>
        <v>0</v>
      </c>
      <c r="BS37" s="53">
        <f t="shared" si="29"/>
        <v>0</v>
      </c>
      <c r="BT37" s="54"/>
      <c r="BU37" s="1836">
        <v>0</v>
      </c>
      <c r="BV37" s="1837">
        <f>0-BU37</f>
        <v>0</v>
      </c>
      <c r="BW37" s="1837">
        <f>0-SUM(BU37:BV37)</f>
        <v>0</v>
      </c>
      <c r="BX37" s="52">
        <f t="shared" si="30"/>
        <v>0</v>
      </c>
      <c r="BY37" s="2035">
        <v>0</v>
      </c>
      <c r="BZ37" s="54"/>
      <c r="CA37" s="1836">
        <v>0.4</v>
      </c>
      <c r="CB37" s="1837">
        <f>0.2-CA37</f>
        <v>-0.2</v>
      </c>
      <c r="CC37" s="1837">
        <f>0.1-SUM(CA37:CB37)</f>
        <v>-0.1</v>
      </c>
      <c r="CD37" s="52">
        <f t="shared" si="31"/>
        <v>-0.1</v>
      </c>
      <c r="CE37" s="2035">
        <v>0</v>
      </c>
      <c r="CF37" s="54"/>
      <c r="CG37" s="1836">
        <v>-0.1</v>
      </c>
      <c r="CH37" s="1837">
        <f t="shared" ref="CH37:CH44" si="37">0-CG37</f>
        <v>0.1</v>
      </c>
      <c r="CI37" s="1837">
        <f>-1-SUM(CG37:CH37)</f>
        <v>-1</v>
      </c>
      <c r="CJ37" s="1837">
        <f>-0.9-SUM(CG37:CI37)</f>
        <v>9.9999999999999978E-2</v>
      </c>
      <c r="CK37" s="53">
        <f t="shared" si="32"/>
        <v>-0.9</v>
      </c>
      <c r="CL37" s="54"/>
      <c r="CM37" s="284">
        <f>IF(Debt!BU66&lt;0,"0.0",Debt!BU66)</f>
        <v>0</v>
      </c>
      <c r="CN37" s="54">
        <f>IF(Debt!BV66&lt;0,"0.0",Debt!BV66)</f>
        <v>0</v>
      </c>
      <c r="CO37" s="54">
        <f>IF(Debt!BW66&lt;0,"0.0",Debt!BW66)</f>
        <v>0</v>
      </c>
      <c r="CP37" s="54">
        <f>IF(Debt!BX66&lt;0,"0.0",Debt!BX66)</f>
        <v>0</v>
      </c>
      <c r="CQ37" s="53">
        <f t="shared" si="33"/>
        <v>0</v>
      </c>
      <c r="CR37" s="54"/>
      <c r="CS37" s="284">
        <f>IF(Debt!CA66&lt;0,"0.0",Debt!CA66)</f>
        <v>0</v>
      </c>
      <c r="CT37" s="54">
        <f>IF(Debt!CB66&lt;0,"0.0",Debt!CB66)</f>
        <v>0</v>
      </c>
      <c r="CU37" s="54">
        <f>IF(Debt!CC66&lt;0,"0.0",Debt!CC66)</f>
        <v>0</v>
      </c>
      <c r="CV37" s="54">
        <f>IF(Debt!CD66&lt;0,"0.0",Debt!CD66)</f>
        <v>0</v>
      </c>
      <c r="CW37" s="53">
        <f t="shared" si="34"/>
        <v>0</v>
      </c>
      <c r="CX37" s="54"/>
      <c r="CY37" s="284">
        <f>IF(Debt!CG66&lt;0,"0.0",Debt!CG66)</f>
        <v>0</v>
      </c>
      <c r="CZ37" s="54">
        <f>IF(Debt!CH66&lt;0,"0.0",Debt!CH66)</f>
        <v>0</v>
      </c>
      <c r="DA37" s="54">
        <f>IF(Debt!CI66&lt;0,"0.0",Debt!CI66)</f>
        <v>0</v>
      </c>
      <c r="DB37" s="54">
        <f>IF(Debt!CJ66&lt;0,"0.0",Debt!CJ66)</f>
        <v>0</v>
      </c>
      <c r="DC37" s="53">
        <f t="shared" si="35"/>
        <v>0</v>
      </c>
      <c r="DD37" s="54"/>
      <c r="DE37" s="284">
        <f>IF(Debt!CM66&lt;0,"0.0",Debt!CM66)</f>
        <v>0</v>
      </c>
      <c r="DF37" s="54">
        <f>IF(Debt!CN66&lt;0,"0.0",Debt!CN66)</f>
        <v>0</v>
      </c>
      <c r="DG37" s="54">
        <f>IF(Debt!CO66&lt;0,"0.0",Debt!CO66)</f>
        <v>0</v>
      </c>
      <c r="DH37" s="54">
        <f>IF(Debt!CP66&lt;0,"0.0",Debt!CP66)</f>
        <v>0</v>
      </c>
      <c r="DI37" s="53">
        <f t="shared" si="36"/>
        <v>0</v>
      </c>
      <c r="DP37" s="225"/>
    </row>
    <row r="38" spans="1:120" ht="11.25" customHeight="1">
      <c r="A38" s="752" t="s">
        <v>494</v>
      </c>
      <c r="B38" s="54"/>
      <c r="C38" s="304">
        <v>0</v>
      </c>
      <c r="D38" s="54"/>
      <c r="E38" s="304">
        <v>0</v>
      </c>
      <c r="F38" s="54"/>
      <c r="G38" s="304">
        <v>0</v>
      </c>
      <c r="H38" s="54"/>
      <c r="I38" s="304">
        <v>0</v>
      </c>
      <c r="J38" s="54"/>
      <c r="K38" s="304">
        <v>0</v>
      </c>
      <c r="L38" s="54"/>
      <c r="M38" s="304">
        <v>0</v>
      </c>
      <c r="N38" s="54"/>
      <c r="O38" s="304">
        <v>0</v>
      </c>
      <c r="P38" s="54"/>
      <c r="Q38" s="304">
        <v>0</v>
      </c>
      <c r="R38" s="54"/>
      <c r="S38" s="310">
        <v>0</v>
      </c>
      <c r="T38" s="224">
        <v>0</v>
      </c>
      <c r="U38" s="224">
        <v>0</v>
      </c>
      <c r="V38" s="224">
        <v>0</v>
      </c>
      <c r="W38" s="53">
        <f t="shared" si="18"/>
        <v>0</v>
      </c>
      <c r="X38" s="54"/>
      <c r="Y38" s="310">
        <v>0</v>
      </c>
      <c r="Z38" s="224">
        <v>0</v>
      </c>
      <c r="AA38" s="224">
        <v>0</v>
      </c>
      <c r="AB38" s="224">
        <v>0</v>
      </c>
      <c r="AC38" s="53">
        <f t="shared" si="19"/>
        <v>0</v>
      </c>
      <c r="AD38" s="54"/>
      <c r="AE38" s="281">
        <v>0</v>
      </c>
      <c r="AF38" s="50">
        <v>0</v>
      </c>
      <c r="AG38" s="50">
        <v>0</v>
      </c>
      <c r="AH38" s="50">
        <v>0</v>
      </c>
      <c r="AI38" s="53">
        <f t="shared" si="20"/>
        <v>0</v>
      </c>
      <c r="AJ38" s="54"/>
      <c r="AK38" s="1836">
        <v>0</v>
      </c>
      <c r="AL38" s="1837">
        <v>0</v>
      </c>
      <c r="AM38" s="1837">
        <v>0</v>
      </c>
      <c r="AN38" s="54">
        <v>0</v>
      </c>
      <c r="AO38" s="53">
        <f t="shared" si="21"/>
        <v>0</v>
      </c>
      <c r="AP38" s="54"/>
      <c r="AQ38" s="1836">
        <v>0</v>
      </c>
      <c r="AR38" s="1837">
        <v>0</v>
      </c>
      <c r="AS38" s="1837">
        <v>0</v>
      </c>
      <c r="AT38" s="54">
        <v>0</v>
      </c>
      <c r="AU38" s="53">
        <f t="shared" si="22"/>
        <v>0</v>
      </c>
      <c r="AV38" s="54"/>
      <c r="AW38" s="1836">
        <v>0</v>
      </c>
      <c r="AX38" s="1837">
        <v>0</v>
      </c>
      <c r="AY38" s="1837">
        <v>0</v>
      </c>
      <c r="AZ38" s="54">
        <v>0</v>
      </c>
      <c r="BA38" s="53">
        <f t="shared" si="23"/>
        <v>0</v>
      </c>
      <c r="BB38" s="54"/>
      <c r="BC38" s="1836">
        <v>0</v>
      </c>
      <c r="BD38" s="1837">
        <v>0</v>
      </c>
      <c r="BE38" s="1837">
        <v>0</v>
      </c>
      <c r="BF38" s="54">
        <v>0</v>
      </c>
      <c r="BG38" s="53">
        <f>SUM(BC38:BF38)</f>
        <v>0</v>
      </c>
      <c r="BH38" s="54"/>
      <c r="BI38" s="1836">
        <v>0</v>
      </c>
      <c r="BJ38" s="1837">
        <v>0</v>
      </c>
      <c r="BK38" s="1837">
        <v>0</v>
      </c>
      <c r="BL38" s="54">
        <v>0</v>
      </c>
      <c r="BM38" s="53">
        <f t="shared" si="25"/>
        <v>0</v>
      </c>
      <c r="BN38" s="54"/>
      <c r="BO38" s="1836">
        <v>0</v>
      </c>
      <c r="BP38" s="1837">
        <v>0</v>
      </c>
      <c r="BQ38" s="1837">
        <v>0</v>
      </c>
      <c r="BR38" s="54">
        <v>0</v>
      </c>
      <c r="BS38" s="53">
        <f t="shared" si="29"/>
        <v>0</v>
      </c>
      <c r="BT38" s="54"/>
      <c r="BU38" s="1836">
        <v>0</v>
      </c>
      <c r="BV38" s="1837">
        <v>0</v>
      </c>
      <c r="BW38" s="1837">
        <v>0</v>
      </c>
      <c r="BX38" s="52">
        <f t="shared" si="30"/>
        <v>0</v>
      </c>
      <c r="BY38" s="2035">
        <v>0</v>
      </c>
      <c r="BZ38" s="54"/>
      <c r="CA38" s="1836">
        <v>-6.5</v>
      </c>
      <c r="CB38" s="1837">
        <f>-13-CA38</f>
        <v>-6.5</v>
      </c>
      <c r="CC38" s="1837">
        <f>-19.4-SUM(CA38:CB38)</f>
        <v>-6.3999999999999986</v>
      </c>
      <c r="CD38" s="52">
        <f t="shared" si="31"/>
        <v>-6.4000000000000021</v>
      </c>
      <c r="CE38" s="2035">
        <v>-25.8</v>
      </c>
      <c r="CF38" s="54"/>
      <c r="CG38" s="1836">
        <v>-6.4</v>
      </c>
      <c r="CH38" s="1837">
        <f>-12.8-CG38</f>
        <v>-6.4</v>
      </c>
      <c r="CI38" s="1837">
        <f>-19.1-SUM(CG38:CH38)</f>
        <v>-6.3000000000000007</v>
      </c>
      <c r="CJ38" s="1837">
        <f>-25.4-SUM(CG38:CI38)</f>
        <v>-6.2999999999999972</v>
      </c>
      <c r="CK38" s="53">
        <f t="shared" si="32"/>
        <v>-25.4</v>
      </c>
      <c r="CL38" s="54"/>
      <c r="CM38" s="284">
        <f>-0.04*IS!CM38</f>
        <v>-6.2788387096774194</v>
      </c>
      <c r="CN38" s="54">
        <f>-0.04*IS!CN38</f>
        <v>-6.234668832384588</v>
      </c>
      <c r="CO38" s="54">
        <f>-0.04*IS!CO38</f>
        <v>-6.1914686039117468</v>
      </c>
      <c r="CP38" s="54">
        <f>-0.04*IS!CP38</f>
        <v>-6.1492167378326767</v>
      </c>
      <c r="CQ38" s="53">
        <f t="shared" si="33"/>
        <v>-24.854192883806434</v>
      </c>
      <c r="CR38" s="54"/>
      <c r="CS38" s="284">
        <f>-0.04*IS!CS38</f>
        <v>-6.1604169487588045</v>
      </c>
      <c r="CT38" s="54">
        <f>-0.04*IS!CT38</f>
        <v>-6.1084520523529386</v>
      </c>
      <c r="CU38" s="54">
        <f>-0.04*IS!CU38</f>
        <v>-6.057627926616342</v>
      </c>
      <c r="CV38" s="54">
        <f>-0.04*IS!CV38</f>
        <v>-6.0079195285332503</v>
      </c>
      <c r="CW38" s="53">
        <f t="shared" si="34"/>
        <v>-24.334416456261334</v>
      </c>
      <c r="CX38" s="54"/>
      <c r="CY38" s="284">
        <f>-0.04*IS!CY38</f>
        <v>-6.0349869503822235</v>
      </c>
      <c r="CZ38" s="54">
        <f>-0.04*IS!CZ38</f>
        <v>-5.9874370655390354</v>
      </c>
      <c r="DA38" s="54">
        <f>-0.04*IS!DA38</f>
        <v>-5.9409310298653439</v>
      </c>
      <c r="DB38" s="54">
        <f>-0.04*IS!DB38</f>
        <v>-5.8954459280356506</v>
      </c>
      <c r="DC38" s="53">
        <f t="shared" si="35"/>
        <v>-23.858800973822255</v>
      </c>
      <c r="DD38" s="54"/>
      <c r="DE38" s="284">
        <f>-0.04*IS!DE38</f>
        <v>-5.920213663198024</v>
      </c>
      <c r="DF38" s="54">
        <f>-0.04*IS!DF38</f>
        <v>-5.8767036842510594</v>
      </c>
      <c r="DG38" s="54">
        <f>-0.04*IS!DG38</f>
        <v>-5.8341488675623934</v>
      </c>
      <c r="DH38" s="54">
        <f>-0.04*IS!DH38</f>
        <v>-5.7925282447251947</v>
      </c>
      <c r="DI38" s="53">
        <f t="shared" si="36"/>
        <v>-23.42359445973667</v>
      </c>
      <c r="DP38" s="225"/>
    </row>
    <row r="39" spans="1:120" ht="11.25" customHeight="1">
      <c r="A39" s="223" t="s">
        <v>225</v>
      </c>
      <c r="B39" s="54"/>
      <c r="C39" s="304">
        <v>0</v>
      </c>
      <c r="D39" s="54"/>
      <c r="E39" s="304">
        <v>0</v>
      </c>
      <c r="F39" s="54"/>
      <c r="G39" s="304">
        <v>0</v>
      </c>
      <c r="H39" s="54"/>
      <c r="I39" s="304">
        <v>0</v>
      </c>
      <c r="J39" s="54"/>
      <c r="K39" s="304">
        <v>-0.36299999999999999</v>
      </c>
      <c r="L39" s="54"/>
      <c r="M39" s="304">
        <v>-2.4860000000000002</v>
      </c>
      <c r="N39" s="54"/>
      <c r="O39" s="304">
        <v>-0.45800000000000002</v>
      </c>
      <c r="P39" s="54"/>
      <c r="Q39" s="304">
        <v>-6.2990000000000004</v>
      </c>
      <c r="R39" s="54"/>
      <c r="S39" s="310">
        <v>-0.60299999999999998</v>
      </c>
      <c r="T39" s="224">
        <f>-1.318-S39</f>
        <v>-0.71500000000000008</v>
      </c>
      <c r="U39" s="224">
        <v>0</v>
      </c>
      <c r="V39" s="224">
        <f>-6.709-S39-T39-U39</f>
        <v>-5.391</v>
      </c>
      <c r="W39" s="53">
        <f t="shared" si="18"/>
        <v>-6.7089999999999996</v>
      </c>
      <c r="X39" s="54"/>
      <c r="Y39" s="310">
        <v>-2.3940000000000001</v>
      </c>
      <c r="Z39" s="224">
        <f>-5.856-(Y39)</f>
        <v>-3.4619999999999997</v>
      </c>
      <c r="AA39" s="224">
        <f>-5.638-(Y39+Z39)</f>
        <v>0.21799999999999997</v>
      </c>
      <c r="AB39" s="224">
        <f>-7-Y39-Z39-AA39</f>
        <v>-1.3620000000000001</v>
      </c>
      <c r="AC39" s="53">
        <f t="shared" si="19"/>
        <v>-7</v>
      </c>
      <c r="AD39" s="54"/>
      <c r="AE39" s="281">
        <v>0</v>
      </c>
      <c r="AF39" s="50">
        <f>0-(AE39)</f>
        <v>0</v>
      </c>
      <c r="AG39" s="50">
        <f>0-(AE39+AF39)</f>
        <v>0</v>
      </c>
      <c r="AH39" s="50">
        <f>-26.2-(AE39+AF39+AG39)</f>
        <v>-26.2</v>
      </c>
      <c r="AI39" s="51">
        <f t="shared" si="20"/>
        <v>-26.2</v>
      </c>
      <c r="AJ39" s="52"/>
      <c r="AK39" s="281">
        <v>-2</v>
      </c>
      <c r="AL39" s="50">
        <f>-15.9-(AK39)</f>
        <v>-13.9</v>
      </c>
      <c r="AM39" s="50">
        <f>-20.1-(AK39+AL39)</f>
        <v>-4.2000000000000011</v>
      </c>
      <c r="AN39" s="50">
        <f>-23.9-(AK39+AL39+AM39)</f>
        <v>-3.7999999999999972</v>
      </c>
      <c r="AO39" s="51">
        <f t="shared" si="21"/>
        <v>-23.9</v>
      </c>
      <c r="AP39" s="52"/>
      <c r="AQ39" s="281">
        <v>-4.0999999999999996</v>
      </c>
      <c r="AR39" s="50">
        <f>-9.9-(AQ39)</f>
        <v>-5.8000000000000007</v>
      </c>
      <c r="AS39" s="50">
        <f>-15.8-(AQ39+AR39)</f>
        <v>-5.9</v>
      </c>
      <c r="AT39" s="50">
        <f>-21.6-(AQ39+AR39+AS39)</f>
        <v>-5.8000000000000007</v>
      </c>
      <c r="AU39" s="51">
        <f t="shared" si="22"/>
        <v>-21.6</v>
      </c>
      <c r="AV39" s="52"/>
      <c r="AW39" s="281">
        <v>-5.8</v>
      </c>
      <c r="AX39" s="50">
        <f>-13.7-(AW39)</f>
        <v>-7.8999999999999995</v>
      </c>
      <c r="AY39" s="50">
        <f>-21.5-(AW39+AX39)</f>
        <v>-7.8000000000000007</v>
      </c>
      <c r="AZ39" s="50">
        <f>-29.3-(AW39+AX39+AY39)</f>
        <v>-7.8000000000000007</v>
      </c>
      <c r="BA39" s="51">
        <f t="shared" si="23"/>
        <v>-29.3</v>
      </c>
      <c r="BB39" s="52"/>
      <c r="BC39" s="281">
        <v>-7.8</v>
      </c>
      <c r="BD39" s="50">
        <f>-26.3-(BC39)</f>
        <v>-18.5</v>
      </c>
      <c r="BE39" s="50">
        <f>-45.4-(BC39+BD39)</f>
        <v>-19.099999999999998</v>
      </c>
      <c r="BF39" s="50">
        <f>-83.2-BE39-BD39-BC39</f>
        <v>-37.800000000000011</v>
      </c>
      <c r="BG39" s="51">
        <f t="shared" si="24"/>
        <v>-83.200000000000017</v>
      </c>
      <c r="BH39" s="52"/>
      <c r="BI39" s="281">
        <v>-0.7</v>
      </c>
      <c r="BJ39" s="50">
        <f>-0.5-BI39</f>
        <v>0.19999999999999996</v>
      </c>
      <c r="BK39" s="50">
        <v>-0.3</v>
      </c>
      <c r="BL39" s="50">
        <v>-0.8</v>
      </c>
      <c r="BM39" s="51">
        <f t="shared" si="25"/>
        <v>-1.6</v>
      </c>
      <c r="BN39" s="52"/>
      <c r="BO39" s="281">
        <v>-0.2</v>
      </c>
      <c r="BP39" s="50">
        <f>-0.5-BO39</f>
        <v>-0.3</v>
      </c>
      <c r="BQ39" s="50">
        <f>-0.7-SUM(BO39:BP39)</f>
        <v>-0.19999999999999996</v>
      </c>
      <c r="BR39" s="50">
        <f>-0.8-SUM(BO39:BQ39)</f>
        <v>-0.10000000000000009</v>
      </c>
      <c r="BS39" s="53">
        <f t="shared" si="29"/>
        <v>-0.8</v>
      </c>
      <c r="BT39" s="54"/>
      <c r="BU39" s="1836">
        <v>-0.1</v>
      </c>
      <c r="BV39" s="1837">
        <f>-0.2-BU39</f>
        <v>-0.1</v>
      </c>
      <c r="BW39" s="1837">
        <f>-0.4-SUM(BU39:BV39)</f>
        <v>-0.2</v>
      </c>
      <c r="BX39" s="52">
        <f t="shared" si="30"/>
        <v>-0.19999999999999996</v>
      </c>
      <c r="BY39" s="2035">
        <v>-0.6</v>
      </c>
      <c r="BZ39" s="54"/>
      <c r="CA39" s="1836">
        <v>0</v>
      </c>
      <c r="CB39" s="1837">
        <f>0-CA39</f>
        <v>0</v>
      </c>
      <c r="CC39" s="1837">
        <f t="shared" ref="CC39:CC40" si="38">0-SUM(CA39:CB39)</f>
        <v>0</v>
      </c>
      <c r="CD39" s="52">
        <f t="shared" si="31"/>
        <v>-0.1</v>
      </c>
      <c r="CE39" s="2035">
        <v>-0.1</v>
      </c>
      <c r="CF39" s="54"/>
      <c r="CG39" s="1836">
        <f>-20-40</f>
        <v>-60</v>
      </c>
      <c r="CH39" s="1837">
        <f>-20-40-0.3-CG39</f>
        <v>-0.29999999999999716</v>
      </c>
      <c r="CI39" s="1837">
        <f>-20-65-SUM(CG39:CH39)</f>
        <v>-24.700000000000003</v>
      </c>
      <c r="CJ39" s="1837">
        <f>-130-20-SUM(CG39:CI39)</f>
        <v>-65</v>
      </c>
      <c r="CK39" s="53">
        <f t="shared" si="32"/>
        <v>-150</v>
      </c>
      <c r="CL39" s="54"/>
      <c r="CM39" s="284">
        <f>IF(Debt!BU66&gt;0,"0",Debt!BU66)</f>
        <v>0</v>
      </c>
      <c r="CN39" s="54">
        <f>IF(Debt!BV66&gt;0,"0",Debt!BV66)</f>
        <v>0</v>
      </c>
      <c r="CO39" s="54">
        <f>IF(Debt!BW66&gt;0,"0",Debt!BW66)</f>
        <v>0</v>
      </c>
      <c r="CP39" s="54">
        <f>IF(Debt!BX66&gt;0,"0",Debt!BX66)</f>
        <v>0</v>
      </c>
      <c r="CQ39" s="53">
        <f t="shared" si="33"/>
        <v>0</v>
      </c>
      <c r="CR39" s="54"/>
      <c r="CS39" s="284">
        <f>IF(Debt!CA66&gt;0,"0",Debt!CA66)</f>
        <v>0</v>
      </c>
      <c r="CT39" s="54">
        <f>IF(Debt!CB66&gt;0,"0",Debt!CB66)</f>
        <v>0</v>
      </c>
      <c r="CU39" s="54">
        <f>IF(Debt!CC66&gt;0,"0",Debt!CC66)</f>
        <v>0</v>
      </c>
      <c r="CV39" s="54">
        <f>IF(Debt!CD66&gt;0,"0",Debt!CD66)</f>
        <v>0</v>
      </c>
      <c r="CW39" s="53">
        <f t="shared" si="34"/>
        <v>0</v>
      </c>
      <c r="CX39" s="54"/>
      <c r="CY39" s="284">
        <f>IF(Debt!CG66&gt;0,"0",Debt!CG66)</f>
        <v>0</v>
      </c>
      <c r="CZ39" s="54">
        <f>IF(Debt!CH66&gt;0,"0",Debt!CH66)</f>
        <v>0</v>
      </c>
      <c r="DA39" s="54">
        <f>IF(Debt!CI66&gt;0,"0",Debt!CI66)</f>
        <v>0</v>
      </c>
      <c r="DB39" s="54">
        <f>IF(Debt!CJ66&gt;0,"0",Debt!CJ66)</f>
        <v>0</v>
      </c>
      <c r="DC39" s="53">
        <f t="shared" si="35"/>
        <v>0</v>
      </c>
      <c r="DD39" s="54"/>
      <c r="DE39" s="284">
        <f>IF(Debt!CM66&gt;0,"0",Debt!CM66)</f>
        <v>0</v>
      </c>
      <c r="DF39" s="54">
        <f>IF(Debt!CN66&gt;0,"0",Debt!CN66)</f>
        <v>0</v>
      </c>
      <c r="DG39" s="54">
        <f>IF(Debt!CO66&gt;0,"0",Debt!CO66)</f>
        <v>0</v>
      </c>
      <c r="DH39" s="54">
        <f>IF(Debt!CP66&gt;0,"0",Debt!CP66)</f>
        <v>0</v>
      </c>
      <c r="DI39" s="53">
        <f t="shared" si="36"/>
        <v>0</v>
      </c>
      <c r="DP39" s="225"/>
    </row>
    <row r="40" spans="1:120" ht="11.25" customHeight="1">
      <c r="A40" s="223" t="s">
        <v>226</v>
      </c>
      <c r="B40" s="54"/>
      <c r="C40" s="304">
        <v>0</v>
      </c>
      <c r="D40" s="54"/>
      <c r="E40" s="304">
        <v>0</v>
      </c>
      <c r="F40" s="54"/>
      <c r="G40" s="304">
        <v>0</v>
      </c>
      <c r="H40" s="54"/>
      <c r="I40" s="304">
        <v>0</v>
      </c>
      <c r="J40" s="54"/>
      <c r="K40" s="304">
        <v>0</v>
      </c>
      <c r="L40" s="54"/>
      <c r="M40" s="304">
        <v>0</v>
      </c>
      <c r="N40" s="54"/>
      <c r="O40" s="304">
        <v>0</v>
      </c>
      <c r="P40" s="54"/>
      <c r="Q40" s="304">
        <v>0</v>
      </c>
      <c r="R40" s="54"/>
      <c r="S40" s="310">
        <v>0</v>
      </c>
      <c r="T40" s="224">
        <v>0</v>
      </c>
      <c r="U40" s="224">
        <v>0</v>
      </c>
      <c r="V40" s="224">
        <v>0</v>
      </c>
      <c r="W40" s="53">
        <f t="shared" si="18"/>
        <v>0</v>
      </c>
      <c r="X40" s="54"/>
      <c r="Y40" s="310">
        <v>0</v>
      </c>
      <c r="Z40" s="224">
        <f>0-(Y40)</f>
        <v>0</v>
      </c>
      <c r="AA40" s="224">
        <f>0-(Y40+Z40)</f>
        <v>0</v>
      </c>
      <c r="AB40" s="224">
        <v>0</v>
      </c>
      <c r="AC40" s="53">
        <f t="shared" si="19"/>
        <v>0</v>
      </c>
      <c r="AD40" s="54"/>
      <c r="AE40" s="281">
        <v>-2.9</v>
      </c>
      <c r="AF40" s="50">
        <f>-2.9-(AE40)</f>
        <v>0</v>
      </c>
      <c r="AG40" s="50">
        <f>-2.9-(AE40+AF40)</f>
        <v>0</v>
      </c>
      <c r="AH40" s="50">
        <f>-2.9-(AE40+AF40+AG40)</f>
        <v>0</v>
      </c>
      <c r="AI40" s="51">
        <f t="shared" si="20"/>
        <v>-2.9</v>
      </c>
      <c r="AJ40" s="52"/>
      <c r="AK40" s="281">
        <v>0</v>
      </c>
      <c r="AL40" s="50">
        <f>0-(AK40)</f>
        <v>0</v>
      </c>
      <c r="AM40" s="50">
        <f>0-(AK40+AL40)</f>
        <v>0</v>
      </c>
      <c r="AN40" s="50">
        <f>0-(AK40+AL40+AM40)</f>
        <v>0</v>
      </c>
      <c r="AO40" s="51">
        <f t="shared" si="21"/>
        <v>0</v>
      </c>
      <c r="AP40" s="52"/>
      <c r="AQ40" s="281">
        <v>0</v>
      </c>
      <c r="AR40" s="50">
        <f>0-(AQ40)</f>
        <v>0</v>
      </c>
      <c r="AS40" s="50">
        <f>0-(AQ40+AR40)</f>
        <v>0</v>
      </c>
      <c r="AT40" s="50">
        <f>0-(AQ40+AR40+AS40)</f>
        <v>0</v>
      </c>
      <c r="AU40" s="51">
        <f t="shared" si="22"/>
        <v>0</v>
      </c>
      <c r="AV40" s="52"/>
      <c r="AW40" s="281">
        <v>0</v>
      </c>
      <c r="AX40" s="50">
        <f>-1.2-(AW40)</f>
        <v>-1.2</v>
      </c>
      <c r="AY40" s="50">
        <f>-1.3-(AW40+AX40)</f>
        <v>-0.10000000000000009</v>
      </c>
      <c r="AZ40" s="50">
        <f>-1.3-(AW40+AX40+AY40)</f>
        <v>0</v>
      </c>
      <c r="BA40" s="51">
        <f t="shared" si="23"/>
        <v>-1.3</v>
      </c>
      <c r="BB40" s="52"/>
      <c r="BC40" s="281">
        <v>-1.4</v>
      </c>
      <c r="BD40" s="50">
        <f>-1.4-(BC40)</f>
        <v>0</v>
      </c>
      <c r="BE40" s="50">
        <f>-1.4-(BC40+BD40)</f>
        <v>0</v>
      </c>
      <c r="BF40" s="50">
        <f>-1.4-BE40-BD40-BC40</f>
        <v>0</v>
      </c>
      <c r="BG40" s="51">
        <f t="shared" si="24"/>
        <v>-1.4</v>
      </c>
      <c r="BH40" s="52"/>
      <c r="BI40" s="281">
        <v>0</v>
      </c>
      <c r="BJ40" s="50">
        <f>0-BI40</f>
        <v>0</v>
      </c>
      <c r="BK40" s="50">
        <v>0</v>
      </c>
      <c r="BL40" s="50">
        <v>0</v>
      </c>
      <c r="BM40" s="51">
        <f t="shared" si="25"/>
        <v>0</v>
      </c>
      <c r="BN40" s="52"/>
      <c r="BO40" s="281">
        <v>0</v>
      </c>
      <c r="BP40" s="50">
        <f t="shared" si="26"/>
        <v>0</v>
      </c>
      <c r="BQ40" s="50">
        <f t="shared" si="27"/>
        <v>0</v>
      </c>
      <c r="BR40" s="50">
        <f t="shared" si="28"/>
        <v>0</v>
      </c>
      <c r="BS40" s="53">
        <f t="shared" si="29"/>
        <v>0</v>
      </c>
      <c r="BT40" s="54"/>
      <c r="BU40" s="1836">
        <v>0</v>
      </c>
      <c r="BV40" s="1837">
        <f>0-BU40</f>
        <v>0</v>
      </c>
      <c r="BW40" s="1837">
        <f>0-SUM(BU40:BV40)</f>
        <v>0</v>
      </c>
      <c r="BX40" s="52">
        <f t="shared" si="30"/>
        <v>0</v>
      </c>
      <c r="BY40" s="2035">
        <v>0</v>
      </c>
      <c r="BZ40" s="54"/>
      <c r="CA40" s="1836">
        <v>0</v>
      </c>
      <c r="CB40" s="1837">
        <f>0-CA40</f>
        <v>0</v>
      </c>
      <c r="CC40" s="1837">
        <f t="shared" si="38"/>
        <v>0</v>
      </c>
      <c r="CD40" s="52">
        <f t="shared" si="31"/>
        <v>0</v>
      </c>
      <c r="CE40" s="2035">
        <v>0</v>
      </c>
      <c r="CF40" s="54"/>
      <c r="CG40" s="1836">
        <v>0</v>
      </c>
      <c r="CH40" s="1837">
        <f t="shared" si="37"/>
        <v>0</v>
      </c>
      <c r="CI40" s="1837">
        <f t="shared" ref="CI40:CI44" si="39">0-SUM(CG40:CH40)</f>
        <v>0</v>
      </c>
      <c r="CJ40" s="1837">
        <f>0-SUM(CG40:CI40)</f>
        <v>0</v>
      </c>
      <c r="CK40" s="53">
        <f t="shared" si="32"/>
        <v>0</v>
      </c>
      <c r="CL40" s="54"/>
      <c r="CM40" s="598">
        <v>0</v>
      </c>
      <c r="CN40" s="603">
        <v>0</v>
      </c>
      <c r="CO40" s="603">
        <v>0</v>
      </c>
      <c r="CP40" s="603">
        <v>0</v>
      </c>
      <c r="CQ40" s="53">
        <f t="shared" si="33"/>
        <v>0</v>
      </c>
      <c r="CR40" s="54"/>
      <c r="CS40" s="598">
        <v>0</v>
      </c>
      <c r="CT40" s="603">
        <v>0</v>
      </c>
      <c r="CU40" s="603">
        <v>0</v>
      </c>
      <c r="CV40" s="603">
        <v>0</v>
      </c>
      <c r="CW40" s="53">
        <f t="shared" si="34"/>
        <v>0</v>
      </c>
      <c r="CX40" s="54"/>
      <c r="CY40" s="598">
        <v>0</v>
      </c>
      <c r="CZ40" s="603">
        <v>0</v>
      </c>
      <c r="DA40" s="603">
        <v>0</v>
      </c>
      <c r="DB40" s="603">
        <v>0</v>
      </c>
      <c r="DC40" s="53">
        <f t="shared" si="35"/>
        <v>0</v>
      </c>
      <c r="DD40" s="54"/>
      <c r="DE40" s="598">
        <v>0</v>
      </c>
      <c r="DF40" s="603">
        <v>0</v>
      </c>
      <c r="DG40" s="603">
        <v>0</v>
      </c>
      <c r="DH40" s="603">
        <v>0</v>
      </c>
      <c r="DI40" s="53">
        <f t="shared" si="36"/>
        <v>0</v>
      </c>
      <c r="DP40" s="225"/>
    </row>
    <row r="41" spans="1:120" ht="11.25" customHeight="1">
      <c r="A41" s="81" t="s">
        <v>227</v>
      </c>
      <c r="B41" s="54"/>
      <c r="C41" s="304">
        <v>5.75</v>
      </c>
      <c r="D41" s="54"/>
      <c r="E41" s="304">
        <v>0</v>
      </c>
      <c r="F41" s="54"/>
      <c r="G41" s="304">
        <v>109.688</v>
      </c>
      <c r="H41" s="54"/>
      <c r="I41" s="304">
        <v>0.22700000000000001</v>
      </c>
      <c r="J41" s="54"/>
      <c r="K41" s="304">
        <f>8.194-3.088</f>
        <v>5.1060000000000008</v>
      </c>
      <c r="L41" s="54"/>
      <c r="M41" s="304">
        <v>-1.2E-2</v>
      </c>
      <c r="N41" s="54"/>
      <c r="O41" s="304">
        <v>14.422000000000001</v>
      </c>
      <c r="P41" s="54"/>
      <c r="Q41" s="304">
        <v>0.377</v>
      </c>
      <c r="R41" s="54"/>
      <c r="S41" s="310">
        <v>8.9999999999999993E-3</v>
      </c>
      <c r="T41" s="224">
        <f>0.155-S41</f>
        <v>0.14599999999999999</v>
      </c>
      <c r="U41" s="224">
        <f>0.418-S41-T41</f>
        <v>0.26300000000000001</v>
      </c>
      <c r="V41" s="224">
        <f>1.583-S41-T41-U41</f>
        <v>1.165</v>
      </c>
      <c r="W41" s="53">
        <f t="shared" si="18"/>
        <v>1.5830000000000002</v>
      </c>
      <c r="X41" s="54"/>
      <c r="Y41" s="310">
        <f>17.962-0.006</f>
        <v>17.956</v>
      </c>
      <c r="Z41" s="224">
        <f>(18.417-0.092)-(Y41)</f>
        <v>0.36900000000000333</v>
      </c>
      <c r="AA41" s="224">
        <f>18.772-(Y41+Z41)</f>
        <v>0.44699999999999562</v>
      </c>
      <c r="AB41" s="224">
        <f>19.6-Y41-Z41-AA41</f>
        <v>0.82800000000000296</v>
      </c>
      <c r="AC41" s="53">
        <f t="shared" si="19"/>
        <v>19.600000000000001</v>
      </c>
      <c r="AD41" s="54"/>
      <c r="AE41" s="281">
        <v>0</v>
      </c>
      <c r="AF41" s="50">
        <f>1.4-(AE41)</f>
        <v>1.4</v>
      </c>
      <c r="AG41" s="50">
        <f>3.7-(AE41+AF41)</f>
        <v>2.3000000000000003</v>
      </c>
      <c r="AH41" s="50">
        <f>3.7-(AE41+AF41+AG41)</f>
        <v>0</v>
      </c>
      <c r="AI41" s="51">
        <f t="shared" si="20"/>
        <v>3.7</v>
      </c>
      <c r="AJ41" s="52"/>
      <c r="AK41" s="281">
        <v>0</v>
      </c>
      <c r="AL41" s="50">
        <f>0.1-(AK41)</f>
        <v>0.1</v>
      </c>
      <c r="AM41" s="50">
        <f>0.6-(AK41+AL41)</f>
        <v>0.5</v>
      </c>
      <c r="AN41" s="50">
        <f>1.5-(AK41+AL41+AM41)</f>
        <v>0.9</v>
      </c>
      <c r="AO41" s="51">
        <f t="shared" si="21"/>
        <v>1.5</v>
      </c>
      <c r="AP41" s="52"/>
      <c r="AQ41" s="281">
        <v>1.6</v>
      </c>
      <c r="AR41" s="50">
        <f>2.2-(AQ41)</f>
        <v>0.60000000000000009</v>
      </c>
      <c r="AS41" s="50">
        <f>2.7-(AQ41+AR41)</f>
        <v>0.5</v>
      </c>
      <c r="AT41" s="50">
        <f>6-(AQ41+AR41+AS41)</f>
        <v>3.3</v>
      </c>
      <c r="AU41" s="51">
        <f t="shared" si="22"/>
        <v>6</v>
      </c>
      <c r="AV41" s="52"/>
      <c r="AW41" s="281">
        <v>2.5</v>
      </c>
      <c r="AX41" s="50">
        <f>3-(AW41)</f>
        <v>0.5</v>
      </c>
      <c r="AY41" s="50">
        <f>3.1-(AW41+AX41)</f>
        <v>0.10000000000000009</v>
      </c>
      <c r="AZ41" s="50">
        <f>3.3-(AW41+AX41+AY41)</f>
        <v>0.19999999999999973</v>
      </c>
      <c r="BA41" s="51">
        <f t="shared" si="23"/>
        <v>3.3</v>
      </c>
      <c r="BB41" s="52"/>
      <c r="BC41" s="281">
        <v>1.8</v>
      </c>
      <c r="BD41" s="50">
        <f>3.4-(BC41)</f>
        <v>1.5999999999999999</v>
      </c>
      <c r="BE41" s="50">
        <f>3.6-(BC41+BD41)</f>
        <v>0.20000000000000018</v>
      </c>
      <c r="BF41" s="50">
        <f>4.5-BE41-BD41-BC41</f>
        <v>0.90000000000000013</v>
      </c>
      <c r="BG41" s="51">
        <f t="shared" si="24"/>
        <v>4.5</v>
      </c>
      <c r="BH41" s="52"/>
      <c r="BI41" s="281">
        <v>4.0999999999999996</v>
      </c>
      <c r="BJ41" s="50">
        <f>4.5-BI41</f>
        <v>0.40000000000000036</v>
      </c>
      <c r="BK41" s="50">
        <v>3.5</v>
      </c>
      <c r="BL41" s="50">
        <v>0.3</v>
      </c>
      <c r="BM41" s="51">
        <f t="shared" si="25"/>
        <v>8.3000000000000007</v>
      </c>
      <c r="BN41" s="52"/>
      <c r="BO41" s="281">
        <v>3</v>
      </c>
      <c r="BP41" s="50">
        <f>4.8-BO41</f>
        <v>1.7999999999999998</v>
      </c>
      <c r="BQ41" s="50">
        <f>7.3-SUM(BO41:BP41)</f>
        <v>2.5</v>
      </c>
      <c r="BR41" s="50">
        <f>7.9-SUM(BO41:BQ41)</f>
        <v>0.60000000000000053</v>
      </c>
      <c r="BS41" s="53">
        <f t="shared" si="29"/>
        <v>7.9</v>
      </c>
      <c r="BT41" s="54"/>
      <c r="BU41" s="1836">
        <v>3.3</v>
      </c>
      <c r="BV41" s="1837">
        <f>6.2-BU41</f>
        <v>2.9000000000000004</v>
      </c>
      <c r="BW41" s="1837">
        <f>7-SUM(BU41:BV41)</f>
        <v>0.79999999999999982</v>
      </c>
      <c r="BX41" s="52">
        <f t="shared" si="30"/>
        <v>3.8000000000000007</v>
      </c>
      <c r="BY41" s="2035">
        <f>10.8</f>
        <v>10.8</v>
      </c>
      <c r="BZ41" s="54"/>
      <c r="CA41" s="1836">
        <v>7.5</v>
      </c>
      <c r="CB41" s="1837">
        <f>9.6-CA41</f>
        <v>2.0999999999999996</v>
      </c>
      <c r="CC41" s="1837">
        <f>10.2-SUM(CA41:CB41)</f>
        <v>0.59999999999999964</v>
      </c>
      <c r="CD41" s="52">
        <f t="shared" si="31"/>
        <v>1.3000000000000007</v>
      </c>
      <c r="CE41" s="2035">
        <v>11.5</v>
      </c>
      <c r="CF41" s="54"/>
      <c r="CG41" s="1836">
        <v>1.2</v>
      </c>
      <c r="CH41" s="1837">
        <f>9.2-CG41</f>
        <v>7.9999999999999991</v>
      </c>
      <c r="CI41" s="1837">
        <f>15.3-SUM(CG41:CH41)</f>
        <v>6.1000000000000014</v>
      </c>
      <c r="CJ41" s="1837">
        <f>20-SUM(CG41:CI41)</f>
        <v>4.6999999999999993</v>
      </c>
      <c r="CK41" s="53">
        <f t="shared" si="32"/>
        <v>20</v>
      </c>
      <c r="CL41" s="54"/>
      <c r="CM41" s="284">
        <f t="shared" ref="CM41:CP41" si="40">CM80</f>
        <v>1.0128214051550002</v>
      </c>
      <c r="CN41" s="105">
        <f t="shared" si="40"/>
        <v>0.99256497705190017</v>
      </c>
      <c r="CO41" s="105">
        <f t="shared" si="40"/>
        <v>0.97271367751086224</v>
      </c>
      <c r="CP41" s="1985">
        <f t="shared" si="40"/>
        <v>0.95325940396064501</v>
      </c>
      <c r="CQ41" s="53">
        <f t="shared" ref="CQ41" si="41">SUM(CM41:CP41)</f>
        <v>3.9313594636784077</v>
      </c>
      <c r="CR41" s="54"/>
      <c r="CS41" s="284">
        <f t="shared" ref="CS41:CV41" si="42">CS80</f>
        <v>0.93419421588143203</v>
      </c>
      <c r="CT41" s="105">
        <f t="shared" si="42"/>
        <v>0.91551033156380346</v>
      </c>
      <c r="CU41" s="105">
        <f t="shared" si="42"/>
        <v>0.89720012493252732</v>
      </c>
      <c r="CV41" s="1985">
        <f t="shared" si="42"/>
        <v>0.87925612243387674</v>
      </c>
      <c r="CW41" s="53">
        <f t="shared" ref="CW41" si="43">SUM(CS41:CV41)</f>
        <v>3.6261607948116392</v>
      </c>
      <c r="CX41" s="54"/>
      <c r="CY41" s="284">
        <f t="shared" ref="CY41:DB41" si="44">CY80</f>
        <v>0.86167099998519914</v>
      </c>
      <c r="CZ41" s="105">
        <f t="shared" si="44"/>
        <v>0.84443757998549518</v>
      </c>
      <c r="DA41" s="105">
        <f t="shared" si="44"/>
        <v>0.82754882838578525</v>
      </c>
      <c r="DB41" s="1985">
        <f t="shared" si="44"/>
        <v>0.81099785181806949</v>
      </c>
      <c r="DC41" s="53">
        <f t="shared" ref="DC41:DC42" si="45">SUM(CY41:DB41)</f>
        <v>3.3446552601745489</v>
      </c>
      <c r="DD41" s="54"/>
      <c r="DE41" s="284">
        <f t="shared" ref="DE41:DH41" si="46">DE80</f>
        <v>0.79477789478170802</v>
      </c>
      <c r="DF41" s="105">
        <f t="shared" si="46"/>
        <v>0.77888233688607389</v>
      </c>
      <c r="DG41" s="105">
        <f t="shared" si="46"/>
        <v>0.76330469014835245</v>
      </c>
      <c r="DH41" s="1985">
        <f t="shared" si="46"/>
        <v>0.74803859634538539</v>
      </c>
      <c r="DI41" s="53">
        <f t="shared" ref="DI41:DI42" si="47">SUM(DE41:DH41)</f>
        <v>3.0850035181615199</v>
      </c>
      <c r="DP41" s="225"/>
    </row>
    <row r="42" spans="1:120" ht="11.25" customHeight="1">
      <c r="A42" s="81" t="s">
        <v>499</v>
      </c>
      <c r="B42" s="54"/>
      <c r="C42" s="304">
        <v>0</v>
      </c>
      <c r="D42" s="54"/>
      <c r="E42" s="304">
        <v>0</v>
      </c>
      <c r="F42" s="54"/>
      <c r="G42" s="304">
        <v>0</v>
      </c>
      <c r="H42" s="54"/>
      <c r="I42" s="304">
        <v>0</v>
      </c>
      <c r="J42" s="54"/>
      <c r="K42" s="304">
        <v>0</v>
      </c>
      <c r="L42" s="54"/>
      <c r="M42" s="304">
        <v>0</v>
      </c>
      <c r="N42" s="54"/>
      <c r="O42" s="304">
        <v>0</v>
      </c>
      <c r="P42" s="54"/>
      <c r="Q42" s="304">
        <v>0</v>
      </c>
      <c r="R42" s="54"/>
      <c r="S42" s="310">
        <v>0</v>
      </c>
      <c r="T42" s="224">
        <v>0</v>
      </c>
      <c r="U42" s="224">
        <v>0</v>
      </c>
      <c r="V42" s="224">
        <v>0</v>
      </c>
      <c r="W42" s="53">
        <f t="shared" ref="W42" si="48">SUM(S42:V42)</f>
        <v>0</v>
      </c>
      <c r="X42" s="54"/>
      <c r="Y42" s="310">
        <v>0</v>
      </c>
      <c r="Z42" s="224">
        <v>0</v>
      </c>
      <c r="AA42" s="224">
        <v>0</v>
      </c>
      <c r="AB42" s="224">
        <v>0</v>
      </c>
      <c r="AC42" s="53">
        <f t="shared" si="19"/>
        <v>0</v>
      </c>
      <c r="AD42" s="54"/>
      <c r="AE42" s="310">
        <v>0</v>
      </c>
      <c r="AF42" s="224">
        <v>0</v>
      </c>
      <c r="AG42" s="224">
        <v>0</v>
      </c>
      <c r="AH42" s="224">
        <v>0</v>
      </c>
      <c r="AI42" s="53">
        <f t="shared" ref="AI42" si="49">SUM(AE42:AH42)</f>
        <v>0</v>
      </c>
      <c r="AJ42" s="52"/>
      <c r="AK42" s="310">
        <v>0</v>
      </c>
      <c r="AL42" s="224">
        <v>0</v>
      </c>
      <c r="AM42" s="224">
        <v>0</v>
      </c>
      <c r="AN42" s="224">
        <v>0</v>
      </c>
      <c r="AO42" s="53">
        <f t="shared" ref="AO42" si="50">SUM(AK42:AN42)</f>
        <v>0</v>
      </c>
      <c r="AP42" s="52"/>
      <c r="AQ42" s="310">
        <v>0</v>
      </c>
      <c r="AR42" s="224">
        <v>0</v>
      </c>
      <c r="AS42" s="224">
        <v>0</v>
      </c>
      <c r="AT42" s="224">
        <v>0</v>
      </c>
      <c r="AU42" s="53">
        <f t="shared" ref="AU42" si="51">SUM(AQ42:AT42)</f>
        <v>0</v>
      </c>
      <c r="AV42" s="52"/>
      <c r="AW42" s="310">
        <v>0</v>
      </c>
      <c r="AX42" s="224">
        <v>0</v>
      </c>
      <c r="AY42" s="224">
        <v>0</v>
      </c>
      <c r="AZ42" s="224">
        <v>0</v>
      </c>
      <c r="BA42" s="53">
        <f t="shared" ref="BA42" si="52">SUM(AW42:AZ42)</f>
        <v>0</v>
      </c>
      <c r="BB42" s="52"/>
      <c r="BC42" s="310">
        <v>0</v>
      </c>
      <c r="BD42" s="224">
        <v>0</v>
      </c>
      <c r="BE42" s="224">
        <v>0</v>
      </c>
      <c r="BF42" s="224">
        <v>0</v>
      </c>
      <c r="BG42" s="53">
        <f t="shared" si="24"/>
        <v>0</v>
      </c>
      <c r="BH42" s="52"/>
      <c r="BI42" s="310">
        <v>0</v>
      </c>
      <c r="BJ42" s="224">
        <v>0</v>
      </c>
      <c r="BK42" s="224">
        <v>0</v>
      </c>
      <c r="BL42" s="224">
        <v>0</v>
      </c>
      <c r="BM42" s="53">
        <f t="shared" ref="BM42" si="53">SUM(BI42:BL42)</f>
        <v>0</v>
      </c>
      <c r="BN42" s="52"/>
      <c r="BO42" s="310">
        <v>0</v>
      </c>
      <c r="BP42" s="224">
        <v>0</v>
      </c>
      <c r="BQ42" s="224">
        <v>0</v>
      </c>
      <c r="BR42" s="224">
        <v>0</v>
      </c>
      <c r="BS42" s="53">
        <f t="shared" ref="BS42" si="54">SUM(BO42:BR42)</f>
        <v>0</v>
      </c>
      <c r="BT42" s="54"/>
      <c r="BU42" s="1844">
        <v>0</v>
      </c>
      <c r="BV42" s="1924">
        <f>-17.2-BU42</f>
        <v>-17.2</v>
      </c>
      <c r="BW42" s="1924">
        <f>-24.9-SUM(BU42:BV42)</f>
        <v>-7.6999999999999993</v>
      </c>
      <c r="BX42" s="54">
        <f t="shared" si="30"/>
        <v>-65.099999999999994</v>
      </c>
      <c r="BY42" s="2035">
        <v>-90</v>
      </c>
      <c r="BZ42" s="54"/>
      <c r="CA42" s="1844">
        <v>-78.900000000000006</v>
      </c>
      <c r="CB42" s="1913">
        <f>-117.6-CA42</f>
        <v>-38.699999999999989</v>
      </c>
      <c r="CC42" s="1913">
        <f>-143.5-SUM(CA42:CB42)</f>
        <v>-25.900000000000006</v>
      </c>
      <c r="CD42" s="54">
        <f t="shared" si="31"/>
        <v>-16.5</v>
      </c>
      <c r="CE42" s="2035">
        <v>-160</v>
      </c>
      <c r="CF42" s="54"/>
      <c r="CG42" s="1844">
        <v>0</v>
      </c>
      <c r="CH42" s="1913">
        <f>-41.7-CG42</f>
        <v>-41.7</v>
      </c>
      <c r="CI42" s="1913">
        <f>-129.7-SUM(CG42:CH42)</f>
        <v>-87.999999999999986</v>
      </c>
      <c r="CJ42" s="1924">
        <f>-152.2-SUM(CG42:CI42)</f>
        <v>-22.5</v>
      </c>
      <c r="CK42" s="53">
        <f t="shared" ref="CK42" si="55">SUM(CG42:CJ42)</f>
        <v>-152.19999999999999</v>
      </c>
      <c r="CL42" s="54"/>
      <c r="CM42" s="284">
        <f>CM84</f>
        <v>-35</v>
      </c>
      <c r="CN42" s="105">
        <f t="shared" ref="CN42:CP42" si="56">CN84</f>
        <v>-35</v>
      </c>
      <c r="CO42" s="105">
        <f t="shared" si="56"/>
        <v>-35</v>
      </c>
      <c r="CP42" s="1985">
        <f t="shared" si="56"/>
        <v>-35</v>
      </c>
      <c r="CQ42" s="53">
        <f t="shared" ref="CQ42" si="57">SUM(CM42:CP42)</f>
        <v>-140</v>
      </c>
      <c r="CR42" s="54"/>
      <c r="CS42" s="284">
        <f t="shared" ref="CS42:CV42" si="58">CS84</f>
        <v>-45</v>
      </c>
      <c r="CT42" s="105">
        <f t="shared" si="58"/>
        <v>-45</v>
      </c>
      <c r="CU42" s="105">
        <f t="shared" si="58"/>
        <v>-45</v>
      </c>
      <c r="CV42" s="1985">
        <f t="shared" si="58"/>
        <v>-45</v>
      </c>
      <c r="CW42" s="53">
        <f t="shared" ref="CW42" si="59">SUM(CS42:CV42)</f>
        <v>-180</v>
      </c>
      <c r="CX42" s="54"/>
      <c r="CY42" s="284">
        <f t="shared" ref="CY42:DB42" si="60">CY84</f>
        <v>-45</v>
      </c>
      <c r="CZ42" s="105">
        <f t="shared" si="60"/>
        <v>-45</v>
      </c>
      <c r="DA42" s="105">
        <f t="shared" si="60"/>
        <v>-45</v>
      </c>
      <c r="DB42" s="1985">
        <f t="shared" si="60"/>
        <v>-45</v>
      </c>
      <c r="DC42" s="53">
        <f t="shared" si="45"/>
        <v>-180</v>
      </c>
      <c r="DD42" s="54"/>
      <c r="DE42" s="284">
        <f t="shared" ref="DE42:DH42" si="61">DE84</f>
        <v>-45</v>
      </c>
      <c r="DF42" s="105">
        <f t="shared" si="61"/>
        <v>-45</v>
      </c>
      <c r="DG42" s="105">
        <f t="shared" si="61"/>
        <v>-45</v>
      </c>
      <c r="DH42" s="1985">
        <f t="shared" si="61"/>
        <v>-45</v>
      </c>
      <c r="DI42" s="53">
        <f t="shared" si="47"/>
        <v>-180</v>
      </c>
      <c r="DP42" s="225"/>
    </row>
    <row r="43" spans="1:120" ht="11.25" customHeight="1">
      <c r="A43" s="81" t="s">
        <v>228</v>
      </c>
      <c r="B43" s="54" t="s">
        <v>361</v>
      </c>
      <c r="C43" s="304">
        <v>0</v>
      </c>
      <c r="D43" s="54"/>
      <c r="E43" s="304">
        <v>0</v>
      </c>
      <c r="F43" s="54"/>
      <c r="G43" s="304">
        <v>0</v>
      </c>
      <c r="H43" s="54"/>
      <c r="I43" s="304">
        <v>0</v>
      </c>
      <c r="J43" s="54"/>
      <c r="K43" s="304">
        <v>0</v>
      </c>
      <c r="L43" s="54"/>
      <c r="M43" s="304">
        <v>0</v>
      </c>
      <c r="N43" s="54"/>
      <c r="O43" s="304">
        <v>0</v>
      </c>
      <c r="P43" s="54"/>
      <c r="Q43" s="304">
        <v>0</v>
      </c>
      <c r="R43" s="54"/>
      <c r="S43" s="310">
        <v>0</v>
      </c>
      <c r="T43" s="224">
        <v>0</v>
      </c>
      <c r="U43" s="224">
        <v>0</v>
      </c>
      <c r="V43" s="224">
        <v>0</v>
      </c>
      <c r="W43" s="53">
        <f t="shared" si="18"/>
        <v>0</v>
      </c>
      <c r="X43" s="54"/>
      <c r="Y43" s="310">
        <v>0</v>
      </c>
      <c r="Z43" s="224">
        <f>0-(Y43)</f>
        <v>0</v>
      </c>
      <c r="AA43" s="224">
        <f>0-(Y43+Z43)</f>
        <v>0</v>
      </c>
      <c r="AB43" s="224">
        <v>0</v>
      </c>
      <c r="AC43" s="53">
        <f t="shared" si="19"/>
        <v>0</v>
      </c>
      <c r="AD43" s="54"/>
      <c r="AE43" s="281">
        <v>0</v>
      </c>
      <c r="AF43" s="50">
        <f>0-(AE43)</f>
        <v>0</v>
      </c>
      <c r="AG43" s="50">
        <f>0-(AE43+AF43)</f>
        <v>0</v>
      </c>
      <c r="AH43" s="50">
        <f>0.5-(AE43+AF43+AG43)</f>
        <v>0.5</v>
      </c>
      <c r="AI43" s="51">
        <f t="shared" si="20"/>
        <v>0.5</v>
      </c>
      <c r="AJ43" s="52"/>
      <c r="AK43" s="281">
        <v>0</v>
      </c>
      <c r="AL43" s="50">
        <f>0-(AK43)</f>
        <v>0</v>
      </c>
      <c r="AM43" s="50">
        <f>0-(AK43+AL43)</f>
        <v>0</v>
      </c>
      <c r="AN43" s="50">
        <f>0.6-(AK43+AL43+AM43)</f>
        <v>0.6</v>
      </c>
      <c r="AO43" s="51">
        <f t="shared" si="21"/>
        <v>0.6</v>
      </c>
      <c r="AP43" s="52"/>
      <c r="AQ43" s="281">
        <v>0</v>
      </c>
      <c r="AR43" s="50">
        <f>0-(AQ43)</f>
        <v>0</v>
      </c>
      <c r="AS43" s="50">
        <f>0-(AQ43+AR43)</f>
        <v>0</v>
      </c>
      <c r="AT43" s="50">
        <f>0.3-(AQ43+AR43+AS43)</f>
        <v>0.3</v>
      </c>
      <c r="AU43" s="51">
        <f t="shared" si="22"/>
        <v>0.3</v>
      </c>
      <c r="AV43" s="52"/>
      <c r="AW43" s="281">
        <v>0</v>
      </c>
      <c r="AX43" s="50">
        <f>0-(AW43)</f>
        <v>0</v>
      </c>
      <c r="AY43" s="50">
        <f>0-(AW43+AX43)</f>
        <v>0</v>
      </c>
      <c r="AZ43" s="50">
        <f>0.2-(AW43+AX43+AY43)</f>
        <v>0.2</v>
      </c>
      <c r="BA43" s="51">
        <f t="shared" si="23"/>
        <v>0.2</v>
      </c>
      <c r="BB43" s="52"/>
      <c r="BC43" s="281">
        <v>0</v>
      </c>
      <c r="BD43" s="50">
        <f>0-(BC43)</f>
        <v>0</v>
      </c>
      <c r="BE43" s="50">
        <f>0-(BC43+BD43)</f>
        <v>0</v>
      </c>
      <c r="BF43" s="50">
        <f>0-BE43-BD43-BC43</f>
        <v>0</v>
      </c>
      <c r="BG43" s="51">
        <f t="shared" si="24"/>
        <v>0</v>
      </c>
      <c r="BH43" s="52"/>
      <c r="BI43" s="281">
        <v>0</v>
      </c>
      <c r="BJ43" s="50">
        <f>0-BI43</f>
        <v>0</v>
      </c>
      <c r="BK43" s="50">
        <v>0</v>
      </c>
      <c r="BL43" s="50">
        <v>0</v>
      </c>
      <c r="BM43" s="51">
        <f t="shared" si="25"/>
        <v>0</v>
      </c>
      <c r="BN43" s="52"/>
      <c r="BO43" s="281">
        <v>0</v>
      </c>
      <c r="BP43" s="50">
        <f t="shared" si="26"/>
        <v>0</v>
      </c>
      <c r="BQ43" s="50">
        <f t="shared" si="27"/>
        <v>0</v>
      </c>
      <c r="BR43" s="50">
        <f t="shared" si="28"/>
        <v>0</v>
      </c>
      <c r="BS43" s="53">
        <f t="shared" si="29"/>
        <v>0</v>
      </c>
      <c r="BT43" s="54"/>
      <c r="BU43" s="1836">
        <v>2.2000000000000002</v>
      </c>
      <c r="BV43" s="1837">
        <f>2.2-BU43</f>
        <v>0</v>
      </c>
      <c r="BW43" s="1837">
        <f>2.2-SUM(BU43:BV43)</f>
        <v>0</v>
      </c>
      <c r="BX43" s="52">
        <f t="shared" si="30"/>
        <v>-2.2000000000000002</v>
      </c>
      <c r="BY43" s="2035">
        <v>0</v>
      </c>
      <c r="BZ43" s="54"/>
      <c r="CA43" s="1836">
        <v>0</v>
      </c>
      <c r="CB43" s="1837">
        <f>0.3-CA43</f>
        <v>0.3</v>
      </c>
      <c r="CC43" s="1837">
        <f>0.3-SUM(CA43:CB43)</f>
        <v>0</v>
      </c>
      <c r="CD43" s="52">
        <f t="shared" si="31"/>
        <v>0.89999999999999991</v>
      </c>
      <c r="CE43" s="2035">
        <v>1.2</v>
      </c>
      <c r="CF43" s="54"/>
      <c r="CG43" s="1836">
        <v>0</v>
      </c>
      <c r="CH43" s="1837">
        <f t="shared" si="37"/>
        <v>0</v>
      </c>
      <c r="CI43" s="1837">
        <f t="shared" si="39"/>
        <v>0</v>
      </c>
      <c r="CJ43" s="1837">
        <f>0-SUM(CG43:CI43)</f>
        <v>0</v>
      </c>
      <c r="CK43" s="53">
        <f t="shared" si="32"/>
        <v>0</v>
      </c>
      <c r="CL43" s="54"/>
      <c r="CM43" s="598">
        <v>0</v>
      </c>
      <c r="CN43" s="603">
        <v>0</v>
      </c>
      <c r="CO43" s="603">
        <v>0</v>
      </c>
      <c r="CP43" s="603">
        <v>0</v>
      </c>
      <c r="CQ43" s="53">
        <f t="shared" si="33"/>
        <v>0</v>
      </c>
      <c r="CR43" s="54"/>
      <c r="CS43" s="598">
        <v>0</v>
      </c>
      <c r="CT43" s="603">
        <v>0</v>
      </c>
      <c r="CU43" s="603">
        <v>0</v>
      </c>
      <c r="CV43" s="603">
        <v>0</v>
      </c>
      <c r="CW43" s="53">
        <f t="shared" si="34"/>
        <v>0</v>
      </c>
      <c r="CX43" s="54"/>
      <c r="CY43" s="598">
        <v>0</v>
      </c>
      <c r="CZ43" s="603">
        <v>0</v>
      </c>
      <c r="DA43" s="603">
        <v>0</v>
      </c>
      <c r="DB43" s="603">
        <v>0</v>
      </c>
      <c r="DC43" s="53">
        <f t="shared" ref="DC43:DC46" si="62">SUM(CY43:DB43)</f>
        <v>0</v>
      </c>
      <c r="DD43" s="54"/>
      <c r="DE43" s="598">
        <v>0</v>
      </c>
      <c r="DF43" s="603">
        <v>0</v>
      </c>
      <c r="DG43" s="603">
        <v>0</v>
      </c>
      <c r="DH43" s="603">
        <v>0</v>
      </c>
      <c r="DI43" s="53">
        <f t="shared" ref="DI43:DI46" si="63">SUM(DE43:DH43)</f>
        <v>0</v>
      </c>
      <c r="DP43" s="225"/>
    </row>
    <row r="44" spans="1:120" ht="11.25" customHeight="1">
      <c r="A44" s="223" t="s">
        <v>229</v>
      </c>
      <c r="B44" s="54"/>
      <c r="C44" s="304">
        <v>0</v>
      </c>
      <c r="D44" s="54"/>
      <c r="E44" s="304">
        <v>0</v>
      </c>
      <c r="F44" s="54"/>
      <c r="G44" s="304">
        <v>0</v>
      </c>
      <c r="H44" s="54"/>
      <c r="I44" s="304">
        <v>0</v>
      </c>
      <c r="J44" s="54"/>
      <c r="K44" s="304">
        <v>0</v>
      </c>
      <c r="L44" s="54"/>
      <c r="M44" s="304">
        <v>0</v>
      </c>
      <c r="N44" s="54"/>
      <c r="O44" s="304">
        <v>0</v>
      </c>
      <c r="P44" s="54"/>
      <c r="Q44" s="304">
        <v>0</v>
      </c>
      <c r="R44" s="54"/>
      <c r="S44" s="310">
        <v>0</v>
      </c>
      <c r="T44" s="224">
        <v>0</v>
      </c>
      <c r="U44" s="224">
        <v>0</v>
      </c>
      <c r="V44" s="224">
        <v>0</v>
      </c>
      <c r="W44" s="53">
        <f t="shared" si="18"/>
        <v>0</v>
      </c>
      <c r="X44" s="54"/>
      <c r="Y44" s="310">
        <v>0</v>
      </c>
      <c r="Z44" s="224">
        <f>0-(Y44)</f>
        <v>0</v>
      </c>
      <c r="AA44" s="224">
        <f>0-(Y44+Z44)</f>
        <v>0</v>
      </c>
      <c r="AB44" s="224">
        <v>0</v>
      </c>
      <c r="AC44" s="53">
        <f t="shared" si="19"/>
        <v>0</v>
      </c>
      <c r="AD44" s="54"/>
      <c r="AE44" s="281">
        <v>0</v>
      </c>
      <c r="AF44" s="50">
        <f>0-(AE44)</f>
        <v>0</v>
      </c>
      <c r="AG44" s="50">
        <f>0-(AE44+AF44)</f>
        <v>0</v>
      </c>
      <c r="AH44" s="50">
        <f>1.4-(AE44+AF44+AG44)</f>
        <v>1.4</v>
      </c>
      <c r="AI44" s="51">
        <f t="shared" si="20"/>
        <v>1.4</v>
      </c>
      <c r="AJ44" s="52"/>
      <c r="AK44" s="281">
        <v>-0.2</v>
      </c>
      <c r="AL44" s="50">
        <f>-0.5-(AK44)</f>
        <v>-0.3</v>
      </c>
      <c r="AM44" s="50">
        <f>-0.7-(AK44+AL44)</f>
        <v>-0.19999999999999996</v>
      </c>
      <c r="AN44" s="50">
        <f>-1.5-(AK44+AL44+AM44)</f>
        <v>-0.8</v>
      </c>
      <c r="AO44" s="51">
        <f t="shared" si="21"/>
        <v>-1.5</v>
      </c>
      <c r="AP44" s="52"/>
      <c r="AQ44" s="281">
        <v>-1.7</v>
      </c>
      <c r="AR44" s="50">
        <f>-0.7-(AQ44)</f>
        <v>1</v>
      </c>
      <c r="AS44" s="50">
        <f>-0.8-(AQ44+AR44)</f>
        <v>-0.10000000000000009</v>
      </c>
      <c r="AT44" s="50">
        <f>-1.3-(AQ44+AR44+AS44)</f>
        <v>-0.5</v>
      </c>
      <c r="AU44" s="51">
        <f t="shared" si="22"/>
        <v>-1.3</v>
      </c>
      <c r="AV44" s="52"/>
      <c r="AW44" s="281">
        <v>-0.8</v>
      </c>
      <c r="AX44" s="50">
        <f>-1.4-(AW44)</f>
        <v>-0.59999999999999987</v>
      </c>
      <c r="AY44" s="50">
        <f>-0.4-(AW44+AX44)</f>
        <v>0.99999999999999989</v>
      </c>
      <c r="AZ44" s="50">
        <f>0.1-(AW44+AX44+AY44)</f>
        <v>0.5</v>
      </c>
      <c r="BA44" s="51">
        <f t="shared" si="23"/>
        <v>9.9999999999999978E-2</v>
      </c>
      <c r="BB44" s="52"/>
      <c r="BC44" s="281">
        <v>-1.3</v>
      </c>
      <c r="BD44" s="50">
        <f>-1.1-(BC44)</f>
        <v>0.19999999999999996</v>
      </c>
      <c r="BE44" s="50">
        <f>-1.5-(BC44+BD44)</f>
        <v>-0.39999999999999991</v>
      </c>
      <c r="BF44" s="50">
        <f>-1.4-BE44-BD44-BC44</f>
        <v>0.10000000000000009</v>
      </c>
      <c r="BG44" s="51">
        <f t="shared" si="24"/>
        <v>-1.4</v>
      </c>
      <c r="BH44" s="52"/>
      <c r="BI44" s="281">
        <v>-3.1</v>
      </c>
      <c r="BJ44" s="50">
        <f>-1.3-BI44</f>
        <v>1.8</v>
      </c>
      <c r="BK44" s="50">
        <v>0</v>
      </c>
      <c r="BL44" s="50">
        <v>2.2000000000000002</v>
      </c>
      <c r="BM44" s="51">
        <f t="shared" si="25"/>
        <v>0.90000000000000013</v>
      </c>
      <c r="BN44" s="52"/>
      <c r="BO44" s="281">
        <v>-0.3</v>
      </c>
      <c r="BP44" s="50">
        <f t="shared" si="26"/>
        <v>0.3</v>
      </c>
      <c r="BQ44" s="50">
        <f>0.7-SUM(BO44:BP44)</f>
        <v>0.7</v>
      </c>
      <c r="BR44" s="50">
        <f>0.7-SUM(BO44:BQ44)</f>
        <v>0</v>
      </c>
      <c r="BS44" s="53">
        <f t="shared" si="29"/>
        <v>0.7</v>
      </c>
      <c r="BT44" s="54"/>
      <c r="BU44" s="1836">
        <v>0.8</v>
      </c>
      <c r="BV44" s="1837">
        <f>1.4-BU44</f>
        <v>0.59999999999999987</v>
      </c>
      <c r="BW44" s="1837">
        <f>1.4-SUM(BU44:BV44)</f>
        <v>0</v>
      </c>
      <c r="BX44" s="52">
        <f t="shared" si="30"/>
        <v>0</v>
      </c>
      <c r="BY44" s="2035">
        <v>1.4</v>
      </c>
      <c r="BZ44" s="54"/>
      <c r="CA44" s="1836">
        <v>-0.1</v>
      </c>
      <c r="CB44" s="1837">
        <f>0.7-CA44</f>
        <v>0.79999999999999993</v>
      </c>
      <c r="CC44" s="1837">
        <f>0.6-SUM(CA44:CB44)</f>
        <v>-9.9999999999999978E-2</v>
      </c>
      <c r="CD44" s="52">
        <f t="shared" si="31"/>
        <v>9.9999999999999978E-2</v>
      </c>
      <c r="CE44" s="2035">
        <v>0.7</v>
      </c>
      <c r="CF44" s="54"/>
      <c r="CG44" s="1836">
        <v>0</v>
      </c>
      <c r="CH44" s="1837">
        <f t="shared" si="37"/>
        <v>0</v>
      </c>
      <c r="CI44" s="1837">
        <f t="shared" si="39"/>
        <v>0</v>
      </c>
      <c r="CJ44" s="1837">
        <f>0-SUM(CG44:CI44)</f>
        <v>0</v>
      </c>
      <c r="CK44" s="53">
        <f t="shared" si="32"/>
        <v>0</v>
      </c>
      <c r="CL44" s="54"/>
      <c r="CM44" s="598">
        <v>0</v>
      </c>
      <c r="CN44" s="603">
        <v>0</v>
      </c>
      <c r="CO44" s="603">
        <v>0</v>
      </c>
      <c r="CP44" s="603">
        <v>0</v>
      </c>
      <c r="CQ44" s="53">
        <f t="shared" si="33"/>
        <v>0</v>
      </c>
      <c r="CR44" s="54"/>
      <c r="CS44" s="598">
        <v>0</v>
      </c>
      <c r="CT44" s="603">
        <v>0</v>
      </c>
      <c r="CU44" s="603">
        <v>0</v>
      </c>
      <c r="CV44" s="603">
        <v>0</v>
      </c>
      <c r="CW44" s="53">
        <f t="shared" si="34"/>
        <v>0</v>
      </c>
      <c r="CX44" s="54"/>
      <c r="CY44" s="598">
        <v>0</v>
      </c>
      <c r="CZ44" s="603">
        <v>0</v>
      </c>
      <c r="DA44" s="603">
        <v>0</v>
      </c>
      <c r="DB44" s="603">
        <v>0</v>
      </c>
      <c r="DC44" s="53">
        <f t="shared" si="62"/>
        <v>0</v>
      </c>
      <c r="DD44" s="54"/>
      <c r="DE44" s="598">
        <v>0</v>
      </c>
      <c r="DF44" s="603">
        <v>0</v>
      </c>
      <c r="DG44" s="603">
        <v>0</v>
      </c>
      <c r="DH44" s="603">
        <v>0</v>
      </c>
      <c r="DI44" s="53">
        <f t="shared" si="63"/>
        <v>0</v>
      </c>
      <c r="DP44" s="225"/>
    </row>
    <row r="45" spans="1:120" ht="11.25" customHeight="1">
      <c r="A45" s="223" t="s">
        <v>230</v>
      </c>
      <c r="B45" s="54"/>
      <c r="C45" s="304">
        <v>0</v>
      </c>
      <c r="D45" s="54"/>
      <c r="E45" s="304">
        <v>0</v>
      </c>
      <c r="F45" s="54"/>
      <c r="G45" s="304">
        <v>0</v>
      </c>
      <c r="H45" s="54"/>
      <c r="I45" s="304">
        <v>0</v>
      </c>
      <c r="J45" s="54"/>
      <c r="K45" s="304">
        <v>-0.31900000000000001</v>
      </c>
      <c r="L45" s="54"/>
      <c r="M45" s="304">
        <v>0</v>
      </c>
      <c r="N45" s="54"/>
      <c r="O45" s="304">
        <v>0</v>
      </c>
      <c r="P45" s="54"/>
      <c r="Q45" s="304">
        <v>0</v>
      </c>
      <c r="R45" s="54"/>
      <c r="S45" s="310">
        <v>0</v>
      </c>
      <c r="T45" s="224">
        <v>0</v>
      </c>
      <c r="U45" s="224">
        <v>0</v>
      </c>
      <c r="V45" s="224">
        <v>0</v>
      </c>
      <c r="W45" s="53">
        <f t="shared" si="18"/>
        <v>0</v>
      </c>
      <c r="X45" s="54"/>
      <c r="Y45" s="310">
        <v>0</v>
      </c>
      <c r="Z45" s="224">
        <f>0-(Y45)</f>
        <v>0</v>
      </c>
      <c r="AA45" s="224">
        <f>0-(Y45+Z45)</f>
        <v>0</v>
      </c>
      <c r="AB45" s="224">
        <v>0</v>
      </c>
      <c r="AC45" s="53">
        <f t="shared" si="19"/>
        <v>0</v>
      </c>
      <c r="AD45" s="54"/>
      <c r="AE45" s="281">
        <v>0</v>
      </c>
      <c r="AF45" s="50">
        <f>0-(AE45)</f>
        <v>0</v>
      </c>
      <c r="AG45" s="50">
        <f>0-(AE45+AF45)</f>
        <v>0</v>
      </c>
      <c r="AH45" s="50">
        <f>0-(AE45+AF45+AG45)</f>
        <v>0</v>
      </c>
      <c r="AI45" s="51">
        <f t="shared" si="20"/>
        <v>0</v>
      </c>
      <c r="AJ45" s="52"/>
      <c r="AK45" s="281">
        <v>0</v>
      </c>
      <c r="AL45" s="50">
        <f>0-(AK45)</f>
        <v>0</v>
      </c>
      <c r="AM45" s="50">
        <f>0-(AK45+AL45)</f>
        <v>0</v>
      </c>
      <c r="AN45" s="50">
        <f>0-(AK45+AL45+AM45)</f>
        <v>0</v>
      </c>
      <c r="AO45" s="51">
        <f t="shared" si="21"/>
        <v>0</v>
      </c>
      <c r="AP45" s="52"/>
      <c r="AQ45" s="281">
        <v>0</v>
      </c>
      <c r="AR45" s="50">
        <f>-0.1-(AQ45)</f>
        <v>-0.1</v>
      </c>
      <c r="AS45" s="50">
        <f>-0.1-(AQ45+AR45)</f>
        <v>0</v>
      </c>
      <c r="AT45" s="50">
        <f>-0.1-(AQ45+AR45+AS45)</f>
        <v>0</v>
      </c>
      <c r="AU45" s="51">
        <f t="shared" si="22"/>
        <v>-0.1</v>
      </c>
      <c r="AV45" s="52"/>
      <c r="AW45" s="281">
        <v>0</v>
      </c>
      <c r="AX45" s="50">
        <f>-0.4-(AW45)</f>
        <v>-0.4</v>
      </c>
      <c r="AY45" s="50">
        <f>-0.4-(AW45+AX45)</f>
        <v>0</v>
      </c>
      <c r="AZ45" s="50">
        <f>-0.4-(AW45+AX45+AY45)</f>
        <v>0</v>
      </c>
      <c r="BA45" s="51">
        <f t="shared" si="23"/>
        <v>-0.4</v>
      </c>
      <c r="BB45" s="52"/>
      <c r="BC45" s="281">
        <v>0</v>
      </c>
      <c r="BD45" s="50">
        <f>-0.6-(BC45)</f>
        <v>-0.6</v>
      </c>
      <c r="BE45" s="50">
        <f>-0.6-(BC45+BD45)</f>
        <v>0</v>
      </c>
      <c r="BF45" s="50">
        <f>-0.6-BE45-BD45-BC45</f>
        <v>0</v>
      </c>
      <c r="BG45" s="51">
        <f t="shared" si="24"/>
        <v>-0.6</v>
      </c>
      <c r="BH45" s="52"/>
      <c r="BI45" s="281">
        <v>0</v>
      </c>
      <c r="BJ45" s="50">
        <f>0-BI45</f>
        <v>0</v>
      </c>
      <c r="BK45" s="50">
        <v>-0.6</v>
      </c>
      <c r="BL45" s="50">
        <v>0</v>
      </c>
      <c r="BM45" s="51">
        <f t="shared" si="25"/>
        <v>-0.6</v>
      </c>
      <c r="BN45" s="52"/>
      <c r="BO45" s="281">
        <v>0</v>
      </c>
      <c r="BP45" s="50">
        <f>-1.1-BO45</f>
        <v>-1.1000000000000001</v>
      </c>
      <c r="BQ45" s="50">
        <f>-1.1-SUM(BO45:BP45)</f>
        <v>0</v>
      </c>
      <c r="BR45" s="50">
        <f>-1.1-SUM(BO45:BQ45)</f>
        <v>0</v>
      </c>
      <c r="BS45" s="53">
        <f t="shared" si="29"/>
        <v>-1.1000000000000001</v>
      </c>
      <c r="BT45" s="54"/>
      <c r="BU45" s="1836">
        <v>0</v>
      </c>
      <c r="BV45" s="1837">
        <f>-0.5-BU45</f>
        <v>-0.5</v>
      </c>
      <c r="BW45" s="1837">
        <f>-0.5-SUM(BU45:BV45)</f>
        <v>0</v>
      </c>
      <c r="BX45" s="52">
        <f t="shared" si="30"/>
        <v>-0.8</v>
      </c>
      <c r="BY45" s="2035">
        <v>-1.3</v>
      </c>
      <c r="BZ45" s="54"/>
      <c r="CA45" s="1836">
        <v>0</v>
      </c>
      <c r="CB45" s="1837">
        <f>0-CA45</f>
        <v>0</v>
      </c>
      <c r="CC45" s="1837">
        <f>-0.7-SUM(CA45:CB45)</f>
        <v>-0.7</v>
      </c>
      <c r="CD45" s="52">
        <f t="shared" si="31"/>
        <v>0</v>
      </c>
      <c r="CE45" s="2035">
        <v>-0.7</v>
      </c>
      <c r="CF45" s="54"/>
      <c r="CG45" s="1836">
        <v>0</v>
      </c>
      <c r="CH45" s="1837">
        <f>-0.5-CG45</f>
        <v>-0.5</v>
      </c>
      <c r="CI45" s="1837">
        <f>-0.5-SUM(CG45:CH45)</f>
        <v>0</v>
      </c>
      <c r="CJ45" s="1837">
        <f>-1-SUM(CG45:CI45)</f>
        <v>-0.5</v>
      </c>
      <c r="CK45" s="53">
        <f t="shared" si="32"/>
        <v>-1</v>
      </c>
      <c r="CL45" s="54"/>
      <c r="CM45" s="598">
        <v>0</v>
      </c>
      <c r="CN45" s="603">
        <v>0</v>
      </c>
      <c r="CO45" s="603">
        <v>0</v>
      </c>
      <c r="CP45" s="603">
        <v>0</v>
      </c>
      <c r="CQ45" s="53">
        <f t="shared" si="33"/>
        <v>0</v>
      </c>
      <c r="CR45" s="54"/>
      <c r="CS45" s="598">
        <v>0</v>
      </c>
      <c r="CT45" s="603">
        <v>0</v>
      </c>
      <c r="CU45" s="603">
        <v>0</v>
      </c>
      <c r="CV45" s="603">
        <v>0</v>
      </c>
      <c r="CW45" s="53">
        <f t="shared" si="34"/>
        <v>0</v>
      </c>
      <c r="CX45" s="54"/>
      <c r="CY45" s="598">
        <v>0</v>
      </c>
      <c r="CZ45" s="603">
        <v>0</v>
      </c>
      <c r="DA45" s="603">
        <v>0</v>
      </c>
      <c r="DB45" s="603">
        <v>0</v>
      </c>
      <c r="DC45" s="53">
        <f t="shared" si="62"/>
        <v>0</v>
      </c>
      <c r="DD45" s="54"/>
      <c r="DE45" s="598">
        <v>0</v>
      </c>
      <c r="DF45" s="603">
        <v>0</v>
      </c>
      <c r="DG45" s="603">
        <v>0</v>
      </c>
      <c r="DH45" s="603">
        <v>0</v>
      </c>
      <c r="DI45" s="53">
        <f t="shared" si="63"/>
        <v>0</v>
      </c>
      <c r="DP45" s="225"/>
    </row>
    <row r="46" spans="1:120" ht="11.25" customHeight="1">
      <c r="A46" s="509" t="s">
        <v>56</v>
      </c>
      <c r="B46" s="105"/>
      <c r="C46" s="304">
        <f>-5.435-8.617</f>
        <v>-14.052</v>
      </c>
      <c r="D46" s="105"/>
      <c r="E46" s="304">
        <v>0.44400000000000001</v>
      </c>
      <c r="F46" s="105"/>
      <c r="G46" s="304">
        <v>-2.5230000000000001</v>
      </c>
      <c r="H46" s="105"/>
      <c r="I46" s="304">
        <v>2.2229999999999999</v>
      </c>
      <c r="J46" s="105"/>
      <c r="K46" s="304">
        <v>0.55200000000000005</v>
      </c>
      <c r="L46" s="105"/>
      <c r="M46" s="304">
        <v>-10.786</v>
      </c>
      <c r="N46" s="105"/>
      <c r="O46" s="304">
        <v>0</v>
      </c>
      <c r="P46" s="105"/>
      <c r="Q46" s="304">
        <v>0</v>
      </c>
      <c r="R46" s="105"/>
      <c r="S46" s="310">
        <v>0</v>
      </c>
      <c r="T46" s="140">
        <v>0</v>
      </c>
      <c r="U46" s="140">
        <f>-74.021-S46-T46</f>
        <v>-74.021000000000001</v>
      </c>
      <c r="V46" s="140">
        <f>-74.021-S46-T46-U46</f>
        <v>0</v>
      </c>
      <c r="W46" s="53">
        <f t="shared" si="18"/>
        <v>-74.021000000000001</v>
      </c>
      <c r="X46" s="105"/>
      <c r="Y46" s="310">
        <v>0</v>
      </c>
      <c r="Z46" s="140">
        <f>-37.641-(Y46)</f>
        <v>-37.640999999999998</v>
      </c>
      <c r="AA46" s="140">
        <f>-42.641-(Y46+Z46)</f>
        <v>-5</v>
      </c>
      <c r="AB46" s="140">
        <f>-85.4-Y46-Z46-AA46</f>
        <v>-42.759000000000007</v>
      </c>
      <c r="AC46" s="53">
        <f t="shared" si="19"/>
        <v>-85.4</v>
      </c>
      <c r="AD46" s="105"/>
      <c r="AE46" s="281">
        <f>-386-23.4</f>
        <v>-409.4</v>
      </c>
      <c r="AF46" s="199">
        <f>(-386-23.4)-(AE46)</f>
        <v>0</v>
      </c>
      <c r="AG46" s="199">
        <f>(-386-23.4)-(AE46+AF46)</f>
        <v>0</v>
      </c>
      <c r="AH46" s="199">
        <f>(-386-23.4)-(AE46+AF46+AG46)</f>
        <v>0</v>
      </c>
      <c r="AI46" s="51">
        <f t="shared" si="20"/>
        <v>-409.4</v>
      </c>
      <c r="AJ46" s="181"/>
      <c r="AK46" s="281">
        <v>0</v>
      </c>
      <c r="AL46" s="199">
        <v>0</v>
      </c>
      <c r="AM46" s="199">
        <v>0</v>
      </c>
      <c r="AN46" s="199">
        <v>0</v>
      </c>
      <c r="AO46" s="51">
        <f t="shared" si="21"/>
        <v>0</v>
      </c>
      <c r="AP46" s="181"/>
      <c r="AQ46" s="281">
        <v>0</v>
      </c>
      <c r="AR46" s="199">
        <v>0</v>
      </c>
      <c r="AS46" s="199">
        <v>0</v>
      </c>
      <c r="AT46" s="199">
        <v>0</v>
      </c>
      <c r="AU46" s="51">
        <f t="shared" si="22"/>
        <v>0</v>
      </c>
      <c r="AV46" s="181"/>
      <c r="AW46" s="281">
        <v>0</v>
      </c>
      <c r="AX46" s="199">
        <v>0</v>
      </c>
      <c r="AY46" s="199">
        <v>0</v>
      </c>
      <c r="AZ46" s="199">
        <v>0</v>
      </c>
      <c r="BA46" s="51">
        <f t="shared" si="23"/>
        <v>0</v>
      </c>
      <c r="BB46" s="181"/>
      <c r="BC46" s="281">
        <v>0</v>
      </c>
      <c r="BD46" s="199">
        <v>0</v>
      </c>
      <c r="BE46" s="199">
        <f>0-(BC46+BD46)</f>
        <v>0</v>
      </c>
      <c r="BF46" s="199">
        <f>0-BE46-BD46-BC46</f>
        <v>0</v>
      </c>
      <c r="BG46" s="51">
        <f t="shared" si="24"/>
        <v>0</v>
      </c>
      <c r="BH46" s="181"/>
      <c r="BI46" s="281">
        <v>0</v>
      </c>
      <c r="BJ46" s="199">
        <f>0-BI46</f>
        <v>0</v>
      </c>
      <c r="BK46" s="199">
        <v>0</v>
      </c>
      <c r="BL46" s="199">
        <v>0</v>
      </c>
      <c r="BM46" s="51">
        <f t="shared" si="25"/>
        <v>0</v>
      </c>
      <c r="BN46" s="181"/>
      <c r="BO46" s="281">
        <v>0</v>
      </c>
      <c r="BP46" s="199">
        <f t="shared" si="26"/>
        <v>0</v>
      </c>
      <c r="BQ46" s="199">
        <f t="shared" si="27"/>
        <v>0</v>
      </c>
      <c r="BR46" s="199">
        <f t="shared" si="28"/>
        <v>0</v>
      </c>
      <c r="BS46" s="53">
        <f t="shared" si="29"/>
        <v>0</v>
      </c>
      <c r="BT46" s="105"/>
      <c r="BU46" s="1844">
        <v>-2.1</v>
      </c>
      <c r="BV46" s="1913">
        <f>-3-BU46</f>
        <v>-0.89999999999999991</v>
      </c>
      <c r="BW46" s="1913">
        <f>-3-SUM(BU46:BV46)</f>
        <v>0</v>
      </c>
      <c r="BX46" s="52">
        <f t="shared" si="30"/>
        <v>2.2000000000000002</v>
      </c>
      <c r="BY46" s="2035">
        <f>-3+2.2</f>
        <v>-0.79999999999999982</v>
      </c>
      <c r="BZ46" s="105"/>
      <c r="CA46" s="1844">
        <v>0</v>
      </c>
      <c r="CB46" s="1913">
        <v>0</v>
      </c>
      <c r="CC46" s="1913">
        <v>0</v>
      </c>
      <c r="CD46" s="52">
        <f t="shared" si="31"/>
        <v>0</v>
      </c>
      <c r="CE46" s="2035">
        <v>0</v>
      </c>
      <c r="CF46" s="105"/>
      <c r="CG46" s="1844">
        <v>0</v>
      </c>
      <c r="CH46" s="1913">
        <f>-3.5-CG46</f>
        <v>-3.5</v>
      </c>
      <c r="CI46" s="1913">
        <f>-3.5-SUM(CG46:CH46)</f>
        <v>0</v>
      </c>
      <c r="CJ46" s="1837">
        <f>-3.5-SUM(CG46:CI46)</f>
        <v>0</v>
      </c>
      <c r="CK46" s="53">
        <f t="shared" si="32"/>
        <v>-3.5</v>
      </c>
      <c r="CL46" s="105"/>
      <c r="CM46" s="1980">
        <v>0</v>
      </c>
      <c r="CN46" s="1979">
        <v>0</v>
      </c>
      <c r="CO46" s="1979">
        <v>0</v>
      </c>
      <c r="CP46" s="1979">
        <v>0</v>
      </c>
      <c r="CQ46" s="53">
        <f t="shared" si="33"/>
        <v>0</v>
      </c>
      <c r="CR46" s="105"/>
      <c r="CS46" s="1980">
        <v>0</v>
      </c>
      <c r="CT46" s="1979">
        <v>0</v>
      </c>
      <c r="CU46" s="1979">
        <v>0</v>
      </c>
      <c r="CV46" s="1979">
        <v>0</v>
      </c>
      <c r="CW46" s="53">
        <f t="shared" si="34"/>
        <v>0</v>
      </c>
      <c r="CX46" s="105"/>
      <c r="CY46" s="1980">
        <v>0</v>
      </c>
      <c r="CZ46" s="1979">
        <v>0</v>
      </c>
      <c r="DA46" s="1979">
        <v>0</v>
      </c>
      <c r="DB46" s="1979">
        <v>0</v>
      </c>
      <c r="DC46" s="53">
        <f t="shared" si="62"/>
        <v>0</v>
      </c>
      <c r="DD46" s="105"/>
      <c r="DE46" s="1980">
        <v>0</v>
      </c>
      <c r="DF46" s="1979">
        <v>0</v>
      </c>
      <c r="DG46" s="1979">
        <v>0</v>
      </c>
      <c r="DH46" s="1979">
        <v>0</v>
      </c>
      <c r="DI46" s="53">
        <f t="shared" si="63"/>
        <v>0</v>
      </c>
      <c r="DP46" s="225"/>
    </row>
    <row r="47" spans="1:120" ht="11.25" customHeight="1">
      <c r="A47" s="1014" t="s">
        <v>180</v>
      </c>
      <c r="B47" s="982" t="s">
        <v>361</v>
      </c>
      <c r="C47" s="1013">
        <f>SUM(C36:C46)</f>
        <v>8.4649999999999999</v>
      </c>
      <c r="D47" s="982"/>
      <c r="E47" s="1013">
        <f>SUM(E36:E46)</f>
        <v>0.35700000000000004</v>
      </c>
      <c r="F47" s="982"/>
      <c r="G47" s="1013">
        <f>SUM(G36:G46)</f>
        <v>104.84200000000001</v>
      </c>
      <c r="H47" s="982"/>
      <c r="I47" s="1013">
        <f>SUM(I36:I46)</f>
        <v>6.3949999999999996</v>
      </c>
      <c r="J47" s="982"/>
      <c r="K47" s="1013">
        <f>SUM(K36:K46)</f>
        <v>18.990000000000002</v>
      </c>
      <c r="L47" s="982"/>
      <c r="M47" s="1013">
        <f>SUM(M36:M46)</f>
        <v>-8.1409999999999982</v>
      </c>
      <c r="N47" s="982"/>
      <c r="O47" s="1013">
        <f>SUM(O36:O46)</f>
        <v>6.774</v>
      </c>
      <c r="P47" s="982"/>
      <c r="Q47" s="1013">
        <f>SUM(Q36:Q46)</f>
        <v>-10.975</v>
      </c>
      <c r="R47" s="982"/>
      <c r="S47" s="984">
        <f>SUM(S36:S46)</f>
        <v>1.1299999999999999</v>
      </c>
      <c r="T47" s="982">
        <f>SUM(T36:T46)</f>
        <v>-1.1300000000000001</v>
      </c>
      <c r="U47" s="982">
        <f>SUM(U36:U46)</f>
        <v>-53.183</v>
      </c>
      <c r="V47" s="982">
        <f>SUM(V36:V46)</f>
        <v>-11.202000000000002</v>
      </c>
      <c r="W47" s="981">
        <f>SUM(W36:W46)</f>
        <v>-64.385000000000005</v>
      </c>
      <c r="X47" s="982"/>
      <c r="Y47" s="984">
        <f>SUM(Y36:Y46)</f>
        <v>5.5629999999999988</v>
      </c>
      <c r="Z47" s="982">
        <f>SUM(Z36:Z46)</f>
        <v>-40.055999999999997</v>
      </c>
      <c r="AA47" s="982">
        <f>SUM(AA36:AA46)</f>
        <v>-1.0660000000000043</v>
      </c>
      <c r="AB47" s="982">
        <f>SUM(AB36:AB46)</f>
        <v>-47.741000000000007</v>
      </c>
      <c r="AC47" s="981">
        <f>SUM(AC36:AC46)</f>
        <v>-83.300000000000011</v>
      </c>
      <c r="AD47" s="982"/>
      <c r="AE47" s="983">
        <f>SUM(AE36:AE46)</f>
        <v>-53.399999999999977</v>
      </c>
      <c r="AF47" s="977">
        <f>SUM(AF36:AF46)</f>
        <v>-164.1</v>
      </c>
      <c r="AG47" s="977">
        <f>SUM(AG36:AG46)</f>
        <v>-18.399999999999999</v>
      </c>
      <c r="AH47" s="977">
        <f>SUM(AH36:AH46)</f>
        <v>2.19999999999999</v>
      </c>
      <c r="AI47" s="978">
        <f>SUM(AI36:AI46)</f>
        <v>-233.7</v>
      </c>
      <c r="AJ47" s="977"/>
      <c r="AK47" s="983">
        <f>SUM(AK36:AK46)</f>
        <v>-17.8</v>
      </c>
      <c r="AL47" s="977">
        <f>SUM(AL36:AL46)</f>
        <v>-34.29999999999999</v>
      </c>
      <c r="AM47" s="977">
        <f>SUM(AM36:AM46)</f>
        <v>-19.600000000000005</v>
      </c>
      <c r="AN47" s="977">
        <f>SUM(AN36:AN46)</f>
        <v>-12.399999999999997</v>
      </c>
      <c r="AO47" s="978">
        <f>SUM(AO36:AO46)</f>
        <v>-84.1</v>
      </c>
      <c r="AP47" s="977"/>
      <c r="AQ47" s="983">
        <f>SUM(AQ36:AQ46)</f>
        <v>-4.2999999999999989</v>
      </c>
      <c r="AR47" s="977">
        <f>SUM(AR36:AR46)</f>
        <v>-4.5999999999999996</v>
      </c>
      <c r="AS47" s="977">
        <f>SUM(AS36:AS46)</f>
        <v>-5.6</v>
      </c>
      <c r="AT47" s="977">
        <f>SUM(AT36:AT46)</f>
        <v>182.8</v>
      </c>
      <c r="AU47" s="978">
        <f>SUM(AU36:AU46)</f>
        <v>168.3</v>
      </c>
      <c r="AV47" s="977"/>
      <c r="AW47" s="983">
        <f>SUM(AW36:AW46)</f>
        <v>-4.0999999999999996</v>
      </c>
      <c r="AX47" s="977">
        <f>SUM(AX36:AX46)</f>
        <v>-9.8999999999999986</v>
      </c>
      <c r="AY47" s="977">
        <f>SUM(AY36:AY46)</f>
        <v>24.5</v>
      </c>
      <c r="AZ47" s="977">
        <f>SUM(AZ36:AZ46)</f>
        <v>-7.200000000000002</v>
      </c>
      <c r="BA47" s="978">
        <f>SUM(BA36:BA46)</f>
        <v>3.2999999999999989</v>
      </c>
      <c r="BB47" s="977"/>
      <c r="BC47" s="983">
        <f>SUM(BC36:BC46)</f>
        <v>14.799999999999997</v>
      </c>
      <c r="BD47" s="977">
        <f>SUM(BD36:BD46)</f>
        <v>2.6999999999999997</v>
      </c>
      <c r="BE47" s="977">
        <f>SUM(BE36:BE46)</f>
        <v>15.700000000000001</v>
      </c>
      <c r="BF47" s="977">
        <f>SUM(BF36:BF46)</f>
        <v>1.1999999999999889</v>
      </c>
      <c r="BG47" s="978">
        <f>SUM(BG36:BG46)</f>
        <v>34.399999999999984</v>
      </c>
      <c r="BH47" s="977"/>
      <c r="BI47" s="983">
        <f>SUM(BI36:BI46)</f>
        <v>0.29999999999999938</v>
      </c>
      <c r="BJ47" s="977">
        <f>SUM(BJ36:BJ46)</f>
        <v>2.4000000000000004</v>
      </c>
      <c r="BK47" s="977">
        <f>SUM(BK36:BK46)</f>
        <v>22.099999999999998</v>
      </c>
      <c r="BL47" s="977">
        <f>SUM(BL36:BL46)</f>
        <v>1.7000000000000002</v>
      </c>
      <c r="BM47" s="978">
        <f>SUM(BM36:BM46)</f>
        <v>26.499999999999996</v>
      </c>
      <c r="BN47" s="977"/>
      <c r="BO47" s="983">
        <f>SUM(BO36:BO46)</f>
        <v>2.5</v>
      </c>
      <c r="BP47" s="977">
        <f>SUM(BP36:BP46)</f>
        <v>0.69999999999999973</v>
      </c>
      <c r="BQ47" s="977">
        <f>SUM(BQ36:BQ46)</f>
        <v>3</v>
      </c>
      <c r="BR47" s="982">
        <f>SUM(BR36:BR46)</f>
        <v>0.50000000000000044</v>
      </c>
      <c r="BS47" s="981">
        <f>SUM(BS36:BS46)</f>
        <v>6.7000000000000011</v>
      </c>
      <c r="BT47" s="982"/>
      <c r="BU47" s="984">
        <f>SUM(BU36:BU46)</f>
        <v>4.0999999999999996</v>
      </c>
      <c r="BV47" s="977">
        <f>SUM(BV36:BV46)</f>
        <v>-5.1999999999999993</v>
      </c>
      <c r="BW47" s="977">
        <f>SUM(BW36:BW46)</f>
        <v>-9.9999999999999645E-2</v>
      </c>
      <c r="BX47" s="982">
        <f>SUM(BX36:BX46)</f>
        <v>-166.8</v>
      </c>
      <c r="BY47" s="981">
        <f>SUM(BY36:BY46)</f>
        <v>-168.00000000000003</v>
      </c>
      <c r="BZ47" s="982"/>
      <c r="CA47" s="984">
        <f>SUM(CA36:CA46)</f>
        <v>-41.600000000000009</v>
      </c>
      <c r="CB47" s="977">
        <f>SUM(CB36:CB46)</f>
        <v>-1.19999999999999</v>
      </c>
      <c r="CC47" s="977">
        <f>SUM(CC36:CC46)</f>
        <v>-10.600000000000003</v>
      </c>
      <c r="CD47" s="982">
        <f>SUM(CD36:CD46)</f>
        <v>26.200000000000003</v>
      </c>
      <c r="CE47" s="981">
        <f>SUM(CE36:CE46)</f>
        <v>-27.199999999999978</v>
      </c>
      <c r="CF47" s="982"/>
      <c r="CG47" s="984">
        <f>SUM(CG36:CG46)</f>
        <v>-32.299999999999997</v>
      </c>
      <c r="CH47" s="977">
        <f>SUM(CH36:CH46)</f>
        <v>1.7000000000000028</v>
      </c>
      <c r="CI47" s="977">
        <f>SUM(CI36:CI46)</f>
        <v>-38.899999999999984</v>
      </c>
      <c r="CJ47" s="982">
        <f>SUM(CJ36:CJ46)</f>
        <v>-89.5</v>
      </c>
      <c r="CK47" s="981">
        <f>SUM(CK36:CK46)</f>
        <v>-159</v>
      </c>
      <c r="CL47" s="982"/>
      <c r="CM47" s="984">
        <f>SUM(CM36:CM46)</f>
        <v>-40.266017304522421</v>
      </c>
      <c r="CN47" s="982">
        <f>SUM(CN36:CN46)</f>
        <v>-40.242103855332687</v>
      </c>
      <c r="CO47" s="982">
        <f>SUM(CO36:CO46)</f>
        <v>-40.218754926400884</v>
      </c>
      <c r="CP47" s="982">
        <f>SUM(CP36:CP46)</f>
        <v>-40.19595733387203</v>
      </c>
      <c r="CQ47" s="981">
        <f>SUM(CQ36:CQ46)</f>
        <v>-160.92283342012803</v>
      </c>
      <c r="CR47" s="982"/>
      <c r="CS47" s="984">
        <f>SUM(CS36:CS46)</f>
        <v>-50.226222732877375</v>
      </c>
      <c r="CT47" s="982">
        <f>SUM(CT36:CT46)</f>
        <v>-50.192941720789136</v>
      </c>
      <c r="CU47" s="982">
        <f>SUM(CU36:CU46)</f>
        <v>-50.160427801683817</v>
      </c>
      <c r="CV47" s="982">
        <f>SUM(CV36:CV46)</f>
        <v>-50.128663406099371</v>
      </c>
      <c r="CW47" s="981">
        <f>SUM(CW36:CW46)</f>
        <v>-200.7082556614497</v>
      </c>
      <c r="CX47" s="982"/>
      <c r="CY47" s="984">
        <f>SUM(CY36:CY46)</f>
        <v>-50.173315950397026</v>
      </c>
      <c r="CZ47" s="982">
        <f>SUM(CZ36:CZ46)</f>
        <v>-50.142999485553538</v>
      </c>
      <c r="DA47" s="982">
        <f>SUM(DA36:DA46)</f>
        <v>-50.11338220147956</v>
      </c>
      <c r="DB47" s="982">
        <f>SUM(DB36:DB46)</f>
        <v>-50.084448076217583</v>
      </c>
      <c r="DC47" s="981">
        <f>SUM(DC36:DC46)</f>
        <v>-200.51414571364771</v>
      </c>
      <c r="DD47" s="982"/>
      <c r="DE47" s="984">
        <f>SUM(DE36:DE46)</f>
        <v>-50.125435768416317</v>
      </c>
      <c r="DF47" s="982">
        <f>SUM(DF36:DF46)</f>
        <v>-50.097821347364984</v>
      </c>
      <c r="DG47" s="982">
        <f>SUM(DG36:DG46)</f>
        <v>-50.070844177414038</v>
      </c>
      <c r="DH47" s="982">
        <f>SUM(DH36:DH46)</f>
        <v>-50.044489648379809</v>
      </c>
      <c r="DI47" s="981">
        <f>SUM(DI36:DI46)</f>
        <v>-200.33859094157515</v>
      </c>
      <c r="DP47" s="235"/>
    </row>
    <row r="48" spans="1:120" ht="11.25" customHeight="1">
      <c r="A48" s="70"/>
      <c r="B48" s="90" t="s">
        <v>361</v>
      </c>
      <c r="C48" s="307"/>
      <c r="D48" s="52"/>
      <c r="E48" s="307"/>
      <c r="F48" s="52"/>
      <c r="G48" s="307"/>
      <c r="H48" s="52"/>
      <c r="I48" s="307"/>
      <c r="J48" s="52"/>
      <c r="K48" s="307"/>
      <c r="L48" s="52"/>
      <c r="M48" s="307"/>
      <c r="N48" s="52"/>
      <c r="O48" s="307"/>
      <c r="P48" s="52"/>
      <c r="Q48" s="307"/>
      <c r="R48" s="52"/>
      <c r="S48" s="288"/>
      <c r="T48" s="52"/>
      <c r="U48" s="52"/>
      <c r="V48" s="52"/>
      <c r="W48" s="53"/>
      <c r="X48" s="52"/>
      <c r="Y48" s="288"/>
      <c r="Z48" s="52"/>
      <c r="AA48" s="52"/>
      <c r="AB48" s="52"/>
      <c r="AC48" s="53"/>
      <c r="AD48" s="52"/>
      <c r="AE48" s="288"/>
      <c r="AF48" s="52"/>
      <c r="AG48" s="52"/>
      <c r="AH48" s="52"/>
      <c r="AI48" s="51"/>
      <c r="AJ48" s="52"/>
      <c r="AK48" s="288"/>
      <c r="AL48" s="52"/>
      <c r="AM48" s="52"/>
      <c r="AN48" s="52"/>
      <c r="AO48" s="51"/>
      <c r="AP48" s="52"/>
      <c r="AQ48" s="288"/>
      <c r="AR48" s="52"/>
      <c r="AS48" s="52"/>
      <c r="AT48" s="52"/>
      <c r="AU48" s="51"/>
      <c r="AV48" s="52"/>
      <c r="AW48" s="288"/>
      <c r="AX48" s="52"/>
      <c r="AY48" s="52"/>
      <c r="AZ48" s="52"/>
      <c r="BA48" s="51"/>
      <c r="BB48" s="52"/>
      <c r="BC48" s="288"/>
      <c r="BD48" s="52"/>
      <c r="BE48" s="52"/>
      <c r="BF48" s="52"/>
      <c r="BG48" s="51"/>
      <c r="BH48" s="52"/>
      <c r="BI48" s="288"/>
      <c r="BJ48" s="52"/>
      <c r="BK48" s="52"/>
      <c r="BL48" s="52"/>
      <c r="BM48" s="51"/>
      <c r="BN48" s="52"/>
      <c r="BO48" s="288"/>
      <c r="BP48" s="52"/>
      <c r="BQ48" s="52"/>
      <c r="BR48" s="54"/>
      <c r="BS48" s="53"/>
      <c r="BT48" s="52"/>
      <c r="BU48" s="284"/>
      <c r="BV48" s="52"/>
      <c r="BW48" s="52"/>
      <c r="BX48" s="54"/>
      <c r="BY48" s="53"/>
      <c r="BZ48" s="52"/>
      <c r="CA48" s="284"/>
      <c r="CB48" s="52"/>
      <c r="CC48" s="52"/>
      <c r="CD48" s="54"/>
      <c r="CE48" s="53"/>
      <c r="CF48" s="52"/>
      <c r="CG48" s="284"/>
      <c r="CH48" s="52"/>
      <c r="CI48" s="52"/>
      <c r="CJ48" s="54"/>
      <c r="CK48" s="53"/>
      <c r="CL48" s="52"/>
      <c r="CM48" s="284"/>
      <c r="CN48" s="54"/>
      <c r="CO48" s="54"/>
      <c r="CP48" s="54"/>
      <c r="CQ48" s="53"/>
      <c r="CR48" s="52"/>
      <c r="CS48" s="284"/>
      <c r="CT48" s="54"/>
      <c r="CU48" s="54"/>
      <c r="CV48" s="54"/>
      <c r="CW48" s="53"/>
      <c r="CX48" s="52"/>
      <c r="CY48" s="284"/>
      <c r="CZ48" s="54"/>
      <c r="DA48" s="54"/>
      <c r="DB48" s="54"/>
      <c r="DC48" s="53"/>
      <c r="DD48" s="52"/>
      <c r="DE48" s="284"/>
      <c r="DF48" s="54"/>
      <c r="DG48" s="54"/>
      <c r="DH48" s="54"/>
      <c r="DI48" s="53"/>
      <c r="DP48" s="70"/>
    </row>
    <row r="49" spans="1:127" ht="11.25" customHeight="1">
      <c r="A49" s="56" t="s">
        <v>231</v>
      </c>
      <c r="B49" s="181" t="s">
        <v>361</v>
      </c>
      <c r="C49" s="308">
        <v>7.0999999999999994E-2</v>
      </c>
      <c r="D49" s="181"/>
      <c r="E49" s="308">
        <v>-5.0999999999999997E-2</v>
      </c>
      <c r="F49" s="181"/>
      <c r="G49" s="308">
        <v>0.18</v>
      </c>
      <c r="H49" s="181"/>
      <c r="I49" s="308">
        <v>-0.88200000000000001</v>
      </c>
      <c r="J49" s="181"/>
      <c r="K49" s="308">
        <v>2.0339999999999998</v>
      </c>
      <c r="L49" s="181"/>
      <c r="M49" s="308">
        <v>2.496</v>
      </c>
      <c r="N49" s="181"/>
      <c r="O49" s="308">
        <v>2.8340000000000001</v>
      </c>
      <c r="P49" s="181"/>
      <c r="Q49" s="308">
        <v>-5.5060000000000002</v>
      </c>
      <c r="R49" s="181"/>
      <c r="S49" s="281">
        <v>0.76300000000000001</v>
      </c>
      <c r="T49" s="199">
        <f>2.431-S49</f>
        <v>1.6680000000000001</v>
      </c>
      <c r="U49" s="199">
        <f>3.162-S49-T49</f>
        <v>0.73099999999999987</v>
      </c>
      <c r="V49" s="199">
        <f>3.908-S49-T49-U49</f>
        <v>0.746</v>
      </c>
      <c r="W49" s="53">
        <f>SUM(S49:V49)</f>
        <v>3.9079999999999999</v>
      </c>
      <c r="X49" s="181"/>
      <c r="Y49" s="281">
        <v>2.633</v>
      </c>
      <c r="Z49" s="199">
        <f>3.828-(Y49)</f>
        <v>1.1949999999999998</v>
      </c>
      <c r="AA49" s="199">
        <f>19.743-(Y49+Z49)</f>
        <v>15.914999999999999</v>
      </c>
      <c r="AB49" s="199">
        <f>28-Y49-Z49-AA49</f>
        <v>8.2570000000000014</v>
      </c>
      <c r="AC49" s="53">
        <f>SUM(Y49:AB49)</f>
        <v>28</v>
      </c>
      <c r="AD49" s="181"/>
      <c r="AE49" s="281">
        <v>28.2</v>
      </c>
      <c r="AF49" s="199">
        <f>20.4-(AE49)</f>
        <v>-7.8000000000000007</v>
      </c>
      <c r="AG49" s="199">
        <f>9.9-(AE49+AF49)</f>
        <v>-10.499999999999998</v>
      </c>
      <c r="AH49" s="199">
        <f>9.7-(AE49+AF49+AG49)</f>
        <v>-0.20000000000000107</v>
      </c>
      <c r="AI49" s="51">
        <f>SUM(AE49:AH49)</f>
        <v>9.6999999999999993</v>
      </c>
      <c r="AJ49" s="181"/>
      <c r="AK49" s="281">
        <v>-8.5</v>
      </c>
      <c r="AL49" s="199">
        <f>-4.6-(AK49)</f>
        <v>3.9000000000000004</v>
      </c>
      <c r="AM49" s="199">
        <f>-2.8-(AK49+AL49)</f>
        <v>1.7999999999999998</v>
      </c>
      <c r="AN49" s="199">
        <f>-6.6-(AK49+AL49+AM49)</f>
        <v>-3.8</v>
      </c>
      <c r="AO49" s="51">
        <f>SUM(AK49:AN49)</f>
        <v>-6.6</v>
      </c>
      <c r="AP49" s="181"/>
      <c r="AQ49" s="281">
        <v>0.2</v>
      </c>
      <c r="AR49" s="199">
        <f>-15.2-(AQ49)</f>
        <v>-15.399999999999999</v>
      </c>
      <c r="AS49" s="199">
        <f>-9-(AQ49+AR49)</f>
        <v>6.1999999999999993</v>
      </c>
      <c r="AT49" s="199">
        <f>-2.1-(AQ49+AR49+AS49)</f>
        <v>6.9</v>
      </c>
      <c r="AU49" s="51">
        <f>SUM(AQ49:AT49)</f>
        <v>-2.0999999999999996</v>
      </c>
      <c r="AV49" s="181"/>
      <c r="AW49" s="281">
        <v>6.5</v>
      </c>
      <c r="AX49" s="199">
        <f>11.5-(AW49)</f>
        <v>5</v>
      </c>
      <c r="AY49" s="199">
        <f>-1-(AW49+AX49)</f>
        <v>-12.5</v>
      </c>
      <c r="AZ49" s="199">
        <f>-6.7-(AW49+AX49+AY49)</f>
        <v>-5.7</v>
      </c>
      <c r="BA49" s="51">
        <f>SUM(AW49:AZ49)</f>
        <v>-6.7</v>
      </c>
      <c r="BB49" s="181"/>
      <c r="BC49" s="281">
        <v>-3.6</v>
      </c>
      <c r="BD49" s="199">
        <f>-14.7-(BC49)</f>
        <v>-11.1</v>
      </c>
      <c r="BE49" s="199">
        <f>-13.6-(BC49+BD49)</f>
        <v>1.0999999999999996</v>
      </c>
      <c r="BF49" s="199">
        <f>-9.7-BE49-BD49-BC49</f>
        <v>3.9000000000000008</v>
      </c>
      <c r="BG49" s="51">
        <f>SUM(BC49:BF49)</f>
        <v>-9.6999999999999993</v>
      </c>
      <c r="BH49" s="181"/>
      <c r="BI49" s="281">
        <v>-9</v>
      </c>
      <c r="BJ49" s="50">
        <f>-5.4-BI49</f>
        <v>3.5999999999999996</v>
      </c>
      <c r="BK49" s="50">
        <v>14.8</v>
      </c>
      <c r="BL49" s="199">
        <v>7.2</v>
      </c>
      <c r="BM49" s="51">
        <f>SUM(BI49:BL49)</f>
        <v>16.600000000000001</v>
      </c>
      <c r="BN49" s="181"/>
      <c r="BO49" s="281">
        <v>2.2000000000000002</v>
      </c>
      <c r="BP49" s="50">
        <f>-0.8-BO49</f>
        <v>-3</v>
      </c>
      <c r="BQ49" s="50">
        <f>-25-SUM(BO49:BP49)</f>
        <v>-24.2</v>
      </c>
      <c r="BR49" s="199">
        <f>-38.3-SUM(BO49:BQ49)</f>
        <v>-13.299999999999997</v>
      </c>
      <c r="BS49" s="53">
        <f>SUM(BO49:BR49)</f>
        <v>-38.299999999999997</v>
      </c>
      <c r="BT49" s="181"/>
      <c r="BU49" s="1836">
        <v>-10.4</v>
      </c>
      <c r="BV49" s="1837">
        <f>-1.6-BU49</f>
        <v>8.8000000000000007</v>
      </c>
      <c r="BW49" s="1838">
        <f>-8.1-SUM(BU49:BV49)</f>
        <v>-6.5</v>
      </c>
      <c r="BX49" s="52">
        <f>+BY49-SUM(BU49:BW49)</f>
        <v>-3.0999999999999996</v>
      </c>
      <c r="BY49" s="2035">
        <v>-11.2</v>
      </c>
      <c r="BZ49" s="181"/>
      <c r="CA49" s="1836">
        <v>5.8</v>
      </c>
      <c r="CB49" s="1837">
        <f>4.6-CA49</f>
        <v>-1.2000000000000002</v>
      </c>
      <c r="CC49" s="1837">
        <f>6.5-SUM(CA49:CB49)</f>
        <v>1.9000000000000004</v>
      </c>
      <c r="CD49" s="52">
        <f>+CE49-SUM(CA49:CC49)</f>
        <v>-13</v>
      </c>
      <c r="CE49" s="2035">
        <v>-6.5</v>
      </c>
      <c r="CF49" s="181"/>
      <c r="CG49" s="1836">
        <v>5.8</v>
      </c>
      <c r="CH49" s="1837">
        <f>12.7-CG49</f>
        <v>6.8999999999999995</v>
      </c>
      <c r="CI49" s="1837">
        <f>15.4-SUM(CG49:CH49)</f>
        <v>2.7000000000000011</v>
      </c>
      <c r="CJ49" s="1837">
        <f>17.8-SUM(CG49:CI49)</f>
        <v>2.4000000000000004</v>
      </c>
      <c r="CK49" s="53">
        <f>SUM(CG49:CJ49)</f>
        <v>17.8</v>
      </c>
      <c r="CL49" s="181"/>
      <c r="CM49" s="598">
        <v>0</v>
      </c>
      <c r="CN49" s="597">
        <v>0</v>
      </c>
      <c r="CO49" s="597">
        <v>0</v>
      </c>
      <c r="CP49" s="597">
        <v>0</v>
      </c>
      <c r="CQ49" s="53">
        <f>SUM(CM49:CP49)</f>
        <v>0</v>
      </c>
      <c r="CR49" s="181"/>
      <c r="CS49" s="598">
        <v>0</v>
      </c>
      <c r="CT49" s="597">
        <v>0</v>
      </c>
      <c r="CU49" s="597">
        <v>0</v>
      </c>
      <c r="CV49" s="597">
        <v>0</v>
      </c>
      <c r="CW49" s="53">
        <f>SUM(CS49:CV49)</f>
        <v>0</v>
      </c>
      <c r="CX49" s="181"/>
      <c r="CY49" s="598">
        <v>0</v>
      </c>
      <c r="CZ49" s="597">
        <v>0</v>
      </c>
      <c r="DA49" s="597">
        <v>0</v>
      </c>
      <c r="DB49" s="597">
        <v>0</v>
      </c>
      <c r="DC49" s="53">
        <f>SUM(CY49:DB49)</f>
        <v>0</v>
      </c>
      <c r="DD49" s="181"/>
      <c r="DE49" s="598">
        <v>0</v>
      </c>
      <c r="DF49" s="597">
        <v>0</v>
      </c>
      <c r="DG49" s="597">
        <v>0</v>
      </c>
      <c r="DH49" s="597">
        <v>0</v>
      </c>
      <c r="DI49" s="53">
        <f>SUM(DE49:DH49)</f>
        <v>0</v>
      </c>
      <c r="DP49" s="225"/>
    </row>
    <row r="50" spans="1:127" ht="11.25" customHeight="1">
      <c r="A50" s="1045" t="s">
        <v>181</v>
      </c>
      <c r="B50" s="1046" t="s">
        <v>361</v>
      </c>
      <c r="C50" s="1047">
        <f>SUM(C26,C33,C47,C49)</f>
        <v>-0.88599999999999901</v>
      </c>
      <c r="D50" s="977"/>
      <c r="E50" s="1047">
        <f>SUM(E26,E33,E47,E49)</f>
        <v>1.3079999999999989</v>
      </c>
      <c r="F50" s="977"/>
      <c r="G50" s="1047">
        <f>SUM(G26,G33,G47,G49)</f>
        <v>19.292000000000009</v>
      </c>
      <c r="H50" s="977"/>
      <c r="I50" s="1047">
        <f>SUM(I26,I33,I47,I49)</f>
        <v>-13.353999999999997</v>
      </c>
      <c r="J50" s="977"/>
      <c r="K50" s="1047">
        <f>SUM(K26,K33,K47,K49)</f>
        <v>27.643000000000001</v>
      </c>
      <c r="L50" s="977"/>
      <c r="M50" s="1047">
        <f>SUM(M26,M33,M47,M49)</f>
        <v>-52.46899999999998</v>
      </c>
      <c r="N50" s="977"/>
      <c r="O50" s="1047">
        <f>SUM(O26,O33,O47,O49)</f>
        <v>7.2049999999999983</v>
      </c>
      <c r="P50" s="977"/>
      <c r="Q50" s="1047">
        <f>SUM(Q26,Q33,Q47,Q49)</f>
        <v>21.211999999999996</v>
      </c>
      <c r="R50" s="977"/>
      <c r="S50" s="983">
        <f>SUM(S26,S33,S47,S49)</f>
        <v>19.275999999999996</v>
      </c>
      <c r="T50" s="977">
        <f>SUM(T26,T33,T47,T49)</f>
        <v>27.517000000000003</v>
      </c>
      <c r="U50" s="977">
        <f>SUM(U26,U33,U47,U49)</f>
        <v>-65.274000000000001</v>
      </c>
      <c r="V50" s="977">
        <f>SUM(V26,V33,V47,V49)</f>
        <v>7.9959999999999969</v>
      </c>
      <c r="W50" s="978">
        <f>SUM(W26,W33,W47,W49)</f>
        <v>-10.485000000000001</v>
      </c>
      <c r="X50" s="977"/>
      <c r="Y50" s="983">
        <f>SUM(Y26,Y33,Y47,Y49)</f>
        <v>22.623999999999995</v>
      </c>
      <c r="Z50" s="977">
        <f>SUM(Z26,Z33,Z47,Z49)</f>
        <v>-52.275999999999996</v>
      </c>
      <c r="AA50" s="977">
        <f>SUM(AA26,AA33,AA47,AA49)</f>
        <v>26.133999999999993</v>
      </c>
      <c r="AB50" s="977">
        <f>SUM(AB26,AB33,AB47,AB49)</f>
        <v>24.717999999999993</v>
      </c>
      <c r="AC50" s="978">
        <f>SUM(AC26,AC33,AC47,AC49)</f>
        <v>21.200000000000003</v>
      </c>
      <c r="AD50" s="977"/>
      <c r="AE50" s="983">
        <f>SUM(AE26,AE33,AE47,AE49)</f>
        <v>-34.09999999999998</v>
      </c>
      <c r="AF50" s="977">
        <f>SUM(AF26,AF33,AF47,AF49)</f>
        <v>-172.9</v>
      </c>
      <c r="AG50" s="977">
        <f>SUM(AG26,AG33,AG47,AG49)</f>
        <v>-41.099999999999994</v>
      </c>
      <c r="AH50" s="977">
        <f>SUM(AH26,AH33,AH47,AH49)</f>
        <v>81.899999999999991</v>
      </c>
      <c r="AI50" s="978">
        <f>SUM(AI26,AI33,AI47,AI49)</f>
        <v>-166.2</v>
      </c>
      <c r="AJ50" s="977"/>
      <c r="AK50" s="983">
        <f>SUM(AK26,AK33,AK47,AK49)</f>
        <v>-17.799999999999997</v>
      </c>
      <c r="AL50" s="977">
        <f>SUM(AL26,AL33,AL47,AL49)</f>
        <v>4.2000000000000046</v>
      </c>
      <c r="AM50" s="977">
        <f>SUM(AM26,AM33,AM47,AM49)</f>
        <v>-4.1000000000000112</v>
      </c>
      <c r="AN50" s="977">
        <f>SUM(AN26,AN33,AN47,AN49)</f>
        <v>58.600000000000016</v>
      </c>
      <c r="AO50" s="978">
        <f>SUM(AO26,AO33,AO47,AO49)</f>
        <v>40.900000000000027</v>
      </c>
      <c r="AP50" s="977"/>
      <c r="AQ50" s="983">
        <f>SUM(AQ26,AQ33,AQ47,AQ49)</f>
        <v>-4.0000000000000027</v>
      </c>
      <c r="AR50" s="977">
        <f>SUM(AR26,AR33,AR47,AR49)</f>
        <v>-15.499999999999984</v>
      </c>
      <c r="AS50" s="977">
        <f>SUM(AS26,AS33,AS47,AS49)</f>
        <v>0.40000000000000746</v>
      </c>
      <c r="AT50" s="977">
        <f>SUM(AT26,AT33,AT47,AT49)</f>
        <v>42.4</v>
      </c>
      <c r="AU50" s="978">
        <f>SUM(AU26,AU33,AU47,AU49)</f>
        <v>23.300000000000033</v>
      </c>
      <c r="AV50" s="977"/>
      <c r="AW50" s="983">
        <f>SUM(AW26,AW33,AW47,AW49)</f>
        <v>-37.100000000000009</v>
      </c>
      <c r="AX50" s="977">
        <f>SUM(AX26,AX33,AX47,AX49)</f>
        <v>-23.500000000000007</v>
      </c>
      <c r="AY50" s="977">
        <f>SUM(AY26,AY33,AY47,AY49)</f>
        <v>26.000000000000014</v>
      </c>
      <c r="AZ50" s="977">
        <f>SUM(AZ26,AZ33,AZ47,AZ49)</f>
        <v>50.199999999999989</v>
      </c>
      <c r="BA50" s="978">
        <f>SUM(BA26,BA33,BA47,BA49)</f>
        <v>15.599999999999969</v>
      </c>
      <c r="BB50" s="977"/>
      <c r="BC50" s="983">
        <f>SUM(BC26,BC33,BC47,BC49)</f>
        <v>-16.500000000000014</v>
      </c>
      <c r="BD50" s="977">
        <f>SUM(BD26,BD33,BD47,BD49)</f>
        <v>10.80000000000001</v>
      </c>
      <c r="BE50" s="977">
        <f>SUM(BE26,BE33,BE47,BE49)</f>
        <v>1.8000000000000078</v>
      </c>
      <c r="BF50" s="977">
        <f>SUM(BF26,BF33,BF47,BF49)</f>
        <v>68.499999999999986</v>
      </c>
      <c r="BG50" s="978">
        <f>SUM(BG26,BG33,BG47,BG49)</f>
        <v>64.600000000000009</v>
      </c>
      <c r="BH50" s="977"/>
      <c r="BI50" s="983">
        <f>SUM(BI26,BI33,BI47,BI49)</f>
        <v>-41.2</v>
      </c>
      <c r="BJ50" s="977">
        <f>SUM(BJ26,BJ33,BJ47,BJ49)</f>
        <v>-18.499999999999986</v>
      </c>
      <c r="BK50" s="977">
        <f>SUM(BK26,BK33,BK47,BK49)</f>
        <v>55.899999999999991</v>
      </c>
      <c r="BL50" s="977">
        <f>SUM(BL26,BL33,BL47,BL49)</f>
        <v>131.9</v>
      </c>
      <c r="BM50" s="978">
        <f>SUM(BM26,BM33,BM47,BM49)</f>
        <v>128.1</v>
      </c>
      <c r="BN50" s="977"/>
      <c r="BO50" s="983">
        <f>SUM(BO26,BO33,BO47,BO49)</f>
        <v>15.299999999999997</v>
      </c>
      <c r="BP50" s="977">
        <f>SUM(BP26,BP33,BP47,BP49)</f>
        <v>-64.199999999999989</v>
      </c>
      <c r="BQ50" s="977">
        <f>SUM(BQ26,BQ33,BQ47,BQ49)</f>
        <v>-60.600000000000009</v>
      </c>
      <c r="BR50" s="977">
        <f>SUM(BR26,BR33,BR47,BR49)</f>
        <v>-9.6999999999999744</v>
      </c>
      <c r="BS50" s="978">
        <f>SUM(BS26,BS33,BS47,BS49)</f>
        <v>-119.19999999999996</v>
      </c>
      <c r="BT50" s="977"/>
      <c r="BU50" s="983">
        <f>SUM(BU26,BU33,BU47,BU49)</f>
        <v>14.999999999999998</v>
      </c>
      <c r="BV50" s="977">
        <f>SUM(BV26,BV33,BV47,BV49)</f>
        <v>-13.700000000000003</v>
      </c>
      <c r="BW50" s="977">
        <f>SUM(BW26,BW33,BW47,BW49)</f>
        <v>10.199999999999996</v>
      </c>
      <c r="BX50" s="977">
        <f>SUM(BX26,BX33,BX47,BX49)</f>
        <v>-63.899999999999984</v>
      </c>
      <c r="BY50" s="978">
        <f>SUM(BY26,BY33,BY47,BY49)</f>
        <v>-52.400000000000048</v>
      </c>
      <c r="BZ50" s="977"/>
      <c r="CA50" s="983">
        <f>SUM(CA26,CA33,CA47,CA49)</f>
        <v>-57.20000000000001</v>
      </c>
      <c r="CB50" s="977">
        <f>SUM(CB26,CB33,CB47,CB49)</f>
        <v>22.600000000000009</v>
      </c>
      <c r="CC50" s="977">
        <f>SUM(CC26,CC33,CC47,CC49)</f>
        <v>46.2</v>
      </c>
      <c r="CD50" s="977">
        <f>SUM(CD26,CD33,CD47,CD49)</f>
        <v>63.7</v>
      </c>
      <c r="CE50" s="978">
        <f>SUM(CE26,CE33,CE47,CE49)</f>
        <v>75.300000000000026</v>
      </c>
      <c r="CF50" s="977"/>
      <c r="CG50" s="983">
        <f>SUM(CG26,CG33,CG47,CG49)</f>
        <v>-65.199999999999989</v>
      </c>
      <c r="CH50" s="977">
        <f>SUM(CH26,CH33,CH47,CH49)</f>
        <v>-59.300000000000004</v>
      </c>
      <c r="CI50" s="977">
        <f>SUM(CI26,CI33,CI47,CI49)</f>
        <v>46.400000000000013</v>
      </c>
      <c r="CJ50" s="977">
        <f>SUM(CJ26,CJ33,CJ47,CJ49)</f>
        <v>61.100000000000016</v>
      </c>
      <c r="CK50" s="978">
        <f>SUM(CK26,CK33,CK47,CK49)</f>
        <v>-17.000000000000011</v>
      </c>
      <c r="CL50" s="977"/>
      <c r="CM50" s="983">
        <f>SUM(CM26,CM33,CM47,CM49)</f>
        <v>-12.158154100885291</v>
      </c>
      <c r="CN50" s="977">
        <f>SUM(CN26,CN33,CN47,CN49)</f>
        <v>-65.879094424083576</v>
      </c>
      <c r="CO50" s="977">
        <f>SUM(CO26,CO33,CO47,CO49)</f>
        <v>14.129009292848146</v>
      </c>
      <c r="CP50" s="977">
        <f>SUM(CP26,CP33,CP47,CP49)</f>
        <v>32.21173406548867</v>
      </c>
      <c r="CQ50" s="978">
        <f>SUM(CQ26,CQ33,CQ47,CQ49)</f>
        <v>-31.696505166632107</v>
      </c>
      <c r="CR50" s="977"/>
      <c r="CS50" s="983">
        <f>SUM(CS26,CS33,CS47,CS49)</f>
        <v>85.892159185100468</v>
      </c>
      <c r="CT50" s="977">
        <f>SUM(CT26,CT33,CT47,CT49)</f>
        <v>-66.529996309811622</v>
      </c>
      <c r="CU50" s="977">
        <f>SUM(CU26,CU33,CU47,CU49)</f>
        <v>-21.918853202393493</v>
      </c>
      <c r="CV50" s="977">
        <f>SUM(CV26,CV33,CV47,CV49)</f>
        <v>-45.893410202978735</v>
      </c>
      <c r="CW50" s="978">
        <f>SUM(CW26,CW33,CW47,CW49)</f>
        <v>-48.450100530083375</v>
      </c>
      <c r="CX50" s="977"/>
      <c r="CY50" s="983">
        <f>SUM(CY26,CY33,CY47,CY49)</f>
        <v>109.32495872654657</v>
      </c>
      <c r="CZ50" s="977">
        <f>SUM(CZ26,CZ33,CZ47,CZ49)</f>
        <v>-49.222980559100897</v>
      </c>
      <c r="DA50" s="977">
        <f>SUM(DA26,DA33,DA47,DA49)</f>
        <v>-23.620900249860014</v>
      </c>
      <c r="DB50" s="977">
        <f>SUM(DB26,DB33,DB47,DB49)</f>
        <v>-42.923674480257013</v>
      </c>
      <c r="DC50" s="978">
        <f>SUM(DC26,DC33,DC47,DC49)</f>
        <v>-6.4425965626712411</v>
      </c>
      <c r="DD50" s="977"/>
      <c r="DE50" s="983">
        <f>SUM(DE26,DE33,DE47,DE49)</f>
        <v>159.19751766518979</v>
      </c>
      <c r="DF50" s="977">
        <f>SUM(DF26,DF33,DF47,DF49)</f>
        <v>-61.554867785706428</v>
      </c>
      <c r="DG50" s="977">
        <f>SUM(DG26,DG33,DG47,DG49)</f>
        <v>-17.271553450078358</v>
      </c>
      <c r="DH50" s="977">
        <f>SUM(DH26,DH33,DH47,DH49)</f>
        <v>-63.854898634227133</v>
      </c>
      <c r="DI50" s="978">
        <f>SUM(DI26,DI33,DI47,DI49)</f>
        <v>16.516197795177845</v>
      </c>
      <c r="DP50" s="234"/>
    </row>
    <row r="51" spans="1:127" ht="11.25" customHeight="1">
      <c r="A51" s="1043"/>
      <c r="B51" s="266" t="s">
        <v>361</v>
      </c>
      <c r="C51" s="1044"/>
      <c r="D51" s="187"/>
      <c r="E51" s="1044"/>
      <c r="F51" s="187"/>
      <c r="G51" s="1044"/>
      <c r="H51" s="187"/>
      <c r="I51" s="1044"/>
      <c r="J51" s="187"/>
      <c r="K51" s="1044"/>
      <c r="L51" s="187"/>
      <c r="M51" s="1044"/>
      <c r="N51" s="187"/>
      <c r="O51" s="1044"/>
      <c r="P51" s="187"/>
      <c r="Q51" s="1044"/>
      <c r="R51" s="187"/>
      <c r="S51" s="335"/>
      <c r="T51" s="187"/>
      <c r="U51" s="187"/>
      <c r="V51" s="187"/>
      <c r="W51" s="1004"/>
      <c r="X51" s="187"/>
      <c r="Y51" s="335"/>
      <c r="Z51" s="187"/>
      <c r="AA51" s="187"/>
      <c r="AB51" s="187"/>
      <c r="AC51" s="1004"/>
      <c r="AD51" s="187"/>
      <c r="AE51" s="335"/>
      <c r="AF51" s="187"/>
      <c r="AG51" s="187"/>
      <c r="AH51" s="187"/>
      <c r="AI51" s="1004"/>
      <c r="AJ51" s="187"/>
      <c r="AK51" s="335"/>
      <c r="AL51" s="187"/>
      <c r="AM51" s="187"/>
      <c r="AN51" s="187"/>
      <c r="AO51" s="1004"/>
      <c r="AP51" s="187"/>
      <c r="AQ51" s="335"/>
      <c r="AR51" s="187"/>
      <c r="AS51" s="187"/>
      <c r="AT51" s="187"/>
      <c r="AU51" s="1004"/>
      <c r="AV51" s="187"/>
      <c r="AW51" s="335"/>
      <c r="AX51" s="187"/>
      <c r="AY51" s="187"/>
      <c r="AZ51" s="187"/>
      <c r="BA51" s="1004"/>
      <c r="BB51" s="187"/>
      <c r="BC51" s="335"/>
      <c r="BD51" s="187"/>
      <c r="BE51" s="187"/>
      <c r="BF51" s="187"/>
      <c r="BG51" s="1004"/>
      <c r="BH51" s="187"/>
      <c r="BI51" s="335"/>
      <c r="BJ51" s="187"/>
      <c r="BK51" s="187"/>
      <c r="BL51" s="187"/>
      <c r="BM51" s="1004"/>
      <c r="BN51" s="187"/>
      <c r="BO51" s="335"/>
      <c r="BP51" s="187"/>
      <c r="BQ51" s="187"/>
      <c r="BR51" s="187"/>
      <c r="BS51" s="1004"/>
      <c r="BT51" s="187"/>
      <c r="BU51" s="335"/>
      <c r="BV51" s="187"/>
      <c r="BW51" s="187"/>
      <c r="BX51" s="187"/>
      <c r="BY51" s="1004"/>
      <c r="BZ51" s="187"/>
      <c r="CA51" s="335"/>
      <c r="CB51" s="187"/>
      <c r="CC51" s="187"/>
      <c r="CD51" s="187"/>
      <c r="CE51" s="1004"/>
      <c r="CF51" s="187"/>
      <c r="CG51" s="335"/>
      <c r="CH51" s="187"/>
      <c r="CI51" s="187"/>
      <c r="CJ51" s="187"/>
      <c r="CK51" s="1048"/>
      <c r="CL51" s="187"/>
      <c r="CM51" s="335"/>
      <c r="CN51" s="187"/>
      <c r="CO51" s="187"/>
      <c r="CP51" s="187"/>
      <c r="CQ51" s="1048"/>
      <c r="CR51" s="187"/>
      <c r="CS51" s="335"/>
      <c r="CT51" s="187"/>
      <c r="CU51" s="187"/>
      <c r="CV51" s="187"/>
      <c r="CW51" s="1048"/>
      <c r="CX51" s="187"/>
      <c r="CY51" s="335"/>
      <c r="CZ51" s="187"/>
      <c r="DA51" s="187"/>
      <c r="DB51" s="187"/>
      <c r="DC51" s="1048"/>
      <c r="DD51" s="187"/>
      <c r="DE51" s="335"/>
      <c r="DF51" s="187"/>
      <c r="DG51" s="187"/>
      <c r="DH51" s="187"/>
      <c r="DI51" s="1048"/>
      <c r="DP51" s="234"/>
      <c r="DR51" s="1978"/>
    </row>
    <row r="52" spans="1:127" ht="11.25" customHeight="1">
      <c r="A52" s="1020" t="s">
        <v>182</v>
      </c>
      <c r="B52" s="1021"/>
      <c r="C52" s="1022">
        <v>2.0209999999999999</v>
      </c>
      <c r="D52" s="1021"/>
      <c r="E52" s="1023">
        <f>C54</f>
        <v>1.1349160000000009</v>
      </c>
      <c r="F52" s="1021"/>
      <c r="G52" s="1023">
        <f>E54</f>
        <v>2.4429999999999996</v>
      </c>
      <c r="H52" s="1021"/>
      <c r="I52" s="1023">
        <f>G54</f>
        <v>21.735000000000007</v>
      </c>
      <c r="J52" s="1021"/>
      <c r="K52" s="1023">
        <f>I54</f>
        <v>8.3810000000000091</v>
      </c>
      <c r="L52" s="1021"/>
      <c r="M52" s="1023">
        <f>K54</f>
        <v>84.811000000000007</v>
      </c>
      <c r="N52" s="1021"/>
      <c r="O52" s="1023">
        <f>M54</f>
        <v>25.342000000000027</v>
      </c>
      <c r="P52" s="1021"/>
      <c r="Q52" s="1023">
        <f>O54</f>
        <v>32.547000000000025</v>
      </c>
      <c r="R52" s="1021"/>
      <c r="S52" s="1024">
        <f>Q54</f>
        <v>62.632000000000026</v>
      </c>
      <c r="T52" s="1021">
        <f>S54</f>
        <v>66.700000000000017</v>
      </c>
      <c r="U52" s="1021">
        <f>T54</f>
        <v>96.596000000000018</v>
      </c>
      <c r="V52" s="1021">
        <f>U54</f>
        <v>44.151000000000025</v>
      </c>
      <c r="W52" s="1025">
        <f>Q54</f>
        <v>62.632000000000026</v>
      </c>
      <c r="X52" s="1021"/>
      <c r="Y52" s="1024">
        <f>W54</f>
        <v>52.147000000000034</v>
      </c>
      <c r="Z52" s="1021">
        <f>Y54</f>
        <v>55.692000000000029</v>
      </c>
      <c r="AA52" s="1021">
        <f>Z54</f>
        <v>41.933000000000035</v>
      </c>
      <c r="AB52" s="1021">
        <f>AA54</f>
        <v>38.904000000000046</v>
      </c>
      <c r="AC52" s="1025">
        <f>W54</f>
        <v>52.147000000000034</v>
      </c>
      <c r="AD52" s="1021"/>
      <c r="AE52" s="1024">
        <f>AC54</f>
        <v>332.40000000000009</v>
      </c>
      <c r="AF52" s="1021">
        <f>AE54</f>
        <v>298.26300000000009</v>
      </c>
      <c r="AG52" s="1021">
        <f>AF54</f>
        <v>125.39900000000011</v>
      </c>
      <c r="AH52" s="1021">
        <f>AG54</f>
        <v>84.381000000000128</v>
      </c>
      <c r="AI52" s="1025">
        <f>AE52</f>
        <v>332.40000000000009</v>
      </c>
      <c r="AJ52" s="1021"/>
      <c r="AK52" s="1024">
        <f>AI54</f>
        <v>166.2000000000001</v>
      </c>
      <c r="AL52" s="1021">
        <f>AK54</f>
        <v>148.40000000000009</v>
      </c>
      <c r="AM52" s="1021">
        <f>AL54</f>
        <v>152.60000000000011</v>
      </c>
      <c r="AN52" s="1021">
        <f>AM54</f>
        <v>148.50000000000009</v>
      </c>
      <c r="AO52" s="1025">
        <f>AK52</f>
        <v>166.2000000000001</v>
      </c>
      <c r="AP52" s="1021"/>
      <c r="AQ52" s="1024">
        <f>AO54</f>
        <v>207.10000000000014</v>
      </c>
      <c r="AR52" s="1021">
        <f>AQ54</f>
        <v>203.10000000000014</v>
      </c>
      <c r="AS52" s="1021">
        <f>AR54</f>
        <v>187.60000000000016</v>
      </c>
      <c r="AT52" s="1021">
        <f>AS54</f>
        <v>188.00000000000017</v>
      </c>
      <c r="AU52" s="1025">
        <f>AQ52</f>
        <v>207.10000000000014</v>
      </c>
      <c r="AV52" s="1021"/>
      <c r="AW52" s="1024">
        <f>AU54</f>
        <v>230.40000000000018</v>
      </c>
      <c r="AX52" s="1021">
        <f>AW54</f>
        <v>193.30000000000018</v>
      </c>
      <c r="AY52" s="1021">
        <f>AX54</f>
        <v>169.80000000000018</v>
      </c>
      <c r="AZ52" s="1021">
        <f>AY54</f>
        <v>195.80000000000018</v>
      </c>
      <c r="BA52" s="1025">
        <f>AW52</f>
        <v>230.40000000000018</v>
      </c>
      <c r="BB52" s="1021"/>
      <c r="BC52" s="1024">
        <f>BA54</f>
        <v>246.00000000000014</v>
      </c>
      <c r="BD52" s="1021">
        <f>BC54</f>
        <v>229.50000000000011</v>
      </c>
      <c r="BE52" s="1021">
        <f>BD54</f>
        <v>240.30000000000013</v>
      </c>
      <c r="BF52" s="1021">
        <f>BE54</f>
        <v>242.10000000000014</v>
      </c>
      <c r="BG52" s="1025">
        <f>BC52</f>
        <v>246.00000000000014</v>
      </c>
      <c r="BH52" s="1021"/>
      <c r="BI52" s="1024">
        <f>BG54</f>
        <v>310.60000000000014</v>
      </c>
      <c r="BJ52" s="1021">
        <f>BI54</f>
        <v>269.40000000000015</v>
      </c>
      <c r="BK52" s="1021">
        <f>BJ54</f>
        <v>250.90000000000015</v>
      </c>
      <c r="BL52" s="1021">
        <f>BK54</f>
        <v>306.80000000000013</v>
      </c>
      <c r="BM52" s="1025">
        <f>BI52</f>
        <v>310.60000000000014</v>
      </c>
      <c r="BN52" s="1021"/>
      <c r="BO52" s="1024">
        <f>BM54</f>
        <v>438.70000000000016</v>
      </c>
      <c r="BP52" s="1021">
        <f>BO54</f>
        <v>454.00000000000017</v>
      </c>
      <c r="BQ52" s="1021">
        <f>BP54</f>
        <v>389.80000000000018</v>
      </c>
      <c r="BR52" s="1021">
        <f>BQ54</f>
        <v>329.20000000000016</v>
      </c>
      <c r="BS52" s="1025">
        <f>BO52</f>
        <v>438.70000000000016</v>
      </c>
      <c r="BT52" s="1021"/>
      <c r="BU52" s="1024">
        <f>BS54</f>
        <v>319.50000000000023</v>
      </c>
      <c r="BV52" s="1021">
        <f>BU54</f>
        <v>334.50000000000023</v>
      </c>
      <c r="BW52" s="1021">
        <f>BV54</f>
        <v>320.80000000000024</v>
      </c>
      <c r="BX52" s="1021">
        <f>BW54</f>
        <v>331.00000000000023</v>
      </c>
      <c r="BY52" s="1025">
        <f>BU52</f>
        <v>319.50000000000023</v>
      </c>
      <c r="BZ52" s="1021"/>
      <c r="CA52" s="1024">
        <f>BY54</f>
        <v>267.10000000000019</v>
      </c>
      <c r="CB52" s="1021">
        <f>CA54</f>
        <v>209.90000000000018</v>
      </c>
      <c r="CC52" s="1021">
        <f>CB54</f>
        <v>232.50000000000017</v>
      </c>
      <c r="CD52" s="1021">
        <f>CC54</f>
        <v>278.70000000000016</v>
      </c>
      <c r="CE52" s="1025">
        <f>CA52</f>
        <v>267.10000000000019</v>
      </c>
      <c r="CF52" s="1021"/>
      <c r="CG52" s="1024">
        <f>CE54</f>
        <v>342.4000000000002</v>
      </c>
      <c r="CH52" s="1021">
        <f>CG54</f>
        <v>277.50000000000023</v>
      </c>
      <c r="CI52" s="1021">
        <f>CH54</f>
        <v>217.70000000000022</v>
      </c>
      <c r="CJ52" s="1021">
        <f>CI54</f>
        <v>263.90000000000026</v>
      </c>
      <c r="CK52" s="1026">
        <f>CG52</f>
        <v>342.4000000000002</v>
      </c>
      <c r="CL52" s="1021"/>
      <c r="CM52" s="1024">
        <f>CK54</f>
        <v>325.00000000000023</v>
      </c>
      <c r="CN52" s="1021">
        <f>CM54</f>
        <v>312.84184589911496</v>
      </c>
      <c r="CO52" s="1021">
        <f>CN54</f>
        <v>246.96275147503138</v>
      </c>
      <c r="CP52" s="1021">
        <f>CO54</f>
        <v>261.09176076787952</v>
      </c>
      <c r="CQ52" s="1026">
        <f>CM52</f>
        <v>325.00000000000023</v>
      </c>
      <c r="CR52" s="1021"/>
      <c r="CS52" s="1024">
        <f>CQ54</f>
        <v>293.30349483336812</v>
      </c>
      <c r="CT52" s="1021">
        <f>CS54</f>
        <v>379.19565401846859</v>
      </c>
      <c r="CU52" s="1021">
        <f>CT54</f>
        <v>312.66565770865697</v>
      </c>
      <c r="CV52" s="1021">
        <f>CU54</f>
        <v>290.74680450626346</v>
      </c>
      <c r="CW52" s="1026">
        <f>CS52</f>
        <v>293.30349483336812</v>
      </c>
      <c r="CX52" s="1021"/>
      <c r="CY52" s="1024">
        <f>CW54</f>
        <v>244.85339430328474</v>
      </c>
      <c r="CZ52" s="1021">
        <f>CY54</f>
        <v>354.17835302983133</v>
      </c>
      <c r="DA52" s="1021">
        <f>CZ54</f>
        <v>304.95537247073042</v>
      </c>
      <c r="DB52" s="1021">
        <f>DA54</f>
        <v>281.3344722208704</v>
      </c>
      <c r="DC52" s="1026">
        <f>CY52</f>
        <v>244.85339430328474</v>
      </c>
      <c r="DD52" s="1021"/>
      <c r="DE52" s="1024">
        <f>DC54</f>
        <v>238.4107977406135</v>
      </c>
      <c r="DF52" s="1021">
        <f>DE54</f>
        <v>397.6083154058033</v>
      </c>
      <c r="DG52" s="1021">
        <f>DF54</f>
        <v>336.05344762009685</v>
      </c>
      <c r="DH52" s="1021">
        <f>DG54</f>
        <v>318.78189417001852</v>
      </c>
      <c r="DI52" s="1026">
        <f>DE52</f>
        <v>238.4107977406135</v>
      </c>
      <c r="DP52" s="225"/>
    </row>
    <row r="53" spans="1:127" ht="11.25" customHeight="1">
      <c r="A53" s="1036" t="s">
        <v>233</v>
      </c>
      <c r="B53" s="1037"/>
      <c r="C53" s="1038">
        <f>(1.134916-1.135)</f>
        <v>-8.3999999999972985E-5</v>
      </c>
      <c r="D53" s="1037"/>
      <c r="E53" s="1039">
        <f>-C53</f>
        <v>8.3999999999972985E-5</v>
      </c>
      <c r="F53" s="1037"/>
      <c r="G53" s="1038">
        <v>0</v>
      </c>
      <c r="H53" s="1037"/>
      <c r="I53" s="1038">
        <v>0</v>
      </c>
      <c r="J53" s="1037"/>
      <c r="K53" s="1038">
        <f>(57.168-8.381)</f>
        <v>48.786999999999999</v>
      </c>
      <c r="L53" s="1037"/>
      <c r="M53" s="1038">
        <f>(77.811-84.811)</f>
        <v>-7</v>
      </c>
      <c r="N53" s="1037"/>
      <c r="O53" s="1038">
        <v>0</v>
      </c>
      <c r="P53" s="1037"/>
      <c r="Q53" s="1038">
        <f>(41.42-32.547)</f>
        <v>8.8730000000000047</v>
      </c>
      <c r="R53" s="1037"/>
      <c r="S53" s="1027">
        <f>(66.7-81.908)</f>
        <v>-15.207999999999998</v>
      </c>
      <c r="T53" s="1028">
        <f>(-94.217+96.596)</f>
        <v>2.3790000000000049</v>
      </c>
      <c r="U53" s="1028">
        <f>(44.151-31.322)</f>
        <v>12.829000000000004</v>
      </c>
      <c r="V53" s="1028">
        <f>0-S53-T53-U53</f>
        <v>0</v>
      </c>
      <c r="W53" s="1029">
        <f>SUM(S53:V53)</f>
        <v>1.0658141036401503E-14</v>
      </c>
      <c r="X53" s="1037"/>
      <c r="Y53" s="1027">
        <f>(55.692-74.771)</f>
        <v>-19.079000000000001</v>
      </c>
      <c r="Z53" s="1028">
        <f>(41.933-3.416)</f>
        <v>38.517000000000003</v>
      </c>
      <c r="AA53" s="1028">
        <f>(38.904-68.067)</f>
        <v>-29.16299999999999</v>
      </c>
      <c r="AB53" s="1028">
        <f>(311.2-52.147)-Y53-Z53-AA53</f>
        <v>268.77800000000002</v>
      </c>
      <c r="AC53" s="1029">
        <f>SUM(Y53:AB53)</f>
        <v>259.05300000000005</v>
      </c>
      <c r="AD53" s="1037"/>
      <c r="AE53" s="1027">
        <f>(298.263-298.3)</f>
        <v>-3.7000000000034561E-2</v>
      </c>
      <c r="AF53" s="1028">
        <f>(125.399-125.4)-AE53</f>
        <v>3.6000000000029786E-2</v>
      </c>
      <c r="AG53" s="1028">
        <f>(84.381-84.3)-AE53-AF53</f>
        <v>8.2000000000007844E-2</v>
      </c>
      <c r="AH53" s="1028">
        <f>0-AE53-AF53-AG53</f>
        <v>-8.100000000000307E-2</v>
      </c>
      <c r="AI53" s="1029">
        <f>SUM(AE53:AH53)</f>
        <v>0</v>
      </c>
      <c r="AJ53" s="1037"/>
      <c r="AK53" s="1027">
        <v>0</v>
      </c>
      <c r="AL53" s="1028">
        <v>0</v>
      </c>
      <c r="AM53" s="1028">
        <v>0</v>
      </c>
      <c r="AN53" s="1028">
        <v>0</v>
      </c>
      <c r="AO53" s="1029">
        <f>SUM(AK53:AN53)</f>
        <v>0</v>
      </c>
      <c r="AP53" s="1037"/>
      <c r="AQ53" s="1027">
        <v>0</v>
      </c>
      <c r="AR53" s="1028">
        <v>0</v>
      </c>
      <c r="AS53" s="1028">
        <v>0</v>
      </c>
      <c r="AT53" s="1028">
        <v>0</v>
      </c>
      <c r="AU53" s="1029">
        <f>SUM(AQ53:AT53)</f>
        <v>0</v>
      </c>
      <c r="AV53" s="1037"/>
      <c r="AW53" s="1027">
        <v>0</v>
      </c>
      <c r="AX53" s="1028">
        <v>0</v>
      </c>
      <c r="AY53" s="1028">
        <v>0</v>
      </c>
      <c r="AZ53" s="1028">
        <v>0</v>
      </c>
      <c r="BA53" s="1029">
        <f>SUM(AW53:AZ53)</f>
        <v>0</v>
      </c>
      <c r="BB53" s="1037"/>
      <c r="BC53" s="1027">
        <v>0</v>
      </c>
      <c r="BD53" s="1028">
        <v>0</v>
      </c>
      <c r="BE53" s="1028">
        <v>0</v>
      </c>
      <c r="BF53" s="1028">
        <v>0</v>
      </c>
      <c r="BG53" s="1029">
        <f>SUM(BC53:BF53)</f>
        <v>0</v>
      </c>
      <c r="BH53" s="1037"/>
      <c r="BI53" s="1027">
        <v>0</v>
      </c>
      <c r="BJ53" s="1028">
        <v>0</v>
      </c>
      <c r="BK53" s="1028">
        <v>0</v>
      </c>
      <c r="BL53" s="1028">
        <v>0</v>
      </c>
      <c r="BM53" s="1029">
        <f>SUM(BI53:BL53)</f>
        <v>0</v>
      </c>
      <c r="BN53" s="1037"/>
      <c r="BO53" s="1027">
        <v>0</v>
      </c>
      <c r="BP53" s="1028">
        <v>0</v>
      </c>
      <c r="BQ53" s="1028">
        <v>0</v>
      </c>
      <c r="BR53" s="1028">
        <v>0</v>
      </c>
      <c r="BS53" s="1029">
        <f>SUM(BO53:BR53)</f>
        <v>0</v>
      </c>
      <c r="BT53" s="1037"/>
      <c r="BU53" s="1841">
        <v>0</v>
      </c>
      <c r="BV53" s="1833">
        <f>0-BU53</f>
        <v>0</v>
      </c>
      <c r="BW53" s="1833">
        <f>0-SUM(BU53:BV53)</f>
        <v>0</v>
      </c>
      <c r="BX53" s="1037">
        <f>+BY53-SUM(BU53:BW53)</f>
        <v>0</v>
      </c>
      <c r="BY53" s="2038">
        <v>0</v>
      </c>
      <c r="BZ53" s="1037"/>
      <c r="CA53" s="1841">
        <v>0</v>
      </c>
      <c r="CB53" s="1833">
        <v>0</v>
      </c>
      <c r="CC53" s="1833">
        <v>0</v>
      </c>
      <c r="CD53" s="1037">
        <f>+CE53-SUM(CA53:CC53)</f>
        <v>0</v>
      </c>
      <c r="CE53" s="2038">
        <v>0</v>
      </c>
      <c r="CF53" s="1037"/>
      <c r="CG53" s="1841">
        <v>0.3</v>
      </c>
      <c r="CH53" s="1833">
        <v>-0.5</v>
      </c>
      <c r="CI53" s="1833">
        <v>-0.2</v>
      </c>
      <c r="CJ53" s="1833">
        <v>0</v>
      </c>
      <c r="CK53" s="1032">
        <f>SUM(CG53:CJ53)</f>
        <v>-0.4</v>
      </c>
      <c r="CL53" s="1037"/>
      <c r="CM53" s="1031">
        <v>0</v>
      </c>
      <c r="CN53" s="1030">
        <v>0</v>
      </c>
      <c r="CO53" s="1030">
        <v>0</v>
      </c>
      <c r="CP53" s="1030">
        <v>0</v>
      </c>
      <c r="CQ53" s="1032">
        <f>SUM(CM53:CP53)</f>
        <v>0</v>
      </c>
      <c r="CR53" s="1037"/>
      <c r="CS53" s="1031">
        <v>0</v>
      </c>
      <c r="CT53" s="1030">
        <v>0</v>
      </c>
      <c r="CU53" s="1030">
        <v>0</v>
      </c>
      <c r="CV53" s="1030">
        <v>0</v>
      </c>
      <c r="CW53" s="1032">
        <f>SUM(CS53:CV53)</f>
        <v>0</v>
      </c>
      <c r="CX53" s="1037"/>
      <c r="CY53" s="1031">
        <v>0</v>
      </c>
      <c r="CZ53" s="1030">
        <v>0</v>
      </c>
      <c r="DA53" s="1030">
        <v>0</v>
      </c>
      <c r="DB53" s="1030">
        <v>0</v>
      </c>
      <c r="DC53" s="1032">
        <f>SUM(CY53:DB53)</f>
        <v>0</v>
      </c>
      <c r="DD53" s="1037"/>
      <c r="DE53" s="1031">
        <v>0</v>
      </c>
      <c r="DF53" s="1030">
        <v>0</v>
      </c>
      <c r="DG53" s="1030">
        <v>0</v>
      </c>
      <c r="DH53" s="1030">
        <v>0</v>
      </c>
      <c r="DI53" s="1032">
        <f>SUM(DE53:DH53)</f>
        <v>0</v>
      </c>
      <c r="DP53" s="225"/>
    </row>
    <row r="54" spans="1:127" ht="11.25" customHeight="1">
      <c r="A54" s="1033" t="s">
        <v>183</v>
      </c>
      <c r="B54" s="1034"/>
      <c r="C54" s="1035">
        <f>SUM(C50:C53)</f>
        <v>1.1349160000000009</v>
      </c>
      <c r="D54" s="1034"/>
      <c r="E54" s="1035">
        <f>SUM(E50:E53)</f>
        <v>2.4429999999999996</v>
      </c>
      <c r="F54" s="1034"/>
      <c r="G54" s="1035">
        <f>SUM(G50:G53)</f>
        <v>21.735000000000007</v>
      </c>
      <c r="H54" s="1034"/>
      <c r="I54" s="1035">
        <f>SUM(I50:I53)</f>
        <v>8.3810000000000091</v>
      </c>
      <c r="J54" s="1034"/>
      <c r="K54" s="1035">
        <f>SUM(K50:K53)</f>
        <v>84.811000000000007</v>
      </c>
      <c r="L54" s="1034"/>
      <c r="M54" s="1035">
        <f>SUM(M50:M53)</f>
        <v>25.342000000000027</v>
      </c>
      <c r="N54" s="1034"/>
      <c r="O54" s="1035">
        <f>SUM(O50:O53)</f>
        <v>32.547000000000025</v>
      </c>
      <c r="P54" s="1034"/>
      <c r="Q54" s="1035">
        <f>SUM(Q50:Q53)</f>
        <v>62.632000000000026</v>
      </c>
      <c r="R54" s="1034"/>
      <c r="S54" s="1040">
        <f>SUM(S50:S53)</f>
        <v>66.700000000000017</v>
      </c>
      <c r="T54" s="1034">
        <f>SUM(T50:T53)</f>
        <v>96.596000000000018</v>
      </c>
      <c r="U54" s="1034">
        <f>SUM(U50:U53)</f>
        <v>44.151000000000025</v>
      </c>
      <c r="V54" s="1034">
        <f>SUM(V50:V53)</f>
        <v>52.14700000000002</v>
      </c>
      <c r="W54" s="1041">
        <f>SUM(W50:W53)</f>
        <v>52.147000000000034</v>
      </c>
      <c r="X54" s="1034"/>
      <c r="Y54" s="1040">
        <f>SUM(Y50:Y53)</f>
        <v>55.692000000000029</v>
      </c>
      <c r="Z54" s="1034">
        <f>SUM(Z50:Z53)</f>
        <v>41.933000000000035</v>
      </c>
      <c r="AA54" s="1034">
        <f>SUM(AA50:AA53)</f>
        <v>38.904000000000046</v>
      </c>
      <c r="AB54" s="1034">
        <f>SUM(AB50:AB53)</f>
        <v>332.40000000000009</v>
      </c>
      <c r="AC54" s="1041">
        <f>SUM(AC50:AC53)</f>
        <v>332.40000000000009</v>
      </c>
      <c r="AD54" s="1034"/>
      <c r="AE54" s="1040">
        <f>SUM(AE50:AE53)</f>
        <v>298.26300000000009</v>
      </c>
      <c r="AF54" s="1034">
        <f>SUM(AF50:AF53)</f>
        <v>125.39900000000011</v>
      </c>
      <c r="AG54" s="1034">
        <f>SUM(AG50:AG53)</f>
        <v>84.381000000000128</v>
      </c>
      <c r="AH54" s="1034">
        <f>SUM(AH50:AH53)</f>
        <v>166.2000000000001</v>
      </c>
      <c r="AI54" s="1041">
        <f>SUM(AI50:AI53)</f>
        <v>166.2000000000001</v>
      </c>
      <c r="AJ54" s="1034"/>
      <c r="AK54" s="1040">
        <f>SUM(AK50:AK53)</f>
        <v>148.40000000000009</v>
      </c>
      <c r="AL54" s="1034">
        <f>SUM(AL50:AL53)</f>
        <v>152.60000000000011</v>
      </c>
      <c r="AM54" s="1034">
        <f>SUM(AM50:AM53)</f>
        <v>148.50000000000009</v>
      </c>
      <c r="AN54" s="1034">
        <f>SUM(AN50:AN53)</f>
        <v>207.10000000000011</v>
      </c>
      <c r="AO54" s="1041">
        <f>SUM(AO50:AO53)</f>
        <v>207.10000000000014</v>
      </c>
      <c r="AP54" s="1034"/>
      <c r="AQ54" s="1040">
        <f>SUM(AQ50:AQ53)</f>
        <v>203.10000000000014</v>
      </c>
      <c r="AR54" s="1034">
        <f>SUM(AR50:AR53)</f>
        <v>187.60000000000016</v>
      </c>
      <c r="AS54" s="1034">
        <f>SUM(AS50:AS53)</f>
        <v>188.00000000000017</v>
      </c>
      <c r="AT54" s="1034">
        <f>SUM(AT50:AT53)</f>
        <v>230.40000000000018</v>
      </c>
      <c r="AU54" s="1041">
        <f>SUM(AU50:AU53)</f>
        <v>230.40000000000018</v>
      </c>
      <c r="AV54" s="1034"/>
      <c r="AW54" s="1040">
        <f>SUM(AW50:AW53)</f>
        <v>193.30000000000018</v>
      </c>
      <c r="AX54" s="1034">
        <f>SUM(AX50:AX53)</f>
        <v>169.80000000000018</v>
      </c>
      <c r="AY54" s="1034">
        <f>SUM(AY50:AY53)</f>
        <v>195.80000000000018</v>
      </c>
      <c r="AZ54" s="1034">
        <f>SUM(AZ50:AZ53)</f>
        <v>246.00000000000017</v>
      </c>
      <c r="BA54" s="1041">
        <f>SUM(BA50:BA53)</f>
        <v>246.00000000000014</v>
      </c>
      <c r="BB54" s="1034"/>
      <c r="BC54" s="1040">
        <f>SUM(BC50:BC53)</f>
        <v>229.50000000000011</v>
      </c>
      <c r="BD54" s="1034">
        <f>SUM(BD50:BD53)</f>
        <v>240.30000000000013</v>
      </c>
      <c r="BE54" s="1034">
        <f>SUM(BE50:BE53)</f>
        <v>242.10000000000014</v>
      </c>
      <c r="BF54" s="1034">
        <f>SUM(BF50:BF53)</f>
        <v>310.60000000000014</v>
      </c>
      <c r="BG54" s="1041">
        <f>SUM(BG50:BG53)</f>
        <v>310.60000000000014</v>
      </c>
      <c r="BH54" s="1034"/>
      <c r="BI54" s="1040">
        <f>SUM(BI50:BI53)</f>
        <v>269.40000000000015</v>
      </c>
      <c r="BJ54" s="1034">
        <f>SUM(BJ50:BJ53)</f>
        <v>250.90000000000015</v>
      </c>
      <c r="BK54" s="1034">
        <f>SUM(BK50:BK53)</f>
        <v>306.80000000000013</v>
      </c>
      <c r="BL54" s="1034">
        <f>SUM(BL50:BL53)</f>
        <v>438.70000000000016</v>
      </c>
      <c r="BM54" s="1041">
        <f>SUM(BM50:BM53)</f>
        <v>438.70000000000016</v>
      </c>
      <c r="BN54" s="1034"/>
      <c r="BO54" s="1040">
        <f>SUM(BO50:BO53)</f>
        <v>454.00000000000017</v>
      </c>
      <c r="BP54" s="1034">
        <f>SUM(BP50:BP53)</f>
        <v>389.80000000000018</v>
      </c>
      <c r="BQ54" s="1034">
        <f>SUM(BQ50:BQ53)</f>
        <v>329.20000000000016</v>
      </c>
      <c r="BR54" s="1034">
        <f>SUM(BR50:BR53)</f>
        <v>319.50000000000017</v>
      </c>
      <c r="BS54" s="1041">
        <f>SUM(BS50:BS53)</f>
        <v>319.50000000000023</v>
      </c>
      <c r="BT54" s="1034"/>
      <c r="BU54" s="1040">
        <f>SUM(BU50:BU53)</f>
        <v>334.50000000000023</v>
      </c>
      <c r="BV54" s="1034">
        <f>SUM(BV50:BV53)</f>
        <v>320.80000000000024</v>
      </c>
      <c r="BW54" s="1034">
        <f>SUM(BW50:BW53)</f>
        <v>331.00000000000023</v>
      </c>
      <c r="BX54" s="1034">
        <f>SUM(BX50:BX53)</f>
        <v>267.10000000000025</v>
      </c>
      <c r="BY54" s="1041">
        <f>SUM(BY50:BY53)</f>
        <v>267.10000000000019</v>
      </c>
      <c r="BZ54" s="1034"/>
      <c r="CA54" s="1040">
        <f>SUM(CA50:CA53)</f>
        <v>209.90000000000018</v>
      </c>
      <c r="CB54" s="1034">
        <f>SUM(CB50:CB53)</f>
        <v>232.50000000000017</v>
      </c>
      <c r="CC54" s="1034">
        <f>SUM(CC50:CC53)</f>
        <v>278.70000000000016</v>
      </c>
      <c r="CD54" s="1034">
        <f>SUM(CD50:CD53)</f>
        <v>342.40000000000015</v>
      </c>
      <c r="CE54" s="1041">
        <f>SUM(CE50:CE53)</f>
        <v>342.4000000000002</v>
      </c>
      <c r="CF54" s="1034"/>
      <c r="CG54" s="1040">
        <f>SUM(CG50:CG53)</f>
        <v>277.50000000000023</v>
      </c>
      <c r="CH54" s="1034">
        <f>SUM(CH50:CH53)</f>
        <v>217.70000000000022</v>
      </c>
      <c r="CI54" s="1034">
        <f>SUM(CI50:CI53)</f>
        <v>263.90000000000026</v>
      </c>
      <c r="CJ54" s="1034">
        <f>SUM(CJ50:CJ53)</f>
        <v>325.00000000000028</v>
      </c>
      <c r="CK54" s="1042">
        <f>SUM(CK50:CK53)</f>
        <v>325.00000000000023</v>
      </c>
      <c r="CL54" s="1034"/>
      <c r="CM54" s="1040">
        <f>SUM(CM50:CM53)</f>
        <v>312.84184589911496</v>
      </c>
      <c r="CN54" s="1034">
        <f>SUM(CN50:CN53)</f>
        <v>246.96275147503138</v>
      </c>
      <c r="CO54" s="1034">
        <f>SUM(CO50:CO53)</f>
        <v>261.09176076787952</v>
      </c>
      <c r="CP54" s="1034">
        <f>SUM(CP50:CP53)</f>
        <v>293.30349483336818</v>
      </c>
      <c r="CQ54" s="1042">
        <f>SUM(CQ50:CQ53)</f>
        <v>293.30349483336812</v>
      </c>
      <c r="CR54" s="1034"/>
      <c r="CS54" s="1040">
        <f>SUM(CS50:CS53)</f>
        <v>379.19565401846859</v>
      </c>
      <c r="CT54" s="1034">
        <f>SUM(CT50:CT53)</f>
        <v>312.66565770865697</v>
      </c>
      <c r="CU54" s="1034">
        <f>SUM(CU50:CU53)</f>
        <v>290.74680450626346</v>
      </c>
      <c r="CV54" s="1034">
        <f>SUM(CV50:CV53)</f>
        <v>244.85339430328472</v>
      </c>
      <c r="CW54" s="1042">
        <f>SUM(CW50:CW53)</f>
        <v>244.85339430328474</v>
      </c>
      <c r="CX54" s="1034"/>
      <c r="CY54" s="1040">
        <f>SUM(CY50:CY53)</f>
        <v>354.17835302983133</v>
      </c>
      <c r="CZ54" s="1034">
        <f>SUM(CZ50:CZ53)</f>
        <v>304.95537247073042</v>
      </c>
      <c r="DA54" s="1034">
        <f>SUM(DA50:DA53)</f>
        <v>281.3344722208704</v>
      </c>
      <c r="DB54" s="1034">
        <f>SUM(DB50:DB53)</f>
        <v>238.41079774061339</v>
      </c>
      <c r="DC54" s="1042">
        <f>SUM(DC50:DC53)</f>
        <v>238.4107977406135</v>
      </c>
      <c r="DD54" s="1034"/>
      <c r="DE54" s="1040">
        <f>SUM(DE50:DE53)</f>
        <v>397.6083154058033</v>
      </c>
      <c r="DF54" s="1034">
        <f>SUM(DF50:DF53)</f>
        <v>336.05344762009685</v>
      </c>
      <c r="DG54" s="1034">
        <f>SUM(DG50:DG53)</f>
        <v>318.78189417001852</v>
      </c>
      <c r="DH54" s="1034">
        <f>SUM(DH50:DH53)</f>
        <v>254.92699553579138</v>
      </c>
      <c r="DI54" s="1042">
        <f>SUM(DI50:DI53)</f>
        <v>254.92699553579135</v>
      </c>
      <c r="DP54" s="235"/>
    </row>
    <row r="55" spans="1:127" s="278" customFormat="1" ht="11.25" hidden="1" customHeight="1" outlineLevel="1">
      <c r="A55" s="1017" t="s">
        <v>68</v>
      </c>
      <c r="B55" s="187"/>
      <c r="C55" s="1018">
        <f>C54-BS!C10</f>
        <v>0</v>
      </c>
      <c r="D55" s="1019"/>
      <c r="E55" s="1018">
        <f>E54-BS!E10</f>
        <v>0</v>
      </c>
      <c r="F55" s="1019"/>
      <c r="G55" s="1018">
        <f>G54-BS!G10</f>
        <v>0</v>
      </c>
      <c r="H55" s="1019"/>
      <c r="I55" s="1018">
        <f>I54-BS!I10</f>
        <v>0</v>
      </c>
      <c r="J55" s="1019"/>
      <c r="K55" s="1018">
        <f>K54-BS!K10</f>
        <v>0</v>
      </c>
      <c r="L55" s="1019"/>
      <c r="M55" s="1018">
        <f>M54-BS!M10</f>
        <v>2.8421709430404007E-14</v>
      </c>
      <c r="N55" s="1019"/>
      <c r="O55" s="1018">
        <f>O54-BS!O10</f>
        <v>0</v>
      </c>
      <c r="P55" s="1019"/>
      <c r="Q55" s="1018">
        <f>Q54-BS!Q10</f>
        <v>0</v>
      </c>
      <c r="R55" s="1019"/>
      <c r="S55" s="1018">
        <f>S54-BS!S10</f>
        <v>0</v>
      </c>
      <c r="T55" s="1018">
        <f>T54-BS!T10</f>
        <v>0</v>
      </c>
      <c r="U55" s="1018">
        <f>U54-BS!U10</f>
        <v>0</v>
      </c>
      <c r="V55" s="1018">
        <f>V54-BS!V10</f>
        <v>0</v>
      </c>
      <c r="W55" s="1018">
        <f>W54-BS!W10</f>
        <v>0</v>
      </c>
      <c r="X55" s="1019"/>
      <c r="Y55" s="1018">
        <f>Y54-BS!Y10</f>
        <v>0</v>
      </c>
      <c r="Z55" s="1018">
        <f>Z54-BS!Z10</f>
        <v>0</v>
      </c>
      <c r="AA55" s="1018">
        <f>AA54-BS!AA10</f>
        <v>0</v>
      </c>
      <c r="AB55" s="1018">
        <f>AB54-BS!AB10</f>
        <v>0</v>
      </c>
      <c r="AC55" s="1018">
        <f>AC54-BS!AC10</f>
        <v>0</v>
      </c>
      <c r="AD55" s="1019"/>
      <c r="AE55" s="1018">
        <f>AE54-BS!AE10</f>
        <v>0</v>
      </c>
      <c r="AF55" s="1239">
        <f>AF54-BS!AF10</f>
        <v>1.1368683772161603E-13</v>
      </c>
      <c r="AG55" s="1239">
        <f>AG54-BS!AG10</f>
        <v>1.2789769243681803E-13</v>
      </c>
      <c r="AH55" s="1018">
        <f>AH54-BS!AH10</f>
        <v>0</v>
      </c>
      <c r="AI55" s="1018">
        <f>AI54-BS!AI10</f>
        <v>0</v>
      </c>
      <c r="AJ55" s="1019"/>
      <c r="AK55" s="1018">
        <f>AK54-BS!AK10</f>
        <v>0</v>
      </c>
      <c r="AL55" s="1018">
        <f>AL54-BS!AL10</f>
        <v>0</v>
      </c>
      <c r="AM55" s="1018">
        <f>AM54-BS!AM10</f>
        <v>0</v>
      </c>
      <c r="AN55" s="1018">
        <f>AN54-BS!AN10</f>
        <v>0</v>
      </c>
      <c r="AO55" s="1018">
        <f>AO54-BS!AO10</f>
        <v>0</v>
      </c>
      <c r="AP55" s="1019"/>
      <c r="AQ55" s="1018">
        <f>AQ54-BS!AQ10</f>
        <v>0</v>
      </c>
      <c r="AR55" s="1018">
        <f>AR54-BS!AR10</f>
        <v>0</v>
      </c>
      <c r="AS55" s="1018">
        <f>AS54-BS!AS10</f>
        <v>0</v>
      </c>
      <c r="AT55" s="1018">
        <f>AT54-BS!AT10</f>
        <v>0</v>
      </c>
      <c r="AU55" s="1018">
        <f>AU54-BS!AU10</f>
        <v>0</v>
      </c>
      <c r="AV55" s="1019"/>
      <c r="AW55" s="1018">
        <f>AW54-BS!AW10</f>
        <v>0</v>
      </c>
      <c r="AX55" s="1018">
        <f>AX54-BS!AX10</f>
        <v>0</v>
      </c>
      <c r="AY55" s="1018">
        <f>AY54-BS!AY10</f>
        <v>0</v>
      </c>
      <c r="AZ55" s="1018">
        <f>AZ54-BS!AZ10</f>
        <v>0</v>
      </c>
      <c r="BA55" s="1018">
        <f>BA54-BS!BA10</f>
        <v>0</v>
      </c>
      <c r="BB55" s="1019"/>
      <c r="BC55" s="1018">
        <f>BC54-BS!BC10</f>
        <v>0</v>
      </c>
      <c r="BD55" s="1018">
        <f>BD54-BS!BD10</f>
        <v>0</v>
      </c>
      <c r="BE55" s="1018">
        <f>BE54-BS!BE10</f>
        <v>0</v>
      </c>
      <c r="BF55" s="1018">
        <f>BF54-BS!BF10</f>
        <v>0</v>
      </c>
      <c r="BG55" s="1018">
        <f>BG54-BS!BG10</f>
        <v>0</v>
      </c>
      <c r="BH55" s="1019"/>
      <c r="BI55" s="1018">
        <f>BI54-BS!BI10</f>
        <v>0</v>
      </c>
      <c r="BJ55" s="1018">
        <f>BJ54-BS!BJ10</f>
        <v>0</v>
      </c>
      <c r="BK55" s="1018">
        <f>BK54-BS!BK10</f>
        <v>0</v>
      </c>
      <c r="BL55" s="1018">
        <f>BL54-BS!BL10</f>
        <v>0</v>
      </c>
      <c r="BM55" s="1018">
        <f>BM54-BS!BM10</f>
        <v>0</v>
      </c>
      <c r="BN55" s="1019"/>
      <c r="BO55" s="1018">
        <f>BO54-BS!BO10</f>
        <v>0</v>
      </c>
      <c r="BP55" s="1018">
        <f>BP54-BS!BP10</f>
        <v>0</v>
      </c>
      <c r="BQ55" s="1018">
        <f>BQ54-BS!BQ10</f>
        <v>0</v>
      </c>
      <c r="BR55" s="1018">
        <f>BR54-BS!BR10</f>
        <v>0</v>
      </c>
      <c r="BS55" s="1018">
        <f>BS54-BS!BS10</f>
        <v>0</v>
      </c>
      <c r="BT55" s="1019"/>
      <c r="BU55" s="1018">
        <f>BU54-BS!BU10</f>
        <v>0</v>
      </c>
      <c r="BV55" s="1018">
        <f>BV54-BS!BV10</f>
        <v>0</v>
      </c>
      <c r="BW55" s="1018">
        <f>BW54-BS!BW10</f>
        <v>0</v>
      </c>
      <c r="BX55" s="1018">
        <f>BX54-BS!BX10</f>
        <v>0</v>
      </c>
      <c r="BY55" s="1018">
        <f>BY54-BS!BY10</f>
        <v>0</v>
      </c>
      <c r="BZ55" s="1019"/>
      <c r="CA55" s="1018">
        <f>CA54-BS!CA10</f>
        <v>0</v>
      </c>
      <c r="CB55" s="1018">
        <f>CB54-BS!CB10</f>
        <v>0</v>
      </c>
      <c r="CC55" s="1018">
        <f>CC54-BS!CC10</f>
        <v>0</v>
      </c>
      <c r="CD55" s="1018">
        <f>CD54-BS!CD10</f>
        <v>0</v>
      </c>
      <c r="CE55" s="1018">
        <f>CE54-BS!CE10</f>
        <v>0</v>
      </c>
      <c r="CF55" s="1019"/>
      <c r="CG55" s="1018">
        <f>CG54-BS!CG10</f>
        <v>0</v>
      </c>
      <c r="CH55" s="1018">
        <f>ROUND(CH54-BS!CH10,10)</f>
        <v>0</v>
      </c>
      <c r="CI55" s="1018">
        <f>CI54-BS!CI10</f>
        <v>0</v>
      </c>
      <c r="CJ55" s="1018">
        <f>CJ54-BS!CJ10</f>
        <v>0</v>
      </c>
      <c r="CK55" s="1018">
        <f>CK54-BS!CK10</f>
        <v>0</v>
      </c>
      <c r="CL55" s="1019"/>
      <c r="CM55" s="1018">
        <f>CM54-BS!CM10</f>
        <v>0</v>
      </c>
      <c r="CN55" s="1018">
        <f>CN54-BS!CN10</f>
        <v>0</v>
      </c>
      <c r="CO55" s="1018">
        <f>CO54-BS!CO10</f>
        <v>0</v>
      </c>
      <c r="CP55" s="1018">
        <f>CP54-BS!CP10</f>
        <v>0</v>
      </c>
      <c r="CQ55" s="1018">
        <f>CQ54-BS!CQ10</f>
        <v>0</v>
      </c>
      <c r="CR55" s="1019"/>
      <c r="CS55" s="1018">
        <f>CS54-BS!CS10</f>
        <v>0</v>
      </c>
      <c r="CT55" s="1018">
        <f>CT54-BS!CT10</f>
        <v>0</v>
      </c>
      <c r="CU55" s="1018">
        <f>CU54-BS!CU10</f>
        <v>0</v>
      </c>
      <c r="CV55" s="1018">
        <f>CV54-BS!CV10</f>
        <v>0</v>
      </c>
      <c r="CW55" s="1018">
        <f>CW54-BS!CW10</f>
        <v>0</v>
      </c>
      <c r="CX55" s="1019"/>
      <c r="CY55" s="1018">
        <f>CY54-BS!CY10</f>
        <v>0</v>
      </c>
      <c r="CZ55" s="1018">
        <f>CZ54-BS!CZ10</f>
        <v>0</v>
      </c>
      <c r="DA55" s="1018">
        <f>DA54-BS!DA10</f>
        <v>0</v>
      </c>
      <c r="DB55" s="1018">
        <f>DB54-BS!DB10</f>
        <v>0</v>
      </c>
      <c r="DC55" s="1018">
        <f>DC54-BS!DC10</f>
        <v>0</v>
      </c>
      <c r="DD55" s="1019"/>
      <c r="DE55" s="1018">
        <f>DE54-BS!DE10</f>
        <v>0</v>
      </c>
      <c r="DF55" s="1018">
        <f>DF54-BS!DF10</f>
        <v>0</v>
      </c>
      <c r="DG55" s="1018">
        <f>DG54-BS!DG10</f>
        <v>0</v>
      </c>
      <c r="DH55" s="1018">
        <f>DH54-BS!DH10</f>
        <v>0</v>
      </c>
      <c r="DI55" s="1018">
        <f>DI54-BS!DI10</f>
        <v>0</v>
      </c>
      <c r="DJ55"/>
      <c r="DK55"/>
      <c r="DL55"/>
      <c r="DM55"/>
      <c r="DN55"/>
      <c r="DO55"/>
      <c r="DP55" s="235"/>
    </row>
    <row r="56" spans="1:127" ht="11.25" hidden="1" customHeight="1" outlineLevel="1">
      <c r="A56" s="240" t="s">
        <v>94</v>
      </c>
      <c r="B56" s="219"/>
      <c r="C56" s="241"/>
      <c r="D56" s="219"/>
      <c r="E56" s="241"/>
      <c r="F56" s="219"/>
      <c r="G56" s="241"/>
      <c r="H56" s="219"/>
      <c r="I56" s="241"/>
      <c r="J56" s="219"/>
      <c r="K56" s="241"/>
      <c r="L56" s="219"/>
      <c r="M56" s="241"/>
      <c r="N56" s="219"/>
      <c r="O56" s="241"/>
      <c r="P56" s="219"/>
      <c r="Q56" s="241"/>
      <c r="R56" s="219"/>
      <c r="S56" s="241"/>
      <c r="T56" s="241"/>
      <c r="U56" s="241"/>
      <c r="V56" s="241"/>
      <c r="W56" s="241"/>
      <c r="X56" s="219"/>
      <c r="Y56" s="241"/>
      <c r="Z56" s="241"/>
      <c r="AA56" s="241"/>
      <c r="AB56" s="241"/>
      <c r="AC56" s="241"/>
      <c r="AD56" s="219"/>
      <c r="AE56" s="241"/>
      <c r="AF56" s="241"/>
      <c r="AG56" s="241"/>
      <c r="AH56" s="241"/>
      <c r="AI56" s="241"/>
      <c r="AJ56" s="219"/>
      <c r="AK56" s="241"/>
      <c r="AL56" s="241"/>
      <c r="AM56" s="241"/>
      <c r="AN56" s="241"/>
      <c r="AO56" s="241"/>
      <c r="AP56" s="219"/>
      <c r="AQ56" s="241"/>
      <c r="AR56" s="241"/>
      <c r="AS56" s="241"/>
      <c r="AT56" s="241"/>
      <c r="AU56" s="242"/>
      <c r="AV56" s="219"/>
      <c r="AW56" s="241"/>
      <c r="AX56" s="241"/>
      <c r="AY56" s="219"/>
      <c r="AZ56" s="219"/>
      <c r="BA56" s="242"/>
      <c r="BB56" s="219"/>
      <c r="BC56" s="241"/>
      <c r="BD56" s="219"/>
      <c r="BE56" s="219"/>
      <c r="BF56" s="219"/>
      <c r="BG56" s="242"/>
      <c r="BH56" s="219"/>
      <c r="BI56" s="219"/>
      <c r="BJ56" s="219"/>
      <c r="BK56" s="219"/>
      <c r="BL56" s="219"/>
      <c r="BM56" s="242"/>
      <c r="BN56" s="242"/>
      <c r="BO56" s="219"/>
      <c r="BP56" s="219"/>
      <c r="BQ56" s="219"/>
      <c r="BR56" s="219"/>
      <c r="BS56" s="242"/>
      <c r="BT56" s="242"/>
      <c r="BU56" s="242"/>
      <c r="BV56" s="242"/>
      <c r="BW56" s="242"/>
      <c r="BX56" s="242"/>
      <c r="BY56" s="242"/>
      <c r="BZ56" s="242"/>
      <c r="CA56" s="242"/>
      <c r="CB56" s="242"/>
      <c r="CC56" s="242"/>
      <c r="CD56" s="243"/>
      <c r="CE56" s="242"/>
      <c r="CF56" s="242"/>
      <c r="CG56" s="242"/>
      <c r="CH56" s="242"/>
      <c r="CI56" s="242"/>
      <c r="CJ56" s="2361"/>
      <c r="CK56" s="242"/>
      <c r="CL56" s="242"/>
      <c r="CM56" s="242"/>
      <c r="CN56" s="242"/>
      <c r="CO56" s="242"/>
      <c r="CP56" s="242"/>
      <c r="CQ56" s="242"/>
      <c r="CR56" s="242"/>
      <c r="CS56" s="242"/>
      <c r="CT56" s="242"/>
      <c r="CU56" s="242"/>
      <c r="CV56" s="242"/>
      <c r="CW56" s="242"/>
      <c r="CX56" s="242"/>
      <c r="CY56" s="242"/>
      <c r="CZ56" s="242"/>
      <c r="DA56" s="242"/>
      <c r="DB56" s="242"/>
      <c r="DC56" s="242"/>
      <c r="DD56" s="242"/>
      <c r="DE56" s="242"/>
      <c r="DF56" s="242"/>
      <c r="DG56" s="242"/>
      <c r="DH56" s="242"/>
      <c r="DI56" s="242"/>
      <c r="DP56" s="70"/>
    </row>
    <row r="57" spans="1:127" ht="11.25" customHeight="1" collapsed="1">
      <c r="A57" s="240"/>
      <c r="B57" s="219"/>
      <c r="C57" s="241"/>
      <c r="D57" s="219"/>
      <c r="E57" s="241"/>
      <c r="F57" s="219"/>
      <c r="G57" s="241"/>
      <c r="H57" s="219"/>
      <c r="I57" s="241"/>
      <c r="J57" s="219"/>
      <c r="K57" s="241"/>
      <c r="L57" s="219"/>
      <c r="M57" s="241"/>
      <c r="N57" s="219"/>
      <c r="O57" s="241"/>
      <c r="P57" s="219"/>
      <c r="Q57" s="241"/>
      <c r="R57" s="219"/>
      <c r="S57" s="241"/>
      <c r="T57" s="241"/>
      <c r="U57" s="241"/>
      <c r="V57" s="241"/>
      <c r="W57" s="242"/>
      <c r="X57" s="219"/>
      <c r="Y57" s="241"/>
      <c r="Z57" s="241"/>
      <c r="AA57" s="241"/>
      <c r="AB57" s="241"/>
      <c r="AC57" s="242"/>
      <c r="AD57" s="219"/>
      <c r="AE57" s="241"/>
      <c r="AF57" s="241"/>
      <c r="AG57" s="241"/>
      <c r="AH57" s="241"/>
      <c r="AI57" s="242"/>
      <c r="AJ57" s="219"/>
      <c r="AK57" s="241"/>
      <c r="AL57" s="241"/>
      <c r="AM57" s="241"/>
      <c r="AN57" s="241"/>
      <c r="AO57" s="242"/>
      <c r="AP57" s="219"/>
      <c r="AQ57" s="241"/>
      <c r="AR57" s="241"/>
      <c r="AS57" s="241"/>
      <c r="AT57" s="241"/>
      <c r="AU57" s="242"/>
      <c r="AV57" s="219"/>
      <c r="AW57" s="241"/>
      <c r="AX57" s="241"/>
      <c r="AY57" s="219"/>
      <c r="AZ57" s="219"/>
      <c r="BA57" s="242"/>
      <c r="BB57" s="219"/>
      <c r="BC57" s="241"/>
      <c r="BD57" s="219"/>
      <c r="BE57" s="219"/>
      <c r="BF57" s="219"/>
      <c r="BG57" s="242"/>
      <c r="BH57" s="219"/>
      <c r="BI57" s="243"/>
      <c r="BJ57" s="219"/>
      <c r="BK57" s="219"/>
      <c r="BL57" s="219"/>
      <c r="BM57" s="242"/>
      <c r="BN57" s="219"/>
      <c r="BO57" s="219"/>
      <c r="BP57" s="219"/>
      <c r="BQ57" s="219"/>
      <c r="BR57" s="219"/>
      <c r="BS57" s="242"/>
      <c r="BT57" s="219"/>
      <c r="BU57" s="219"/>
      <c r="BV57" s="219"/>
      <c r="BW57" s="219"/>
      <c r="BX57" s="219"/>
      <c r="BY57" s="242"/>
      <c r="BZ57" s="219"/>
      <c r="CA57" s="219"/>
      <c r="CB57" s="219"/>
      <c r="CC57" s="219"/>
      <c r="CD57" s="219"/>
      <c r="CE57" s="242"/>
      <c r="CF57" s="219"/>
      <c r="CG57" s="219"/>
      <c r="CH57" s="219"/>
      <c r="CI57" s="219"/>
      <c r="CJ57" s="219"/>
      <c r="CK57" s="242"/>
      <c r="CL57" s="219"/>
      <c r="CM57" s="219"/>
      <c r="CN57" s="219"/>
      <c r="CO57" s="219"/>
      <c r="CP57" s="219"/>
      <c r="CQ57" s="242"/>
      <c r="CR57" s="70"/>
      <c r="CS57" s="219"/>
      <c r="CT57" s="219"/>
      <c r="CU57" s="219"/>
      <c r="CV57" s="219"/>
      <c r="CW57" s="242"/>
      <c r="CX57" s="70"/>
      <c r="CY57" s="219"/>
      <c r="CZ57" s="219"/>
      <c r="DA57" s="219"/>
      <c r="DB57" s="219"/>
      <c r="DC57" s="242"/>
      <c r="DD57" s="70"/>
      <c r="DE57" s="219"/>
      <c r="DF57" s="219"/>
      <c r="DG57" s="219"/>
      <c r="DH57" s="219"/>
      <c r="DI57" s="242"/>
      <c r="DP57" s="70"/>
    </row>
    <row r="58" spans="1:127" ht="11.25" customHeight="1">
      <c r="A58" s="73" t="s">
        <v>95</v>
      </c>
      <c r="B58" s="244"/>
      <c r="C58" s="245"/>
      <c r="D58" s="244"/>
      <c r="E58" s="245"/>
      <c r="F58" s="244"/>
      <c r="G58" s="245"/>
      <c r="H58" s="244"/>
      <c r="I58" s="245"/>
      <c r="J58" s="244"/>
      <c r="K58" s="245"/>
      <c r="L58" s="244"/>
      <c r="M58" s="245"/>
      <c r="N58" s="244"/>
      <c r="O58" s="245"/>
      <c r="P58" s="244"/>
      <c r="Q58" s="245"/>
      <c r="R58" s="244"/>
      <c r="S58" s="244"/>
      <c r="T58" s="244"/>
      <c r="U58" s="244"/>
      <c r="V58" s="244"/>
      <c r="W58" s="244"/>
      <c r="X58" s="244"/>
      <c r="Y58" s="244"/>
      <c r="Z58" s="244"/>
      <c r="AA58" s="244"/>
      <c r="AB58" s="244"/>
      <c r="AC58" s="244"/>
      <c r="AD58" s="244"/>
      <c r="AE58" s="244"/>
      <c r="AF58" s="244"/>
      <c r="AG58" s="244"/>
      <c r="AH58" s="244"/>
      <c r="AI58" s="244"/>
      <c r="AJ58" s="244"/>
      <c r="AK58" s="244"/>
      <c r="AL58" s="244"/>
      <c r="AM58" s="244"/>
      <c r="AN58" s="244"/>
      <c r="AO58" s="244"/>
      <c r="AP58" s="244"/>
      <c r="AQ58" s="244"/>
      <c r="AR58" s="244"/>
      <c r="AS58" s="244"/>
      <c r="AT58" s="244"/>
      <c r="AU58" s="244"/>
      <c r="AV58" s="244"/>
      <c r="AW58" s="244"/>
      <c r="AX58" s="244"/>
      <c r="AY58" s="244"/>
      <c r="AZ58" s="244"/>
      <c r="BA58" s="244"/>
      <c r="BB58" s="244"/>
      <c r="BC58" s="244"/>
      <c r="BD58" s="244"/>
      <c r="BE58" s="244"/>
      <c r="BF58" s="244"/>
      <c r="BG58" s="244"/>
      <c r="BH58" s="244"/>
      <c r="BI58" s="244"/>
      <c r="BJ58" s="244"/>
      <c r="BK58" s="244"/>
      <c r="BL58" s="244"/>
      <c r="BM58" s="244"/>
      <c r="BN58" s="244"/>
      <c r="BO58" s="244"/>
      <c r="BP58" s="244"/>
      <c r="BQ58" s="244"/>
      <c r="BR58" s="244"/>
      <c r="BS58" s="76"/>
      <c r="BT58" s="244"/>
      <c r="BU58" s="244"/>
      <c r="BV58" s="244"/>
      <c r="BW58" s="244"/>
      <c r="BX58" s="244"/>
      <c r="BY58" s="76"/>
      <c r="BZ58" s="244"/>
      <c r="CA58" s="244"/>
      <c r="CB58" s="244"/>
      <c r="CC58" s="244"/>
      <c r="CD58" s="244"/>
      <c r="CE58" s="76"/>
      <c r="CF58" s="244"/>
      <c r="CG58" s="244"/>
      <c r="CH58" s="244"/>
      <c r="CI58" s="244"/>
      <c r="CJ58" s="244"/>
      <c r="CK58" s="76"/>
      <c r="CL58" s="244"/>
      <c r="CM58" s="244"/>
      <c r="CN58" s="244"/>
      <c r="CO58" s="244"/>
      <c r="CP58" s="244"/>
      <c r="CQ58" s="76"/>
      <c r="CR58" s="244"/>
      <c r="CS58" s="244"/>
      <c r="CT58" s="244"/>
      <c r="CU58" s="244"/>
      <c r="CV58" s="244"/>
      <c r="CW58" s="76"/>
      <c r="CX58" s="244"/>
      <c r="CY58" s="244"/>
      <c r="CZ58" s="244"/>
      <c r="DA58" s="244"/>
      <c r="DB58" s="244"/>
      <c r="DC58" s="76"/>
      <c r="DD58" s="244"/>
      <c r="DE58" s="244"/>
      <c r="DF58" s="244"/>
      <c r="DG58" s="244"/>
      <c r="DH58" s="244"/>
      <c r="DI58" s="76"/>
      <c r="DP58" s="242"/>
      <c r="DQ58" s="242"/>
      <c r="DR58" s="242"/>
      <c r="DS58" s="219"/>
      <c r="DT58" s="2003"/>
      <c r="DU58" s="2003"/>
      <c r="DV58" s="2009"/>
      <c r="DW58" s="2009"/>
    </row>
    <row r="59" spans="1:127" ht="11.25" customHeight="1">
      <c r="A59" s="246" t="s">
        <v>184</v>
      </c>
      <c r="B59" s="202"/>
      <c r="C59" s="247">
        <f>C26+C30</f>
        <v>-9.4219999999999988</v>
      </c>
      <c r="D59" s="202"/>
      <c r="E59" s="247">
        <f>E26+E30</f>
        <v>1.2019999999999991</v>
      </c>
      <c r="F59" s="202"/>
      <c r="G59" s="247">
        <f>G26+G30</f>
        <v>-5.7829999999999995</v>
      </c>
      <c r="H59" s="202"/>
      <c r="I59" s="247">
        <f>I26+I30</f>
        <v>-29.07</v>
      </c>
      <c r="J59" s="202"/>
      <c r="K59" s="247">
        <f>K26+K30</f>
        <v>-39.493000000000002</v>
      </c>
      <c r="L59" s="202"/>
      <c r="M59" s="247">
        <f>M26+M30</f>
        <v>-11.602999999999996</v>
      </c>
      <c r="N59" s="202"/>
      <c r="O59" s="247">
        <f>O26+O30</f>
        <v>-8.1530000000000005</v>
      </c>
      <c r="P59" s="202"/>
      <c r="Q59" s="247">
        <f>Q26+Q30</f>
        <v>44.930999999999997</v>
      </c>
      <c r="R59" s="202"/>
      <c r="S59" s="495">
        <f>S26+S30</f>
        <v>2.9599999999999991</v>
      </c>
      <c r="T59" s="202">
        <f>T26+T30</f>
        <v>-0.98099999999999987</v>
      </c>
      <c r="U59" s="202">
        <f>U26+U30</f>
        <v>10.818999999999997</v>
      </c>
      <c r="V59" s="202">
        <f>V26+V30</f>
        <v>17.271999999999998</v>
      </c>
      <c r="W59" s="247">
        <f>W26+W30</f>
        <v>30.069999999999997</v>
      </c>
      <c r="X59" s="202"/>
      <c r="Y59" s="495">
        <f>Y26+Y30</f>
        <v>17.265999999999998</v>
      </c>
      <c r="Z59" s="202">
        <f>Z26+Z30</f>
        <v>-13.656000000000001</v>
      </c>
      <c r="AA59" s="202">
        <f>AA26+AA30</f>
        <v>9.3929999999999971</v>
      </c>
      <c r="AB59" s="202">
        <f>AB26+AB30</f>
        <v>68.396999999999991</v>
      </c>
      <c r="AC59" s="247">
        <f>AC26+AC30</f>
        <v>81.400000000000006</v>
      </c>
      <c r="AD59" s="202"/>
      <c r="AE59" s="495">
        <f>AE26+AE30</f>
        <v>8.9000000000000039</v>
      </c>
      <c r="AF59" s="202">
        <f>AF26+AF30</f>
        <v>-17.899999999999999</v>
      </c>
      <c r="AG59" s="202">
        <f>AG26+AG30</f>
        <v>-11.899999999999999</v>
      </c>
      <c r="AH59" s="202">
        <f>AH26+AH30</f>
        <v>80.400000000000006</v>
      </c>
      <c r="AI59" s="247">
        <f>AI26+AI30</f>
        <v>59.500000000000007</v>
      </c>
      <c r="AJ59" s="248"/>
      <c r="AK59" s="495">
        <f>AK26+AK30</f>
        <v>9.2000000000000028</v>
      </c>
      <c r="AL59" s="202">
        <f>AL26+AL30</f>
        <v>34.999999999999993</v>
      </c>
      <c r="AM59" s="202">
        <f>AM26+AM30</f>
        <v>14.199999999999994</v>
      </c>
      <c r="AN59" s="202">
        <f>AN26+AN30</f>
        <v>75.100000000000009</v>
      </c>
      <c r="AO59" s="247">
        <f>AO26+AO30</f>
        <v>133.5</v>
      </c>
      <c r="AP59" s="248"/>
      <c r="AQ59" s="495">
        <f>AQ26+AQ30</f>
        <v>9.9999999999996092E-2</v>
      </c>
      <c r="AR59" s="202">
        <f>AR26+AR30</f>
        <v>42.300000000000011</v>
      </c>
      <c r="AS59" s="202">
        <f>AS26+AS30</f>
        <v>-0.19999999999999218</v>
      </c>
      <c r="AT59" s="202">
        <f>AT26+AT30</f>
        <v>82</v>
      </c>
      <c r="AU59" s="247">
        <f>AU26+AU30</f>
        <v>124.20000000000002</v>
      </c>
      <c r="AV59" s="248"/>
      <c r="AW59" s="495">
        <f>AW26+AW30</f>
        <v>-39.300000000000011</v>
      </c>
      <c r="AX59" s="202">
        <f>AX26+AX30</f>
        <v>-19.400000000000006</v>
      </c>
      <c r="AY59" s="202">
        <f>AY26+AY30</f>
        <v>15.900000000000016</v>
      </c>
      <c r="AZ59" s="202">
        <f>AZ26+AZ30</f>
        <v>76.099999999999994</v>
      </c>
      <c r="BA59" s="247">
        <f>BA26+BA30</f>
        <v>33.299999999999976</v>
      </c>
      <c r="BB59" s="248"/>
      <c r="BC59" s="495">
        <f>BC26+BC30</f>
        <v>-6.0000000000000107</v>
      </c>
      <c r="BD59" s="202">
        <f>BD26+BD30</f>
        <v>17.500000000000011</v>
      </c>
      <c r="BE59" s="202">
        <f>BE26+BE30</f>
        <v>-19.099999999999994</v>
      </c>
      <c r="BF59" s="202">
        <f>BF26+BF30</f>
        <v>67.899999999999991</v>
      </c>
      <c r="BG59" s="247">
        <f>BG26+BG30</f>
        <v>60.300000000000026</v>
      </c>
      <c r="BH59" s="248"/>
      <c r="BI59" s="495">
        <f>BI26+BI30</f>
        <v>-32.799999999999997</v>
      </c>
      <c r="BJ59" s="202">
        <f>BJ26+BJ30</f>
        <v>-23.199999999999989</v>
      </c>
      <c r="BK59" s="202">
        <f>BK26+BK30</f>
        <v>28.299999999999994</v>
      </c>
      <c r="BL59" s="202">
        <f>BL26+BL30</f>
        <v>122.4</v>
      </c>
      <c r="BM59" s="247">
        <f>BM26+BM30</f>
        <v>94.7</v>
      </c>
      <c r="BN59" s="248"/>
      <c r="BO59" s="495">
        <f>BO26+BO30</f>
        <v>9.2999999999999972</v>
      </c>
      <c r="BP59" s="202">
        <f>BP26+BP30</f>
        <v>5.4000000000000092</v>
      </c>
      <c r="BQ59" s="202">
        <f>BQ26+BQ30</f>
        <v>3.6000000000000014</v>
      </c>
      <c r="BR59" s="202">
        <f>BR26+BR30</f>
        <v>62.2</v>
      </c>
      <c r="BS59" s="247">
        <f>BS26+BS30</f>
        <v>80.500000000000014</v>
      </c>
      <c r="BT59" s="248"/>
      <c r="BU59" s="495">
        <f>BU26+BU30</f>
        <v>21.3</v>
      </c>
      <c r="BV59" s="202">
        <f>BV26+BV30</f>
        <v>-9.1999999999999993</v>
      </c>
      <c r="BW59" s="202">
        <f>BW26+BW30</f>
        <v>45.399999999999991</v>
      </c>
      <c r="BX59" s="202">
        <f>BX26+BX30</f>
        <v>137.50000000000003</v>
      </c>
      <c r="BY59" s="247">
        <f>BY26+BY30</f>
        <v>195</v>
      </c>
      <c r="BZ59" s="248"/>
      <c r="CA59" s="495">
        <f>CA26+CA30</f>
        <v>-22</v>
      </c>
      <c r="CB59" s="202">
        <f>CB26+CB30</f>
        <v>8.899999999999995</v>
      </c>
      <c r="CC59" s="202">
        <f>CC26+CC30</f>
        <v>27.099999999999991</v>
      </c>
      <c r="CD59" s="202">
        <f>CD26+CD30</f>
        <v>79.700000000000017</v>
      </c>
      <c r="CE59" s="247">
        <f>CE26+CE30</f>
        <v>93.700000000000017</v>
      </c>
      <c r="CF59" s="248"/>
      <c r="CG59" s="495">
        <f>CG26+CG30</f>
        <v>21.099999999999994</v>
      </c>
      <c r="CH59" s="202">
        <f>CH26+CH30</f>
        <v>-26.800000000000004</v>
      </c>
      <c r="CI59" s="202">
        <f>CI26+CI30</f>
        <v>25.099999999999998</v>
      </c>
      <c r="CJ59" s="202">
        <f>CJ26+CJ30</f>
        <v>91.3</v>
      </c>
      <c r="CK59" s="247">
        <f>CK26+CK30</f>
        <v>110.69999999999997</v>
      </c>
      <c r="CL59" s="248"/>
      <c r="CM59" s="495">
        <f>CM26+CM30</f>
        <v>28.10786320363713</v>
      </c>
      <c r="CN59" s="202">
        <f>CN26+CN30</f>
        <v>-25.636990568750885</v>
      </c>
      <c r="CO59" s="202">
        <f>CO26+CO30</f>
        <v>54.347764219249029</v>
      </c>
      <c r="CP59" s="202">
        <f>CP26+CP30</f>
        <v>72.407691399360701</v>
      </c>
      <c r="CQ59" s="247">
        <f>CQ26+CQ30</f>
        <v>129.22632825349592</v>
      </c>
      <c r="CR59" s="248"/>
      <c r="CS59" s="495">
        <f>CS26+CS30</f>
        <v>136.11838191797784</v>
      </c>
      <c r="CT59" s="202">
        <f>CT26+CT30</f>
        <v>-16.337054589022479</v>
      </c>
      <c r="CU59" s="202">
        <f>CU26+CU30</f>
        <v>28.241574599290324</v>
      </c>
      <c r="CV59" s="202">
        <f>CV26+CV30</f>
        <v>4.2352532031206369</v>
      </c>
      <c r="CW59" s="247">
        <f>CW26+CW30</f>
        <v>152.25815513136632</v>
      </c>
      <c r="CX59" s="248"/>
      <c r="CY59" s="495">
        <f>CY26+CY30</f>
        <v>159.49827467694359</v>
      </c>
      <c r="CZ59" s="202">
        <f>CZ26+CZ30</f>
        <v>0.92001892645264327</v>
      </c>
      <c r="DA59" s="202">
        <f>DA26+DA30</f>
        <v>26.492481951619546</v>
      </c>
      <c r="DB59" s="202">
        <f>DB26+DB30</f>
        <v>7.1607735959605723</v>
      </c>
      <c r="DC59" s="247">
        <f>DC26+DC30</f>
        <v>194.07154915097647</v>
      </c>
      <c r="DD59" s="248"/>
      <c r="DE59" s="495">
        <f>DE26+DE30</f>
        <v>209.3229534336061</v>
      </c>
      <c r="DF59" s="202">
        <f>DF26+DF30</f>
        <v>-11.457046438341441</v>
      </c>
      <c r="DG59" s="202">
        <f>DG26+DG30</f>
        <v>32.799290727335681</v>
      </c>
      <c r="DH59" s="202">
        <f>DH26+DH30</f>
        <v>-13.810408985847323</v>
      </c>
      <c r="DI59" s="247">
        <f>DI26+DI30</f>
        <v>216.85478873675299</v>
      </c>
      <c r="DP59" s="2204"/>
      <c r="DQ59" s="2002"/>
      <c r="DR59" s="2002"/>
      <c r="DT59" s="2003"/>
      <c r="DU59" s="2003"/>
      <c r="DV59" s="2009"/>
      <c r="DW59" s="2009"/>
    </row>
    <row r="60" spans="1:127" ht="11.25" customHeight="1">
      <c r="A60" s="249" t="s">
        <v>185</v>
      </c>
      <c r="B60" s="250"/>
      <c r="C60" s="251">
        <f>C59/IS!C42</f>
        <v>-0.20707692307692305</v>
      </c>
      <c r="D60" s="250"/>
      <c r="E60" s="251">
        <f>E59/IS!E42</f>
        <v>2.6417582417582398E-2</v>
      </c>
      <c r="F60" s="250"/>
      <c r="G60" s="251">
        <f>G59/IS!G42</f>
        <v>-0.11584071150995552</v>
      </c>
      <c r="H60" s="250"/>
      <c r="I60" s="251">
        <f>I59/IS!I42</f>
        <v>-0.52684040740874993</v>
      </c>
      <c r="J60" s="250"/>
      <c r="K60" s="251">
        <f>K59/IS!K42</f>
        <v>-0.50969890169456522</v>
      </c>
      <c r="L60" s="250"/>
      <c r="M60" s="251">
        <f>M59/IS!M42</f>
        <v>-0.14275344488188971</v>
      </c>
      <c r="N60" s="250"/>
      <c r="O60" s="251">
        <f>O59/IS!O42</f>
        <v>-9.2129498841742472E-2</v>
      </c>
      <c r="P60" s="250"/>
      <c r="Q60" s="251">
        <f>Q59/IS!Q42</f>
        <v>0.44428952832987245</v>
      </c>
      <c r="R60" s="250"/>
      <c r="S60" s="490">
        <f>S59/IS!S42</f>
        <v>2.9168309026409135E-2</v>
      </c>
      <c r="T60" s="252">
        <f>T59/IS!T42</f>
        <v>-9.6300150192894785E-3</v>
      </c>
      <c r="U60" s="252">
        <f>U59/IS!U42</f>
        <v>0.10534156410655864</v>
      </c>
      <c r="V60" s="252">
        <f>V59/IS!V42</f>
        <v>0.16708909741704553</v>
      </c>
      <c r="W60" s="253">
        <f>W59/IS!W42</f>
        <v>0.29319136903891335</v>
      </c>
      <c r="X60" s="250"/>
      <c r="Y60" s="490">
        <f>Y59/IS!Y42</f>
        <v>0.10598750199501551</v>
      </c>
      <c r="Z60" s="252">
        <f>Z59/IS!Z42</f>
        <v>-8.3094503568755598E-2</v>
      </c>
      <c r="AA60" s="252">
        <f>AA59/IS!AA42</f>
        <v>5.7196268511301621E-2</v>
      </c>
      <c r="AB60" s="252">
        <f>AB59/IS!AB42</f>
        <v>0.41528233151183969</v>
      </c>
      <c r="AC60" s="253">
        <f>AC59/IS!AC42</f>
        <v>0.49543517954960437</v>
      </c>
      <c r="AD60" s="250"/>
      <c r="AE60" s="490">
        <f>AE59/IS!AE42</f>
        <v>5.483672211953175E-2</v>
      </c>
      <c r="AF60" s="252">
        <f>AF59/IS!AF42</f>
        <v>-0.10815709969788519</v>
      </c>
      <c r="AG60" s="252">
        <f>AG59/IS!AG42</f>
        <v>-7.1729957805907157E-2</v>
      </c>
      <c r="AH60" s="252">
        <f>AH59/IS!AH42</f>
        <v>0.48845686512758207</v>
      </c>
      <c r="AI60" s="253">
        <f>AI59/IS!AI42</f>
        <v>0.3592995169082126</v>
      </c>
      <c r="AJ60" s="250"/>
      <c r="AK60" s="490">
        <f>AK59/IS!AK42</f>
        <v>5.5995130858186255E-2</v>
      </c>
      <c r="AL60" s="252">
        <f>AL59/IS!AL42</f>
        <v>0.21250758955676985</v>
      </c>
      <c r="AM60" s="252">
        <f>AM59/IS!AM42</f>
        <v>8.6060606060606018E-2</v>
      </c>
      <c r="AN60" s="252">
        <f>AN59/IS!AN42</f>
        <v>0.45460048426150129</v>
      </c>
      <c r="AO60" s="253">
        <f>AO59/IS!AO42</f>
        <v>0.80958156458459674</v>
      </c>
      <c r="AP60" s="250"/>
      <c r="AQ60" s="490">
        <f>AQ59/IS!AQ42</f>
        <v>6.0386473429949335E-4</v>
      </c>
      <c r="AR60" s="252">
        <f>AR59/IS!AR42</f>
        <v>0.25512665862484929</v>
      </c>
      <c r="AS60" s="252">
        <f>AS59/IS!AS42</f>
        <v>-1.2070006035002547E-3</v>
      </c>
      <c r="AT60" s="252">
        <f>AT59/IS!AT42</f>
        <v>0.49367850692354004</v>
      </c>
      <c r="AU60" s="253">
        <f>AU59/IS!AU42</f>
        <v>0.74954737477368749</v>
      </c>
      <c r="AV60" s="250"/>
      <c r="AW60" s="490">
        <f>AW59/IS!AW42</f>
        <v>-0.23575284943011407</v>
      </c>
      <c r="AX60" s="252">
        <f>AX59/IS!AX42</f>
        <v>-0.11595935445307833</v>
      </c>
      <c r="AY60" s="252">
        <f>AY59/IS!AY42</f>
        <v>9.5266626722588468E-2</v>
      </c>
      <c r="AZ60" s="252">
        <f>AZ59/IS!AZ42</f>
        <v>0.4565086982603479</v>
      </c>
      <c r="BA60" s="253">
        <f>BA59/IS!BA42</f>
        <v>0.19952067106051513</v>
      </c>
      <c r="BB60" s="250"/>
      <c r="BC60" s="490">
        <f>BC59/IS!BC42</f>
        <v>-3.5949670461354166E-2</v>
      </c>
      <c r="BD60" s="252">
        <f>BD59/IS!BD42</f>
        <v>0.10472770795930587</v>
      </c>
      <c r="BE60" s="252">
        <f>BE59/IS!BE42</f>
        <v>-0.11416616855947395</v>
      </c>
      <c r="BF60" s="252">
        <f>BF59/IS!BF42</f>
        <v>0.40488968395945135</v>
      </c>
      <c r="BG60" s="253">
        <f>BG59/IS!BG42</f>
        <v>0.36021505376344098</v>
      </c>
      <c r="BH60" s="250"/>
      <c r="BI60" s="490">
        <f>BI59/IS!BI42</f>
        <v>-0.19512195121951217</v>
      </c>
      <c r="BJ60" s="252">
        <f>BJ59/IS!BJ42</f>
        <v>-0.13776722090261276</v>
      </c>
      <c r="BK60" s="252">
        <f>BK59/IS!BK42</f>
        <v>0.16775340841730882</v>
      </c>
      <c r="BL60" s="252">
        <f>BL59/IS!BL42</f>
        <v>0.72426035502958586</v>
      </c>
      <c r="BM60" s="253">
        <f>BM59/IS!BM42</f>
        <v>0.56201780415430269</v>
      </c>
      <c r="BN60" s="250"/>
      <c r="BO60" s="490">
        <f>BO59/IS!BO42</f>
        <v>5.48996458087367E-2</v>
      </c>
      <c r="BP60" s="252">
        <f>BP59/IS!BP42</f>
        <v>3.1858407079646073E-2</v>
      </c>
      <c r="BQ60" s="252">
        <f>BQ59/IS!BQ42</f>
        <v>2.1226415094339632E-2</v>
      </c>
      <c r="BR60" s="252">
        <f>BR59/IS!BR42</f>
        <v>0.36674528301886794</v>
      </c>
      <c r="BS60" s="253">
        <f>BS59/IS!BS42</f>
        <v>0.47492625368731572</v>
      </c>
      <c r="BT60" s="250"/>
      <c r="BU60" s="490">
        <f>BU59/IS!BU42</f>
        <v>0.12551561579257514</v>
      </c>
      <c r="BV60" s="252">
        <f>BV59/IS!BV42</f>
        <v>-5.4213317619328225E-2</v>
      </c>
      <c r="BW60" s="252">
        <f>BW59/IS!BW42</f>
        <v>0.26911677534084172</v>
      </c>
      <c r="BX60" s="252">
        <f>BX59/IS!BX42</f>
        <v>0.8150563129816244</v>
      </c>
      <c r="BY60" s="253">
        <f>BY59/IS!BY42</f>
        <v>1.1531638083973981</v>
      </c>
      <c r="BZ60" s="250"/>
      <c r="CA60" s="490">
        <f>CA59/IS!CA42</f>
        <v>-0.13390139987827143</v>
      </c>
      <c r="CB60" s="252">
        <f>CB59/IS!CB42</f>
        <v>5.4802955665024598E-2</v>
      </c>
      <c r="CC60" s="252">
        <f>CC59/IS!CC42</f>
        <v>0.16780185758513927</v>
      </c>
      <c r="CD60" s="252">
        <f>CD59/IS!CD42</f>
        <v>0.49595519601742394</v>
      </c>
      <c r="CE60" s="253">
        <f>CE59/IS!CE42</f>
        <v>0.57768187422934658</v>
      </c>
      <c r="CF60" s="250"/>
      <c r="CG60" s="490">
        <f>CG59/IS!CG42</f>
        <v>0.13146417445482864</v>
      </c>
      <c r="CH60" s="252">
        <f>CH59/IS!CH42</f>
        <v>-0.16708229426433918</v>
      </c>
      <c r="CI60" s="252">
        <f>CI59/IS!CI42</f>
        <v>0.15816005040957781</v>
      </c>
      <c r="CJ60" s="252">
        <f>CJ59/IS!CJ42</f>
        <v>0.58638407193320485</v>
      </c>
      <c r="CK60" s="253">
        <f>CK59/IS!CK42</f>
        <v>0.69578881206788168</v>
      </c>
      <c r="CL60" s="250"/>
      <c r="CM60" s="490">
        <f>CM59/IS!CM42</f>
        <v>0.177761962094308</v>
      </c>
      <c r="CN60" s="252">
        <f>CN59/IS!CN42</f>
        <v>-0.16328413307212514</v>
      </c>
      <c r="CO60" s="252">
        <f>CO59/IS!CO42</f>
        <v>0.34856063546618488</v>
      </c>
      <c r="CP60" s="252">
        <f>CP59/IS!CP42</f>
        <v>0.4675792515014528</v>
      </c>
      <c r="CQ60" s="253">
        <f>CQ59/IS!CQ42</f>
        <v>0.82585093115713626</v>
      </c>
      <c r="CR60" s="250"/>
      <c r="CS60" s="490">
        <f>CS59/IS!CS42</f>
        <v>0.87652857638751636</v>
      </c>
      <c r="CT60" s="252">
        <f>CT59/IS!CT42</f>
        <v>-0.10609673019434539</v>
      </c>
      <c r="CU60" s="252">
        <f>CU59/IS!CU42</f>
        <v>0.1849463314379988</v>
      </c>
      <c r="CV60" s="252">
        <f>CV59/IS!CV42</f>
        <v>2.7964990826537427E-2</v>
      </c>
      <c r="CW60" s="253">
        <f>CW59/IS!CW42</f>
        <v>0.99283945375849658</v>
      </c>
      <c r="CX60" s="250"/>
      <c r="CY60" s="490">
        <f>CY59/IS!CY42</f>
        <v>1.0473903481205049</v>
      </c>
      <c r="CZ60" s="252">
        <f>CZ59/IS!CZ42</f>
        <v>6.0895431666531455E-3</v>
      </c>
      <c r="DA60" s="252">
        <f>DA59/IS!DA42</f>
        <v>0.17672461729675343</v>
      </c>
      <c r="DB60" s="252">
        <f>DB59/IS!DB42</f>
        <v>4.8136243517666016E-2</v>
      </c>
      <c r="DC60" s="253">
        <f>DC59/IS!DC42</f>
        <v>1.2894430413744529</v>
      </c>
      <c r="DD60" s="250"/>
      <c r="DE60" s="490">
        <f>DE59/IS!DE42</f>
        <v>1.3998397354142036</v>
      </c>
      <c r="DF60" s="252">
        <f>DF59/IS!DF42</f>
        <v>-7.7185855911266435E-2</v>
      </c>
      <c r="DG60" s="252">
        <f>DG59/IS!DG42</f>
        <v>0.22257982157376482</v>
      </c>
      <c r="DH60" s="252">
        <f>DH59/IS!DH42</f>
        <v>-9.4392442535980697E-2</v>
      </c>
      <c r="DI60" s="253">
        <f>DI59/IS!DI42</f>
        <v>1.4661361838956521</v>
      </c>
      <c r="DP60" s="254"/>
      <c r="DT60" s="2003"/>
      <c r="DU60" s="2003"/>
      <c r="DV60" s="2003"/>
      <c r="DW60" s="2003"/>
    </row>
    <row r="61" spans="1:127" ht="11.25" customHeight="1">
      <c r="A61" s="131" t="s">
        <v>186</v>
      </c>
      <c r="B61" s="132"/>
      <c r="C61" s="133" t="str">
        <f>IF(ISERROR(C60/C65),"NM",C60/C65)</f>
        <v>NM</v>
      </c>
      <c r="D61" s="132"/>
      <c r="E61" s="133" t="str">
        <f>IF(ISERROR(E60/E65),"NM",E60/E65)</f>
        <v>NM</v>
      </c>
      <c r="F61" s="132"/>
      <c r="G61" s="133" t="str">
        <f>IF(ISERROR(G60/G65),"NM",G60/G65)</f>
        <v>NM</v>
      </c>
      <c r="H61" s="132"/>
      <c r="I61" s="133">
        <f>IF(ISERROR(I60/I65),"NM",I60/I65)</f>
        <v>-3.0884372625171703E-2</v>
      </c>
      <c r="J61" s="132"/>
      <c r="K61" s="133">
        <f>IF(ISERROR(K60/K65),"NM",K60/K65)</f>
        <v>-6.9808844446568347E-2</v>
      </c>
      <c r="L61" s="132"/>
      <c r="M61" s="133">
        <f>IF(ISERROR(M60/M65),"NM",M60/M65)</f>
        <v>-3.2482754861935789E-2</v>
      </c>
      <c r="N61" s="132"/>
      <c r="O61" s="133">
        <f>IF(ISERROR(O60/O65),"NM",O60/O65)</f>
        <v>-2.031274616507233E-2</v>
      </c>
      <c r="P61" s="132"/>
      <c r="Q61" s="133">
        <f>IF(ISERROR(Q60/Q65),"NM",Q60/Q65)</f>
        <v>0.10793655936755905</v>
      </c>
      <c r="R61" s="132"/>
      <c r="S61" s="347">
        <f>IF(ISERROR(S60*4/S65),"NM",(S60*4/S65))</f>
        <v>2.4540081931427385E-2</v>
      </c>
      <c r="T61" s="132">
        <f>IF(ISERROR(T60*4/T65),"NM",(T60*4/T65))</f>
        <v>-7.2287508166712791E-3</v>
      </c>
      <c r="U61" s="132">
        <f>IF(ISERROR(U60*4/U65),"NM",(U60*4/U65))</f>
        <v>6.7064335443310252E-2</v>
      </c>
      <c r="V61" s="132">
        <f>IF(ISERROR(V60*4/V65),"NM",(V60*4/V65))</f>
        <v>8.6205991765701553E-2</v>
      </c>
      <c r="W61" s="133">
        <f>IF(ISERROR(W60/W65),"NM",W60/W65)</f>
        <v>4.8582879638679882E-2</v>
      </c>
      <c r="X61" s="132"/>
      <c r="Y61" s="347">
        <f>IF(ISERROR(Y60*4/Y65),"NM",(Y60*4/Y65))</f>
        <v>4.9429369476545471E-2</v>
      </c>
      <c r="Z61" s="132">
        <f>IF(ISERROR(Z60*4/Z65),"NM",(Z60*4/Z65))</f>
        <v>-3.4800511120998343E-2</v>
      </c>
      <c r="AA61" s="132">
        <f>IF(ISERROR(AA60*4/AA65),"NM",(AA60*4/AA65))</f>
        <v>2.8640186670151464E-2</v>
      </c>
      <c r="AB61" s="132">
        <f>IF(ISERROR(AB60*4/AB65),"NM",(AB60*4/AB65))</f>
        <v>0.16264904531668778</v>
      </c>
      <c r="AC61" s="133">
        <f>IF(ISERROR(AC60/AC65),"NM",AC60/AC65)</f>
        <v>5.4498547227542375E-2</v>
      </c>
      <c r="AD61" s="132"/>
      <c r="AE61" s="347">
        <f>IF(ISERROR(AE60*4/AE65),"NM",(AE60*4/AE65))</f>
        <v>1.7745100206915894E-2</v>
      </c>
      <c r="AF61" s="132">
        <f>IF(ISERROR(AF60*4/AF65),"NM",(AF60*4/AF65))</f>
        <v>-3.3466957794347815E-2</v>
      </c>
      <c r="AG61" s="132">
        <f>IF(ISERROR(AG60*4/AG65),"NM",(AG60*4/AG65))</f>
        <v>-2.0436341124999282E-2</v>
      </c>
      <c r="AH61" s="132">
        <f>IF(ISERROR(AH60*4/AH65),"NM",(AH60*4/AH65))</f>
        <v>0.32574820978617236</v>
      </c>
      <c r="AI61" s="133">
        <f>IF(ISERROR(AI60/AI65),"NM",AI60/AI65)</f>
        <v>3.1742457753279274E-2</v>
      </c>
      <c r="AJ61" s="132"/>
      <c r="AK61" s="347">
        <f>IF(ISERROR(AK60*4/AK65),"NM",(AK60*4/AK65))</f>
        <v>4.9164495205135737E-2</v>
      </c>
      <c r="AL61" s="132">
        <f>IF(ISERROR(AL60*4/AL65),"NM",(AL60*4/AL65))</f>
        <v>0.11721734287156868</v>
      </c>
      <c r="AM61" s="132">
        <f>IF(ISERROR(AM60*4/AM65),"NM",(AM60*4/AM65))</f>
        <v>3.5553626272661426E-2</v>
      </c>
      <c r="AN61" s="132">
        <f>IF(ISERROR(AN60*4/AN65),"NM",(AN60*4/AN65))</f>
        <v>0.16110765265372437</v>
      </c>
      <c r="AO61" s="133">
        <f>IF(ISERROR(AO60/AO65),"NM",AO60/AO65)</f>
        <v>9.8235527100297537E-2</v>
      </c>
      <c r="AP61" s="132"/>
      <c r="AQ61" s="347">
        <f>IF(ISERROR(AQ60*4/AQ65),"NM",(AQ60*4/AQ65))</f>
        <v>1.804225715498912E-4</v>
      </c>
      <c r="AR61" s="132">
        <f>IF(ISERROR(AR60*4/AR65),"NM",(AR60*4/AR65))</f>
        <v>7.4089942407087273E-2</v>
      </c>
      <c r="AS61" s="132">
        <f>IF(ISERROR(AS60*4/AS65),"NM",(AS60*4/AS65))</f>
        <v>-3.7737195224238546E-4</v>
      </c>
      <c r="AT61" s="132">
        <f>IF(ISERROR(AT60*4/AT65),"NM",(AT60*4/AT65))</f>
        <v>0.12612631405856264</v>
      </c>
      <c r="AU61" s="133">
        <f>IF(ISERROR(AU60/AU65),"NM",AU60/AU65)</f>
        <v>5.3886814399936589E-2</v>
      </c>
      <c r="AV61" s="132"/>
      <c r="AW61" s="347">
        <f>IF(ISERROR(AW60*4/AW65),"NM",(AW60*4/AW65))</f>
        <v>-5.152070862716298E-2</v>
      </c>
      <c r="AX61" s="132">
        <f>IF(ISERROR(AX60*4/AX65),"NM",(AX60*4/AX65))</f>
        <v>-2.398234538235406E-2</v>
      </c>
      <c r="AY61" s="132">
        <f>IF(ISERROR(AY60*4/AY65),"NM",(AY60*4/AY65))</f>
        <v>2.4412549906470671E-2</v>
      </c>
      <c r="AZ61" s="132">
        <f>IF(ISERROR(AZ60*4/AZ65),"NM",(AZ60*4/AZ65))</f>
        <v>0.1399651936461063</v>
      </c>
      <c r="BA61" s="133">
        <f>IF(ISERROR(BA60/BA65),"NM",BA60/BA65)</f>
        <v>1.204519214237071E-2</v>
      </c>
      <c r="BB61" s="132"/>
      <c r="BC61" s="347">
        <f>IF(ISERROR(BC60*4/BC65),"NM",(BC60*4/BC65))</f>
        <v>-9.6880434079872121E-3</v>
      </c>
      <c r="BD61" s="132">
        <f>IF(ISERROR(BD60*4/BD65),"NM",(BD60*4/BD65))</f>
        <v>2.8316022846746745E-2</v>
      </c>
      <c r="BE61" s="132">
        <f>IF(ISERROR(BE60*4/BE65),"NM",(BE60*4/BE65))</f>
        <v>-3.6125358777718754E-2</v>
      </c>
      <c r="BF61" s="132">
        <f>IF(ISERROR(BF60*4/BF65),"NM",(BF60*4/BF65))</f>
        <v>0.11729232016812272</v>
      </c>
      <c r="BG61" s="133">
        <f>IF(ISERROR(BG60/BG65),"NM",BG60/BG65)</f>
        <v>2.569018287604579E-2</v>
      </c>
      <c r="BH61" s="132"/>
      <c r="BI61" s="347">
        <f>IF(ISERROR(BI60*4/BI65),"NM",(BI60*4/BI65))</f>
        <v>-4.4687631772537817E-2</v>
      </c>
      <c r="BJ61" s="132">
        <f>IF(ISERROR(BJ60*4/BJ65),"NM",(BJ60*4/BJ65))</f>
        <v>-3.1879617255432126E-2</v>
      </c>
      <c r="BK61" s="132">
        <f>IF(ISERROR(BK60*4/BK65),"NM",(BK60*4/BK65))</f>
        <v>3.5105166829044424E-2</v>
      </c>
      <c r="BL61" s="132">
        <f>IF(ISERROR(BL60*4/BL65),"NM",(BL60*4/BL65))</f>
        <v>0.14774233255809607</v>
      </c>
      <c r="BM61" s="133">
        <f>IF(ISERROR(BM60/BM65),"NM",BM60/BM65)</f>
        <v>3.0572769411195973E-2</v>
      </c>
      <c r="BN61" s="132"/>
      <c r="BO61" s="347">
        <f>IF(ISERROR(BO60*4/BO65),"NM",(BO60*4/BO65))</f>
        <v>1.0068638064488968E-2</v>
      </c>
      <c r="BP61" s="132">
        <f>IF(ISERROR(BP60*4/BP65),"NM",(BP60*4/BP65))</f>
        <v>5.8716816975783563E-3</v>
      </c>
      <c r="BQ61" s="132">
        <f>IF(ISERROR(BQ60*4/BQ65),"NM",(BQ60*4/BQ65))</f>
        <v>3.9726457477241867E-3</v>
      </c>
      <c r="BR61" s="132">
        <f>IF(ISERROR(BR60*4/BR65),"NM",(BR60*4/BR65))</f>
        <v>7.6228166027738797E-2</v>
      </c>
      <c r="BS61" s="133">
        <f>IF(ISERROR(BS60/BS65),"NM",BS60/BS65)</f>
        <v>2.2593276756237343E-2</v>
      </c>
      <c r="BT61" s="132"/>
      <c r="BU61" s="347">
        <f>IF(ISERROR(BU60*4/BU65),"NM",(BU60*4/BU65))</f>
        <v>2.6498645799184338E-2</v>
      </c>
      <c r="BV61" s="132">
        <f>IF(ISERROR(BV60*4/BV65),"NM",(BV60*4/BV65))</f>
        <v>-1.07350152362742E-2</v>
      </c>
      <c r="BW61" s="132">
        <f>IF(ISERROR(BW60*4/BW65),"NM",(BW60*4/BW65))</f>
        <v>5.5402321223024541E-2</v>
      </c>
      <c r="BX61" s="132">
        <f>IF(ISERROR(BX60*4/BX65),"NM",(BX60*4/BX65))</f>
        <v>0.15703355294999638</v>
      </c>
      <c r="BY61" s="133">
        <f>IF(ISERROR(BY60/BY65),"NM",BY60/BY65)</f>
        <v>5.7746151326542879E-2</v>
      </c>
      <c r="BZ61" s="132"/>
      <c r="CA61" s="347">
        <f>IF(ISERROR(CA60*4/CA65),"NM",(CA60*4/CA65))</f>
        <v>-2.1484520901269996E-2</v>
      </c>
      <c r="CB61" s="132">
        <f>IF(ISERROR(CB60*4/CB65),"NM",(CB60*4/CB65))</f>
        <v>8.2098443364887457E-3</v>
      </c>
      <c r="CC61" s="132">
        <f>IF(ISERROR(CC60*4/CC65),"NM",(CC60*4/CC65))</f>
        <v>2.9296774002229596E-2</v>
      </c>
      <c r="CD61" s="132">
        <f>IF(ISERROR(CD60*4/CD65),"NM",(CD60*4/CD65))</f>
        <v>9.0742611811511192E-2</v>
      </c>
      <c r="CE61" s="133">
        <f>IF(ISERROR(CE60/CE65),"NM",CE60/CE65)</f>
        <v>2.3969302067497419E-2</v>
      </c>
      <c r="CF61" s="132"/>
      <c r="CG61" s="347">
        <f>IF(ISERROR(CG60*4/CG65),"NM",(CG60*4/CG65))</f>
        <v>2.2389097183979946E-2</v>
      </c>
      <c r="CH61" s="132">
        <f>IF(ISERROR(CH60*4/CH65),"NM",(CH60*4/CH65))</f>
        <v>-2.5955091000251354E-2</v>
      </c>
      <c r="CI61" s="132">
        <f>IF(ISERROR(CI60*4/CI65),"NM",(CI60*4/CI65))</f>
        <v>2.1972486688924209E-2</v>
      </c>
      <c r="CJ61" s="132">
        <f>IF(ISERROR(CJ60*4/CJ65),"NM",(CJ60*4/CJ65))</f>
        <v>0.10728796197553839</v>
      </c>
      <c r="CK61" s="133">
        <f>IF(ISERROR(CK60/CK65),"NM",CK60/CK65)</f>
        <v>2.7861903385370989E-2</v>
      </c>
      <c r="CL61" s="132"/>
      <c r="CM61" s="347">
        <f>IF(ISERROR(CM60*4/CM65),"NM",(CM60*4/CM65))</f>
        <v>2.2937027367007486E-2</v>
      </c>
      <c r="CN61" s="132">
        <f>IF(ISERROR(CN60*4/CN65),"NM",(CN60*4/CN65))</f>
        <v>-2.0606400347606003E-2</v>
      </c>
      <c r="CO61" s="132">
        <f>IF(ISERROR(CO60*4/CO65),"NM",(CO60*4/CO65))</f>
        <v>4.3022568825079197E-2</v>
      </c>
      <c r="CP61" s="132">
        <f>IF(ISERROR(CP60*4/CP65),"NM",(CP60*4/CP65))</f>
        <v>5.6445988330831073E-2</v>
      </c>
      <c r="CQ61" s="133">
        <f>IF(ISERROR(CQ60/CQ65),"NM",CQ60/CQ65)</f>
        <v>2.5760009217271382E-2</v>
      </c>
      <c r="CR61" s="132"/>
      <c r="CS61" s="347">
        <f>IF(ISERROR(CS60*4/CS65),"NM",(CS60*4/CS65))</f>
        <v>0.10349128528181215</v>
      </c>
      <c r="CT61" s="132">
        <f>IF(ISERROR(CT60*4/CT65),"NM",(CT60*4/CT65))</f>
        <v>-1.2251790207889478E-2</v>
      </c>
      <c r="CU61" s="132">
        <f>IF(ISERROR(CU60*4/CU65),"NM",(CU60*4/CU65))</f>
        <v>2.0888301341171422E-2</v>
      </c>
      <c r="CV61" s="132">
        <f>IF(ISERROR(CV60*4/CV65),"NM",(CV60*4/CV65))</f>
        <v>3.0890997697678303E-3</v>
      </c>
      <c r="CW61" s="133">
        <f>IF(ISERROR(CW60/CW65),"NM",CW60/CW65)</f>
        <v>2.8337581481884037E-2</v>
      </c>
      <c r="CX61" s="132"/>
      <c r="CY61" s="347">
        <f>IF(ISERROR(CY60*4/CY65),"NM",(CY60*4/CY65))</f>
        <v>0.11315810665485393</v>
      </c>
      <c r="CZ61" s="132">
        <f>IF(ISERROR(CZ60*4/CZ65),"NM",(CZ60*4/CZ65))</f>
        <v>6.4346016960439183E-4</v>
      </c>
      <c r="DA61" s="132">
        <f>IF(ISERROR(DA60*4/DA65),"NM",(DA60*4/DA65))</f>
        <v>1.8263914125382651E-2</v>
      </c>
      <c r="DB61" s="132">
        <f>IF(ISERROR(DB60*4/DB65),"NM",(DB60*4/DB65))</f>
        <v>4.8655154179999887E-3</v>
      </c>
      <c r="DC61" s="133">
        <f>IF(ISERROR(DC60/DC65),"NM",DC60/DC65)</f>
        <v>3.3676373795909001E-2</v>
      </c>
      <c r="DD61" s="132"/>
      <c r="DE61" s="347">
        <f>IF(ISERROR(DE60*4/DE65),"NM",(DE60*4/DE65))</f>
        <v>0.13838685052710417</v>
      </c>
      <c r="DF61" s="132">
        <f>IF(ISERROR(DF60*4/DF65),"NM",(DF60*4/DF65))</f>
        <v>-7.4630110348946604E-3</v>
      </c>
      <c r="DG61" s="132">
        <f>IF(ISERROR(DG60*4/DG65),"NM",(DG60*4/DG65))</f>
        <v>2.1048541123705945E-2</v>
      </c>
      <c r="DH61" s="132">
        <f>IF(ISERROR(DH60*4/DH65),"NM",(DH60*4/DH65))</f>
        <v>-8.7303827766043174E-3</v>
      </c>
      <c r="DI61" s="133">
        <f>IF(ISERROR(DI60/DI65),"NM",DI60/DI65)</f>
        <v>3.5037803641120815E-2</v>
      </c>
      <c r="DP61" s="256"/>
      <c r="DT61" s="1691"/>
    </row>
    <row r="62" spans="1:127" ht="11.25" customHeight="1">
      <c r="A62" s="131" t="s">
        <v>516</v>
      </c>
      <c r="B62" s="132"/>
      <c r="C62" s="133"/>
      <c r="D62" s="132"/>
      <c r="E62" s="133"/>
      <c r="F62" s="132"/>
      <c r="G62" s="133"/>
      <c r="H62" s="132"/>
      <c r="I62" s="133"/>
      <c r="J62" s="132"/>
      <c r="K62" s="133"/>
      <c r="L62" s="132"/>
      <c r="M62" s="133"/>
      <c r="N62" s="132"/>
      <c r="O62" s="133"/>
      <c r="P62" s="132"/>
      <c r="Q62" s="133"/>
      <c r="R62" s="132"/>
      <c r="S62" s="347"/>
      <c r="T62" s="132"/>
      <c r="U62" s="132"/>
      <c r="V62" s="132"/>
      <c r="W62" s="133">
        <f>W60/Q60-1</f>
        <v>-0.3400894003938193</v>
      </c>
      <c r="X62" s="132"/>
      <c r="Y62" s="347">
        <f>Y60/S60-1</f>
        <v>2.6336526021804656</v>
      </c>
      <c r="Z62" s="132">
        <f t="shared" ref="Z62:AC62" si="64">Z60/T60-1</f>
        <v>7.6286992701789647</v>
      </c>
      <c r="AA62" s="132">
        <f t="shared" si="64"/>
        <v>-0.45703987788291689</v>
      </c>
      <c r="AB62" s="132">
        <f t="shared" si="64"/>
        <v>1.4853945465712641</v>
      </c>
      <c r="AC62" s="133">
        <f t="shared" si="64"/>
        <v>0.68980137844319867</v>
      </c>
      <c r="AD62" s="132"/>
      <c r="AE62" s="347">
        <f>AE60/Y60-1</f>
        <v>-0.48261142976923199</v>
      </c>
      <c r="AF62" s="132">
        <f t="shared" ref="AF62" si="65">AF60/Z60-1</f>
        <v>0.30161557085892965</v>
      </c>
      <c r="AG62" s="132">
        <f t="shared" ref="AG62" si="66">AG60/AA60-1</f>
        <v>-2.254102053733344</v>
      </c>
      <c r="AH62" s="132">
        <f t="shared" ref="AH62" si="67">AH60/AB60-1</f>
        <v>0.17620430262310882</v>
      </c>
      <c r="AI62" s="133">
        <f t="shared" ref="AI62" si="68">AI60/AC60-1</f>
        <v>-0.27477996771475022</v>
      </c>
      <c r="AJ62" s="132"/>
      <c r="AK62" s="347">
        <f>AK60/AE60-1</f>
        <v>2.1124689694789422E-2</v>
      </c>
      <c r="AL62" s="132">
        <f t="shared" ref="AL62" si="69">AL60/AF60-1</f>
        <v>-2.9648048084718108</v>
      </c>
      <c r="AM62" s="132">
        <f t="shared" ref="AM62" si="70">AM60/AG60-1</f>
        <v>-2.199786096256684</v>
      </c>
      <c r="AN62" s="132">
        <f t="shared" ref="AN62" si="71">AN60/AH60-1</f>
        <v>-6.9312938937274859E-2</v>
      </c>
      <c r="AO62" s="133">
        <f t="shared" ref="AO62" si="72">AO60/AI60-1</f>
        <v>1.2532219679867094</v>
      </c>
      <c r="AP62" s="132"/>
      <c r="AQ62" s="347">
        <f>AQ60/AK60-1</f>
        <v>-0.98921576349506446</v>
      </c>
      <c r="AR62" s="132">
        <f t="shared" ref="AR62" si="73">AR60/AL60-1</f>
        <v>0.20055316215750518</v>
      </c>
      <c r="AS62" s="132">
        <f t="shared" ref="AS62" si="74">AS60/AM60-1</f>
        <v>-1.014025007012503</v>
      </c>
      <c r="AT62" s="132">
        <f t="shared" ref="AT62" si="75">AT60/AN60-1</f>
        <v>8.5961242926348769E-2</v>
      </c>
      <c r="AU62" s="133">
        <f t="shared" ref="AU62" si="76">AU60/AO60-1</f>
        <v>-7.4154591009879645E-2</v>
      </c>
      <c r="AV62" s="132"/>
      <c r="AW62" s="347">
        <f>AW60/AQ60-1</f>
        <v>-391.40671865628411</v>
      </c>
      <c r="AX62" s="132">
        <f t="shared" ref="AX62" si="77">AX60/AR60-1</f>
        <v>-1.4545168077617112</v>
      </c>
      <c r="AY62" s="132">
        <f t="shared" ref="AY62" si="78">AY60/AS60-1</f>
        <v>-79.928400239667624</v>
      </c>
      <c r="AZ62" s="132">
        <f t="shared" ref="AZ62" si="79">AZ60/AT60-1</f>
        <v>-7.5291527060441621E-2</v>
      </c>
      <c r="BA62" s="133">
        <f t="shared" ref="BA62" si="80">BA60/AU60-1</f>
        <v>-0.73381179392329021</v>
      </c>
      <c r="BB62" s="132"/>
      <c r="BC62" s="347">
        <f>BC60/AW60-1</f>
        <v>-0.84751119425171151</v>
      </c>
      <c r="BD62" s="132">
        <f t="shared" ref="BD62" si="81">BD60/AX60-1</f>
        <v>-1.9031415227624675</v>
      </c>
      <c r="BE62" s="132">
        <f t="shared" ref="BE62" si="82">BE60/AY60-1</f>
        <v>-2.1983857567657976</v>
      </c>
      <c r="BF62" s="132">
        <f t="shared" ref="BF62" si="83">BF60/AZ60-1</f>
        <v>-0.11307345182601125</v>
      </c>
      <c r="BG62" s="133">
        <f t="shared" ref="BG62" si="84">BG60/BA60-1</f>
        <v>0.80540217636992018</v>
      </c>
      <c r="BH62" s="132"/>
      <c r="BI62" s="347">
        <f>BI60/BC60-1</f>
        <v>4.4276422764227545</v>
      </c>
      <c r="BJ62" s="132">
        <f t="shared" ref="BJ62" si="85">BJ60/BD60-1</f>
        <v>-2.315480149304376</v>
      </c>
      <c r="BK62" s="132">
        <f t="shared" ref="BK62" si="86">BK60/BE60-1</f>
        <v>-2.4693793313201979</v>
      </c>
      <c r="BL62" s="132">
        <f t="shared" ref="BL62" si="87">BL60/BF60-1</f>
        <v>0.78878441146482414</v>
      </c>
      <c r="BM62" s="133">
        <f t="shared" ref="BM62" si="88">BM60/BG60-1</f>
        <v>0.56022853093582481</v>
      </c>
      <c r="BN62" s="132"/>
      <c r="BO62" s="347">
        <f>BO60/BI60-1</f>
        <v>-1.2813606847697756</v>
      </c>
      <c r="BP62" s="132">
        <f t="shared" ref="BP62" si="89">BP60/BJ60-1</f>
        <v>-1.231248092767776</v>
      </c>
      <c r="BQ62" s="132">
        <f t="shared" ref="BQ62" si="90">BQ60/BK60-1</f>
        <v>-0.87346656443762916</v>
      </c>
      <c r="BR62" s="132">
        <f t="shared" ref="BR62" si="91">BR60/BL60-1</f>
        <v>-0.49362783635466767</v>
      </c>
      <c r="BS62" s="133">
        <f t="shared" ref="BS62" si="92">BS60/BM60-1</f>
        <v>-0.15496226244653966</v>
      </c>
      <c r="BT62" s="132"/>
      <c r="BU62" s="347">
        <f>BU60/BO60-1</f>
        <v>1.2862736898131435</v>
      </c>
      <c r="BV62" s="132">
        <f t="shared" ref="BV62" si="93">BV60/BP60-1</f>
        <v>-2.7016958030511331</v>
      </c>
      <c r="BW62" s="132">
        <f t="shared" ref="BW62" si="94">BW60/BQ60-1</f>
        <v>11.678390304946316</v>
      </c>
      <c r="BX62" s="132">
        <f t="shared" ref="BX62" si="95">BX60/BR60-1</f>
        <v>1.2224043517955545</v>
      </c>
      <c r="BY62" s="133">
        <f t="shared" ref="BY62" si="96">BY60/BS60-1</f>
        <v>1.4280902549485583</v>
      </c>
      <c r="BZ62" s="132"/>
      <c r="CA62" s="347">
        <f>CA60/BU60-1</f>
        <v>-2.0668106835372142</v>
      </c>
      <c r="CB62" s="132">
        <f t="shared" ref="CB62" si="97">CB60/BV60-1</f>
        <v>-2.0108762582994211</v>
      </c>
      <c r="CC62" s="132">
        <f t="shared" ref="CC62" si="98">CC60/BW60-1</f>
        <v>-0.37647195210103535</v>
      </c>
      <c r="CD62" s="132">
        <f t="shared" ref="CD62" si="99">CD60/BX60-1</f>
        <v>-0.39150806132262261</v>
      </c>
      <c r="CE62" s="133">
        <f t="shared" ref="CE62" si="100">CE60/BY60-1</f>
        <v>-0.49904612855291031</v>
      </c>
      <c r="CF62" s="132"/>
      <c r="CG62" s="347">
        <f>CG60/CA60-1</f>
        <v>-1.981798357405834</v>
      </c>
      <c r="CH62" s="132">
        <f t="shared" ref="CH62:CI62" si="101">CH60/CB60-1</f>
        <v>-4.0487825380369324</v>
      </c>
      <c r="CI62" s="132">
        <f t="shared" si="101"/>
        <v>-5.7459478186464019E-2</v>
      </c>
      <c r="CJ62" s="132">
        <f t="shared" ref="CJ62" si="102">CJ60/CD60-1</f>
        <v>0.18233275231701374</v>
      </c>
      <c r="CK62" s="133">
        <f t="shared" ref="CK62" si="103">CK60/CE60-1</f>
        <v>0.20444978994034568</v>
      </c>
      <c r="CL62" s="132"/>
      <c r="CM62" s="347">
        <f>CM60/CG60-1</f>
        <v>0.35217037517234306</v>
      </c>
      <c r="CN62" s="132">
        <f t="shared" ref="CN62" si="104">CN60/CH60-1</f>
        <v>-2.273227818026613E-2</v>
      </c>
      <c r="CO62" s="132">
        <f t="shared" ref="CO62" si="105">CO60/CI60-1</f>
        <v>1.2038475238439657</v>
      </c>
      <c r="CP62" s="132">
        <f t="shared" ref="CP62" si="106">CP60/CJ60-1</f>
        <v>-0.20260581096630659</v>
      </c>
      <c r="CQ62" s="133">
        <f t="shared" ref="CQ62" si="107">CQ60/CK60-1</f>
        <v>0.18692758037127732</v>
      </c>
      <c r="CR62" s="132"/>
      <c r="CS62" s="347">
        <f>CS60/CM60-1</f>
        <v>3.930911911978626</v>
      </c>
      <c r="CT62" s="132">
        <f t="shared" ref="CT62" si="108">CT60/CN60-1</f>
        <v>-0.35023245554740579</v>
      </c>
      <c r="CU62" s="132">
        <f t="shared" ref="CU62" si="109">CU60/CO60-1</f>
        <v>-0.46939983285650999</v>
      </c>
      <c r="CV62" s="132">
        <f t="shared" ref="CV62" si="110">CV60/CP60-1</f>
        <v>-0.94019197657565323</v>
      </c>
      <c r="CW62" s="133">
        <f>CW60/CQ60-1</f>
        <v>0.20220177310617715</v>
      </c>
      <c r="CX62" s="132"/>
      <c r="CY62" s="347">
        <f>CY60/CS60-1</f>
        <v>0.19493006427374016</v>
      </c>
      <c r="CZ62" s="132">
        <f t="shared" ref="CZ62" si="111">CZ60/CT60-1</f>
        <v>-1.0573961436464485</v>
      </c>
      <c r="DA62" s="132">
        <f t="shared" ref="DA62" si="112">DA60/CU60-1</f>
        <v>-4.4454594353506294E-2</v>
      </c>
      <c r="DB62" s="132">
        <f t="shared" ref="DB62" si="113">DB60/CV60-1</f>
        <v>0.72130374782698103</v>
      </c>
      <c r="DC62" s="133">
        <f t="shared" ref="DC62" si="114">DC60/CW60-1</f>
        <v>0.2987427488836516</v>
      </c>
      <c r="DD62" s="132"/>
      <c r="DE62" s="347">
        <f>DE60/CY60-1</f>
        <v>0.3365024204453988</v>
      </c>
      <c r="DF62" s="132">
        <f t="shared" ref="DF62" si="115">DF60/CZ60-1</f>
        <v>-13.675147182459058</v>
      </c>
      <c r="DG62" s="132">
        <f t="shared" ref="DG62" si="116">DG60/DA60-1</f>
        <v>0.25947264720914354</v>
      </c>
      <c r="DH62" s="132">
        <f t="shared" ref="DH62" si="117">DH60/DB60-1</f>
        <v>-2.9609432651581677</v>
      </c>
      <c r="DI62" s="133">
        <f t="shared" ref="DI62" si="118">DI60/DC60-1</f>
        <v>0.13703059138840068</v>
      </c>
      <c r="DP62" s="256"/>
      <c r="DT62" s="1691"/>
    </row>
    <row r="63" spans="1:127" ht="11.25" customHeight="1">
      <c r="A63" s="131" t="s">
        <v>576</v>
      </c>
      <c r="B63" s="132"/>
      <c r="C63" s="133"/>
      <c r="D63" s="132"/>
      <c r="E63" s="133"/>
      <c r="F63" s="132"/>
      <c r="G63" s="133"/>
      <c r="H63" s="132"/>
      <c r="I63" s="133"/>
      <c r="J63" s="132"/>
      <c r="K63" s="133"/>
      <c r="L63" s="132"/>
      <c r="M63" s="133"/>
      <c r="N63" s="132"/>
      <c r="O63" s="133"/>
      <c r="P63" s="132"/>
      <c r="Q63" s="133">
        <f>Q59/IS!Q34</f>
        <v>4.6097260695598656</v>
      </c>
      <c r="R63" s="132"/>
      <c r="S63" s="347">
        <f>S59/IS!S34</f>
        <v>0.9082540656643151</v>
      </c>
      <c r="T63" s="132">
        <f>T59/IS!T34</f>
        <v>-0.38652482269503713</v>
      </c>
      <c r="U63" s="132">
        <f>U59/IS!U34</f>
        <v>3.6354166666666567</v>
      </c>
      <c r="V63" s="132">
        <f>V59/IS!V34</f>
        <v>1.779151215492373</v>
      </c>
      <c r="W63" s="133">
        <f>W59/IS!W34</f>
        <v>1.6270764569016849</v>
      </c>
      <c r="X63" s="132"/>
      <c r="Y63" s="347">
        <f>Y59/IS!Y34</f>
        <v>1.2032055749128914</v>
      </c>
      <c r="Z63" s="132">
        <f>Z59/IS!Z34</f>
        <v>-0.77340431556889688</v>
      </c>
      <c r="AA63" s="132">
        <f>AA59/IS!AA34</f>
        <v>0.35218027070601066</v>
      </c>
      <c r="AB63" s="132">
        <f>AB59/IS!AB34</f>
        <v>1.7004872955099171</v>
      </c>
      <c r="AC63" s="133">
        <f>AC59/IS!AC34</f>
        <v>0.82305358948432727</v>
      </c>
      <c r="AD63" s="132"/>
      <c r="AE63" s="347">
        <f>AE59/IS!AE34</f>
        <v>-11.12499999999997</v>
      </c>
      <c r="AF63" s="132">
        <f>AF59/IS!AF34</f>
        <v>-0.82488479262672809</v>
      </c>
      <c r="AG63" s="132">
        <f>AG59/IS!AG34</f>
        <v>-0.66853932584269649</v>
      </c>
      <c r="AH63" s="132">
        <f>AH59/IS!AH34</f>
        <v>3.068702290076347</v>
      </c>
      <c r="AI63" s="133">
        <f>AI59/IS!AI34</f>
        <v>0.91679506933744404</v>
      </c>
      <c r="AJ63" s="132"/>
      <c r="AK63" s="347">
        <f>AK59/IS!AK34</f>
        <v>1.095238095238098</v>
      </c>
      <c r="AL63" s="132">
        <f>AL59/IS!AL34</f>
        <v>2.7131782945736456</v>
      </c>
      <c r="AM63" s="132">
        <f>AM59/IS!AM34</f>
        <v>0.86585365853658747</v>
      </c>
      <c r="AN63" s="132">
        <f>AN59/IS!AN34</f>
        <v>1.7264367816091968</v>
      </c>
      <c r="AO63" s="133">
        <f>AO59/IS!AO34</f>
        <v>1.6440886699507427</v>
      </c>
      <c r="AP63" s="132"/>
      <c r="AQ63" s="347">
        <f>AQ59/IS!AQ34</f>
        <v>6.2111801242233523E-3</v>
      </c>
      <c r="AR63" s="132">
        <f>AR59/IS!AR34</f>
        <v>1.8716814159292068</v>
      </c>
      <c r="AS63" s="132">
        <f>AS59/IS!AS34</f>
        <v>-7.2992700729924151E-3</v>
      </c>
      <c r="AT63" s="132">
        <f>AT59/IS!AT34</f>
        <v>2.7986348122866951</v>
      </c>
      <c r="AU63" s="133">
        <f>AU59/IS!AU34</f>
        <v>1.3018867924528292</v>
      </c>
      <c r="AV63" s="132"/>
      <c r="AW63" s="347">
        <f>AW59/IS!AW34</f>
        <v>-3.4778761061946923</v>
      </c>
      <c r="AX63" s="132">
        <f>AX59/IS!AX34</f>
        <v>-0.87782805429863853</v>
      </c>
      <c r="AY63" s="132">
        <f>AY59/IS!AY34</f>
        <v>0.8030303030303042</v>
      </c>
      <c r="AZ63" s="132">
        <f>AZ59/IS!AZ34</f>
        <v>1.9462915601023107</v>
      </c>
      <c r="BA63" s="133">
        <f>BA59/IS!BA34</f>
        <v>0.36078006500541759</v>
      </c>
      <c r="BB63" s="132"/>
      <c r="BC63" s="347">
        <f>BC59/IS!BC34</f>
        <v>-0.39735099337748503</v>
      </c>
      <c r="BD63" s="132">
        <f>BD59/IS!BD34</f>
        <v>1.767676767676764</v>
      </c>
      <c r="BE63" s="132">
        <f>BE59/IS!BE34</f>
        <v>-0.4811083123425689</v>
      </c>
      <c r="BF63" s="132">
        <f>BF59/IS!BF34</f>
        <v>5.3046874999999538</v>
      </c>
      <c r="BG63" s="133">
        <f>BG59/IS!BG34</f>
        <v>0.77806451612903127</v>
      </c>
      <c r="BH63" s="132"/>
      <c r="BI63" s="347">
        <f>BI59/IS!BI34</f>
        <v>-6.0740740740740176</v>
      </c>
      <c r="BJ63" s="132">
        <f>BJ59/IS!BJ34</f>
        <v>-1.0131004366812233</v>
      </c>
      <c r="BK63" s="132">
        <f>BK59/IS!BK34</f>
        <v>1.7048192771084383</v>
      </c>
      <c r="BL63" s="132">
        <f>BL59/IS!BL34</f>
        <v>3.4772727272727186</v>
      </c>
      <c r="BM63" s="133">
        <f>BM59/IS!BM34</f>
        <v>1.1822721598002497</v>
      </c>
      <c r="BN63" s="132"/>
      <c r="BO63" s="347">
        <f>BO59/IS!BO34</f>
        <v>1.068965517241373</v>
      </c>
      <c r="BP63" s="132">
        <f>BP59/IS!BP34</f>
        <v>0.32926829268292829</v>
      </c>
      <c r="BQ63" s="132">
        <f>BQ59/IS!BQ34</f>
        <v>0.65454545454545776</v>
      </c>
      <c r="BR63" s="132">
        <f>BR59/IS!BR34</f>
        <v>2.3831417624520981</v>
      </c>
      <c r="BS63" s="133">
        <f>BS59/IS!BS34</f>
        <v>1.4197530864197514</v>
      </c>
      <c r="BT63" s="132"/>
      <c r="BU63" s="347">
        <f>BU59/IS!BU34</f>
        <v>3.2769230769230715</v>
      </c>
      <c r="BV63" s="132">
        <f>BV59/IS!BV34</f>
        <v>-0.42009132420091355</v>
      </c>
      <c r="BW63" s="132">
        <f>BW59/IS!BW34</f>
        <v>3.8474576271186409</v>
      </c>
      <c r="BX63" s="132">
        <f>BX59/IS!BX34</f>
        <v>2.2394136807817624</v>
      </c>
      <c r="BY63" s="133">
        <f>BY59/IS!BY34</f>
        <v>1.9192913385826766</v>
      </c>
      <c r="BZ63" s="132"/>
      <c r="CA63" s="347">
        <f>CA59/IS!CA34</f>
        <v>-0.93220338983050688</v>
      </c>
      <c r="CB63" s="132">
        <f>CB59/IS!CB34</f>
        <v>0.61379310344827309</v>
      </c>
      <c r="CC63" s="132">
        <f>CC59/IS!CC34</f>
        <v>0.58279569892473138</v>
      </c>
      <c r="CD63" s="132">
        <f>CD59/IS!CD34</f>
        <v>1.1550724637681171</v>
      </c>
      <c r="CE63" s="133">
        <f>CE59/IS!CE34</f>
        <v>0.61002604166666641</v>
      </c>
      <c r="CF63" s="132"/>
      <c r="CG63" s="347">
        <f>CG59/IS!CG34</f>
        <v>0.97685185185185219</v>
      </c>
      <c r="CH63" s="132">
        <f>CH59/IS!CH34</f>
        <v>-1.1452991452991461</v>
      </c>
      <c r="CI63" s="132">
        <f>CI59/IS!CI34</f>
        <v>0.67837837837837922</v>
      </c>
      <c r="CJ63" s="132">
        <f>CJ59/IS!CJ34</f>
        <v>-26.852941176472338</v>
      </c>
      <c r="CK63" s="133">
        <f>CK59/IS!CK34</f>
        <v>1.408396946564884</v>
      </c>
      <c r="CL63" s="132"/>
      <c r="CM63" s="347">
        <f>CM59/IS!CM34</f>
        <v>1.0440855195481131</v>
      </c>
      <c r="CN63" s="132">
        <f>CN59/IS!CN34</f>
        <v>-0.90512039089393392</v>
      </c>
      <c r="CO63" s="132">
        <f>CO59/IS!CO34</f>
        <v>1.2244403901276795</v>
      </c>
      <c r="CP63" s="132">
        <f>CP59/IS!CP34</f>
        <v>0.95737351970287254</v>
      </c>
      <c r="CQ63" s="133">
        <f>CQ59/IS!CQ34</f>
        <v>0.73732876763239386</v>
      </c>
      <c r="CR63" s="132"/>
      <c r="CS63" s="347">
        <f>CS59/IS!CS34</f>
        <v>3.2059538674850989</v>
      </c>
      <c r="CT63" s="132">
        <f>CT59/IS!CT34</f>
        <v>-0.36193172354937553</v>
      </c>
      <c r="CU63" s="132">
        <f>CU59/IS!CU34</f>
        <v>0.61158842340510833</v>
      </c>
      <c r="CV63" s="132">
        <f>CV59/IS!CV34</f>
        <v>6.6663918346934442E-2</v>
      </c>
      <c r="CW63" s="133">
        <f>CW59/IS!CW34</f>
        <v>0.77168799061084947</v>
      </c>
      <c r="CX63" s="132"/>
      <c r="CY63" s="347">
        <f>CY59/IS!CY34</f>
        <v>3.3531857913334893</v>
      </c>
      <c r="CZ63" s="132">
        <f>CZ59/IS!CZ34</f>
        <v>1.6014635358711758E-2</v>
      </c>
      <c r="DA63" s="132">
        <f>DA59/IS!DA34</f>
        <v>0.44841681207320833</v>
      </c>
      <c r="DB63" s="132">
        <f>DB59/IS!DB34</f>
        <v>9.3899562012214943E-2</v>
      </c>
      <c r="DC63" s="133">
        <f>DC59/IS!DC34</f>
        <v>0.80743783499057475</v>
      </c>
      <c r="DD63" s="132"/>
      <c r="DE63" s="347">
        <f>DE59/IS!DE34</f>
        <v>3.6097160615805515</v>
      </c>
      <c r="DF63" s="132">
        <f>DF59/IS!DF34</f>
        <v>-0.20470338728729104</v>
      </c>
      <c r="DG63" s="132">
        <f>DG59/IS!DG34</f>
        <v>0.56859646394402796</v>
      </c>
      <c r="DH63" s="132">
        <f>DH59/IS!DH34</f>
        <v>-0.17703520668025632</v>
      </c>
      <c r="DI63" s="133">
        <f>DI59/IS!DI34</f>
        <v>0.86862891619822102</v>
      </c>
      <c r="DP63" s="256"/>
      <c r="DT63" s="1691"/>
    </row>
    <row r="64" spans="1:127" ht="11.25" customHeight="1">
      <c r="A64" s="131" t="s">
        <v>584</v>
      </c>
      <c r="B64" s="132"/>
      <c r="C64" s="133"/>
      <c r="D64" s="132"/>
      <c r="E64" s="133"/>
      <c r="F64" s="132"/>
      <c r="G64" s="133"/>
      <c r="H64" s="132"/>
      <c r="I64" s="133"/>
      <c r="J64" s="132"/>
      <c r="K64" s="133"/>
      <c r="L64" s="132"/>
      <c r="M64" s="133"/>
      <c r="N64" s="132"/>
      <c r="O64" s="133"/>
      <c r="P64" s="132"/>
      <c r="Q64" s="133">
        <f>Q59/IS!Q32</f>
        <v>4.6097260695598656</v>
      </c>
      <c r="R64" s="132"/>
      <c r="S64" s="347">
        <f>S59/IS!S32</f>
        <v>0.69057975303038421</v>
      </c>
      <c r="T64" s="132">
        <f>T59/IS!T32</f>
        <v>-0.17022332572398943</v>
      </c>
      <c r="U64" s="132">
        <f>U59/IS!U32</f>
        <v>2.8355779385212796</v>
      </c>
      <c r="V64" s="132">
        <f>V59/IS!V32</f>
        <v>1.7961205729451633</v>
      </c>
      <c r="W64" s="133">
        <f>W59/IS!W32</f>
        <v>1.2806098547762035</v>
      </c>
      <c r="X64" s="132"/>
      <c r="Y64" s="347">
        <f>Y59/IS!Y32</f>
        <v>1.1798551318846515</v>
      </c>
      <c r="Z64" s="132">
        <f>Z59/IS!Z32</f>
        <v>-0.7609071153953314</v>
      </c>
      <c r="AA64" s="132">
        <f>AA59/IS!AA32</f>
        <v>0.33886503842129978</v>
      </c>
      <c r="AB64" s="132">
        <f>AB59/IS!AB32</f>
        <v>1.43691176470588</v>
      </c>
      <c r="AC64" s="133">
        <f>AC59/IS!AC32</f>
        <v>0.75440222428174208</v>
      </c>
      <c r="AD64" s="132"/>
      <c r="AE64" s="347">
        <f>AE59/IS!AE32</f>
        <v>1.6181818181818197</v>
      </c>
      <c r="AF64" s="132">
        <f>AF59/IS!AF32</f>
        <v>-0.77826086956521734</v>
      </c>
      <c r="AG64" s="132">
        <f>AG59/IS!AG32</f>
        <v>-0.62962962962962943</v>
      </c>
      <c r="AH64" s="132">
        <f>AH59/IS!AH32</f>
        <v>2.6360655737705003</v>
      </c>
      <c r="AI64" s="133">
        <f>AI59/IS!AI32</f>
        <v>0.76379974326059175</v>
      </c>
      <c r="AJ64" s="132"/>
      <c r="AK64" s="347">
        <f>AK59/IS!AK32</f>
        <v>1.0000000000000022</v>
      </c>
      <c r="AL64" s="132">
        <f>AL59/IS!AL32</f>
        <v>2.8455284552845552</v>
      </c>
      <c r="AM64" s="132">
        <f>AM59/IS!AM32</f>
        <v>0.84523809523809734</v>
      </c>
      <c r="AN64" s="132">
        <f>AN59/IS!AN32</f>
        <v>1.8681592039801012</v>
      </c>
      <c r="AO64" s="133">
        <f>AO59/IS!AO32</f>
        <v>1.7006369426751633</v>
      </c>
      <c r="AP64" s="132"/>
      <c r="AQ64" s="347">
        <f>AQ59/IS!AQ32</f>
        <v>5.4644808743167204E-3</v>
      </c>
      <c r="AR64" s="132">
        <f>AR59/IS!AR32</f>
        <v>1.5962264150943419</v>
      </c>
      <c r="AS64" s="132">
        <f>AS59/IS!AS32</f>
        <v>-5.6818181818179591E-3</v>
      </c>
      <c r="AT64" s="132">
        <f>AT59/IS!AT32</f>
        <v>1.7446808510638319</v>
      </c>
      <c r="AU64" s="133">
        <f>AU59/IS!AU32</f>
        <v>0.97795275590551134</v>
      </c>
      <c r="AV64" s="132"/>
      <c r="AW64" s="347">
        <f>AW59/IS!AW32</f>
        <v>-1.7236842105263166</v>
      </c>
      <c r="AX64" s="132">
        <f>AX59/IS!AX32</f>
        <v>-0.57227138643067688</v>
      </c>
      <c r="AY64" s="132">
        <f>AY59/IS!AY32</f>
        <v>0.43922651933701717</v>
      </c>
      <c r="AZ64" s="132">
        <f>AZ59/IS!AZ32</f>
        <v>1.4980314960629975</v>
      </c>
      <c r="BA64" s="133">
        <f>BA59/IS!BA32</f>
        <v>0.23173277661795419</v>
      </c>
      <c r="BB64" s="132"/>
      <c r="BC64" s="347">
        <f>BC59/IS!BC32</f>
        <v>-0.25210084033613528</v>
      </c>
      <c r="BD64" s="132">
        <f>BD59/IS!BD32</f>
        <v>0.85365853658536517</v>
      </c>
      <c r="BE64" s="132">
        <f>BE59/IS!BE32</f>
        <v>-0.40552016985137979</v>
      </c>
      <c r="BF64" s="132">
        <f>BF59/IS!BF32</f>
        <v>1.4477611940298472</v>
      </c>
      <c r="BG64" s="133">
        <f>BG59/IS!BG32</f>
        <v>0.43600867678958766</v>
      </c>
      <c r="BH64" s="132"/>
      <c r="BI64" s="347">
        <f>BI59/IS!BI32</f>
        <v>-2.4477611940298414</v>
      </c>
      <c r="BJ64" s="132">
        <f>BJ59/IS!BJ32</f>
        <v>-0.77591973244147172</v>
      </c>
      <c r="BK64" s="132">
        <f>BK59/IS!BK32</f>
        <v>0.83727810650887668</v>
      </c>
      <c r="BL64" s="132">
        <f>BL59/IS!BL32</f>
        <v>2.3448275862068928</v>
      </c>
      <c r="BM64" s="133">
        <f>BM59/IS!BM32</f>
        <v>0.73240525908739362</v>
      </c>
      <c r="BN64" s="132"/>
      <c r="BO64" s="347">
        <f>BO59/IS!BO32</f>
        <v>0.4973262032085547</v>
      </c>
      <c r="BP64" s="132">
        <f>BP59/IS!BP32</f>
        <v>0.15472779369627554</v>
      </c>
      <c r="BQ64" s="132">
        <f>BQ59/IS!BQ32</f>
        <v>0.15126050420168091</v>
      </c>
      <c r="BR64" s="132">
        <f>BR59/IS!BR32</f>
        <v>1.2365805168986059</v>
      </c>
      <c r="BS64" s="133">
        <f>BS59/IS!BS32</f>
        <v>0.63038371182458863</v>
      </c>
      <c r="BT64" s="132"/>
      <c r="BU64" s="347">
        <f>BU59/IS!BU32</f>
        <v>0.92207792207792161</v>
      </c>
      <c r="BV64" s="132">
        <f>BV59/IS!BV32</f>
        <v>-0.28840125391849547</v>
      </c>
      <c r="BW64" s="132">
        <f>BW59/IS!BW32</f>
        <v>1.4367088607594931</v>
      </c>
      <c r="BX64" s="132">
        <f>BX59/IS!BX32</f>
        <v>2.1350931677018665</v>
      </c>
      <c r="BY64" s="133">
        <f>BY59/IS!BY32</f>
        <v>1.2913907284768209</v>
      </c>
      <c r="BZ64" s="132"/>
      <c r="CA64" s="347">
        <f>CA59/IS!CA32</f>
        <v>-0.64139941690962021</v>
      </c>
      <c r="CB64" s="132">
        <f>CB59/IS!CB32</f>
        <v>0.27300613496932452</v>
      </c>
      <c r="CC64" s="132">
        <f>CC59/IS!CC32</f>
        <v>0.52417794970986475</v>
      </c>
      <c r="CD64" s="132">
        <f>CD59/IS!CD32</f>
        <v>1.0814111261872466</v>
      </c>
      <c r="CE64" s="133">
        <f>CE59/IS!CE32</f>
        <v>0.48725949037961508</v>
      </c>
      <c r="CF64" s="132"/>
      <c r="CG64" s="347">
        <f>CG59/IS!CG32</f>
        <v>0.70568561872909707</v>
      </c>
      <c r="CH64" s="132">
        <f>CH59/IS!CH32</f>
        <v>-0.74238227146814439</v>
      </c>
      <c r="CI64" s="132">
        <f>CI59/IS!CI32</f>
        <v>0.54094827586206962</v>
      </c>
      <c r="CJ64" s="132">
        <f>CJ59/IS!CJ32</f>
        <v>1.1441102756892201</v>
      </c>
      <c r="CK64" s="133">
        <f>CK59/IS!CK32</f>
        <v>0.57596253902185202</v>
      </c>
      <c r="CL64" s="132"/>
      <c r="CM64" s="347">
        <f>CM59/IS!CM32</f>
        <v>0.73636627692604428</v>
      </c>
      <c r="CN64" s="132">
        <f>CN59/IS!CN32</f>
        <v>-0.6478175687569443</v>
      </c>
      <c r="CO64" s="132">
        <f>CO59/IS!CO32</f>
        <v>0.97684882492620462</v>
      </c>
      <c r="CP64" s="132">
        <f>CP59/IS!CP32</f>
        <v>0.83340651107323616</v>
      </c>
      <c r="CQ64" s="133">
        <f>CQ59/IS!CQ32</f>
        <v>0.58669148499982915</v>
      </c>
      <c r="CR64" s="132"/>
      <c r="CS64" s="347">
        <f>CS59/IS!CS32</f>
        <v>2.5344155015679108</v>
      </c>
      <c r="CT64" s="132">
        <f>CT59/IS!CT32</f>
        <v>-0.28972317051888208</v>
      </c>
      <c r="CU64" s="132">
        <f>CU59/IS!CU32</f>
        <v>0.49177858450374767</v>
      </c>
      <c r="CV64" s="132">
        <f>CV59/IS!CV32</f>
        <v>5.6635102227624114E-2</v>
      </c>
      <c r="CW64" s="133">
        <f>CW59/IS!CW32</f>
        <v>0.62837311057352152</v>
      </c>
      <c r="CX64" s="132"/>
      <c r="CY64" s="347">
        <f>CY59/IS!CY32</f>
        <v>2.7118089913797987</v>
      </c>
      <c r="CZ64" s="132">
        <f>CZ59/IS!CZ32</f>
        <v>1.3392099259848789E-2</v>
      </c>
      <c r="DA64" s="132">
        <f>DA59/IS!DA32</f>
        <v>0.37668801262210433</v>
      </c>
      <c r="DB64" s="132">
        <f>DB59/IS!DB32</f>
        <v>8.1828130485158593E-2</v>
      </c>
      <c r="DC64" s="133">
        <f>DC59/IS!DC32</f>
        <v>0.68010616164349957</v>
      </c>
      <c r="DD64" s="132"/>
      <c r="DE64" s="347">
        <f>DE59/IS!DE32</f>
        <v>3.0232048864275303</v>
      </c>
      <c r="DF64" s="132">
        <f>DF59/IS!DF32</f>
        <v>-0.1704435399327443</v>
      </c>
      <c r="DG64" s="132">
        <f>DG59/IS!DG32</f>
        <v>0.47580263998851924</v>
      </c>
      <c r="DH64" s="132">
        <f>DH59/IS!DH32</f>
        <v>-0.15472219275975588</v>
      </c>
      <c r="DI64" s="133">
        <f>DI59/IS!DI32</f>
        <v>0.73596962566195323</v>
      </c>
      <c r="DP64" s="256"/>
      <c r="DT64" s="1691"/>
    </row>
    <row r="65" spans="1:126" ht="11.25" customHeight="1">
      <c r="A65" s="257" t="s">
        <v>187</v>
      </c>
      <c r="B65" s="259"/>
      <c r="C65" s="260" t="s">
        <v>263</v>
      </c>
      <c r="D65" s="259"/>
      <c r="E65" s="260" t="s">
        <v>263</v>
      </c>
      <c r="F65" s="259"/>
      <c r="G65" s="260" t="s">
        <v>263</v>
      </c>
      <c r="H65" s="259"/>
      <c r="I65" s="260">
        <v>17.058478532258057</v>
      </c>
      <c r="J65" s="259"/>
      <c r="K65" s="260">
        <v>7.3013513650793698</v>
      </c>
      <c r="L65" s="259"/>
      <c r="M65" s="260">
        <v>4.3947456269841272</v>
      </c>
      <c r="N65" s="259"/>
      <c r="O65" s="260">
        <v>4.5355511309523822</v>
      </c>
      <c r="P65" s="259"/>
      <c r="Q65" s="260">
        <v>4.1162098452380924</v>
      </c>
      <c r="R65" s="259"/>
      <c r="S65" s="491">
        <v>4.7543947258064509</v>
      </c>
      <c r="T65" s="261">
        <v>5.3287298253968265</v>
      </c>
      <c r="U65" s="261">
        <v>6.2830154603174604</v>
      </c>
      <c r="V65" s="261">
        <v>7.7530154920634935</v>
      </c>
      <c r="W65" s="260">
        <v>6.0348701274900405</v>
      </c>
      <c r="X65" s="259"/>
      <c r="Y65" s="491">
        <v>8.5768848049180324</v>
      </c>
      <c r="Z65" s="261">
        <v>9.5509520857142878</v>
      </c>
      <c r="AA65" s="261">
        <v>7.9882535920634963</v>
      </c>
      <c r="AB65" s="261">
        <v>10.212966960937502</v>
      </c>
      <c r="AC65" s="260">
        <v>9.0907960808764869</v>
      </c>
      <c r="AD65" s="259"/>
      <c r="AE65" s="491">
        <v>12.36098336557377</v>
      </c>
      <c r="AF65" s="261">
        <v>12.927030937499993</v>
      </c>
      <c r="AG65" s="261">
        <v>14.039686921874999</v>
      </c>
      <c r="AH65" s="261">
        <v>5.9979683750000028</v>
      </c>
      <c r="AI65" s="260">
        <v>11.319209107905131</v>
      </c>
      <c r="AJ65" s="259"/>
      <c r="AK65" s="491">
        <v>4.555737275409836</v>
      </c>
      <c r="AL65" s="261">
        <v>7.2517456666666691</v>
      </c>
      <c r="AM65" s="261">
        <v>9.6823435562500002</v>
      </c>
      <c r="AN65" s="261">
        <v>11.286875</v>
      </c>
      <c r="AO65" s="260">
        <v>8.2412299142857108</v>
      </c>
      <c r="AP65" s="259"/>
      <c r="AQ65" s="491">
        <v>13.3877868852459</v>
      </c>
      <c r="AR65" s="261">
        <v>13.773888888888891</v>
      </c>
      <c r="AS65" s="261">
        <v>12.793749999999999</v>
      </c>
      <c r="AT65" s="261">
        <v>15.656637890624998</v>
      </c>
      <c r="AU65" s="260">
        <v>13.909662003968256</v>
      </c>
      <c r="AV65" s="259"/>
      <c r="AW65" s="491">
        <v>18.303540903225805</v>
      </c>
      <c r="AX65" s="261">
        <v>19.340786333333337</v>
      </c>
      <c r="AY65" s="261">
        <v>15.609451218750003</v>
      </c>
      <c r="AZ65" s="261">
        <v>13.046349206349205</v>
      </c>
      <c r="BA65" s="260">
        <v>16.564341083333343</v>
      </c>
      <c r="BB65" s="259"/>
      <c r="BC65" s="491">
        <v>14.842902306451606</v>
      </c>
      <c r="BD65" s="258">
        <v>14.794126777777782</v>
      </c>
      <c r="BE65" s="258">
        <v>12.64111111111111</v>
      </c>
      <c r="BF65" s="261">
        <v>13.807883870967737</v>
      </c>
      <c r="BG65" s="587">
        <v>14.021506016577058</v>
      </c>
      <c r="BH65" s="588"/>
      <c r="BI65" s="491">
        <v>17.465409866666665</v>
      </c>
      <c r="BJ65" s="261">
        <v>17.285931609375005</v>
      </c>
      <c r="BK65" s="261">
        <v>19.114383843750005</v>
      </c>
      <c r="BL65" s="261">
        <v>19.608742937500004</v>
      </c>
      <c r="BM65" s="587">
        <v>18.382953686507957</v>
      </c>
      <c r="BN65" s="588"/>
      <c r="BO65" s="491">
        <v>21.810157622950815</v>
      </c>
      <c r="BP65" s="261">
        <v>21.703088634920629</v>
      </c>
      <c r="BQ65" s="261">
        <v>21.372572781250007</v>
      </c>
      <c r="BR65" s="261">
        <v>19.244607453124996</v>
      </c>
      <c r="BS65" s="587">
        <v>21.020689420634945</v>
      </c>
      <c r="BT65" s="588"/>
      <c r="BU65" s="491">
        <v>18.946721540983603</v>
      </c>
      <c r="BV65" s="261">
        <v>20.200555444444447</v>
      </c>
      <c r="BW65" s="261" t="s">
        <v>480</v>
      </c>
      <c r="BX65" s="261">
        <v>20.761328968750004</v>
      </c>
      <c r="BY65" s="587">
        <f>AVERAGE(BU65:BX65)</f>
        <v>19.969535318059354</v>
      </c>
      <c r="BZ65" s="588"/>
      <c r="CA65" s="491">
        <v>24.929836786885247</v>
      </c>
      <c r="CB65" s="261">
        <v>26.701093671874993</v>
      </c>
      <c r="CC65" s="261">
        <v>22.910625937500001</v>
      </c>
      <c r="CD65" s="261">
        <v>21.862063968253967</v>
      </c>
      <c r="CE65" s="587">
        <f>AVERAGE(CA65:CD65)</f>
        <v>24.100905091128549</v>
      </c>
      <c r="CF65" s="588"/>
      <c r="CG65" s="491">
        <v>23.487177419354829</v>
      </c>
      <c r="CH65" s="261">
        <v>25.749444571428569</v>
      </c>
      <c r="CI65" s="261">
        <v>28.792380698412696</v>
      </c>
      <c r="CJ65" s="261">
        <v>21.862063968253967</v>
      </c>
      <c r="CK65" s="587">
        <f>AVERAGE(CG65:CJ65)</f>
        <v>24.972766664362513</v>
      </c>
      <c r="CL65" s="588"/>
      <c r="CM65" s="2355">
        <v>31</v>
      </c>
      <c r="CN65" s="261">
        <v>31.695809130699541</v>
      </c>
      <c r="CO65" s="261">
        <v>32.407236014507625</v>
      </c>
      <c r="CP65" s="261">
        <v>33.1346311990118</v>
      </c>
      <c r="CQ65" s="587">
        <f>AVERAGE(CM65:CP65)</f>
        <v>32.059419086054746</v>
      </c>
      <c r="CR65" s="588"/>
      <c r="CS65" s="491">
        <v>33.878353100000005</v>
      </c>
      <c r="CT65" s="261">
        <v>34.638768178065909</v>
      </c>
      <c r="CU65" s="261">
        <v>35.416251119178263</v>
      </c>
      <c r="CV65" s="261">
        <v>36.211185019303166</v>
      </c>
      <c r="CW65" s="587">
        <f>AVERAGE(CS65:CV65)</f>
        <v>35.036139354136836</v>
      </c>
      <c r="CX65" s="588"/>
      <c r="CY65" s="491">
        <v>37.023961573170311</v>
      </c>
      <c r="CZ65" s="261">
        <v>37.854981267276145</v>
      </c>
      <c r="DA65" s="261">
        <v>38.704653577219077</v>
      </c>
      <c r="DB65" s="261">
        <v>39.573397169463973</v>
      </c>
      <c r="DC65" s="587">
        <f>AVERAGE(CY65:DB65)</f>
        <v>38.289248396782376</v>
      </c>
      <c r="DD65" s="588"/>
      <c r="DE65" s="491">
        <v>40.46164010763534</v>
      </c>
      <c r="DF65" s="261">
        <v>41.369820063440869</v>
      </c>
      <c r="DG65" s="261">
        <v>42.29838453232923</v>
      </c>
      <c r="DH65" s="261">
        <v>43.247791053988422</v>
      </c>
      <c r="DI65" s="587">
        <f>AVERAGE(DE65:DH65)</f>
        <v>41.844408939348469</v>
      </c>
      <c r="DP65" s="254"/>
      <c r="DR65" s="1691"/>
      <c r="DS65" s="1691"/>
      <c r="DT65" s="1691"/>
      <c r="DU65" s="1691"/>
    </row>
    <row r="66" spans="1:126" ht="11.25" customHeight="1">
      <c r="A66" s="262"/>
      <c r="B66" s="219"/>
      <c r="C66" s="70"/>
      <c r="D66" s="219"/>
      <c r="E66" s="70"/>
      <c r="F66" s="219"/>
      <c r="G66" s="70"/>
      <c r="H66" s="219"/>
      <c r="I66" s="70"/>
      <c r="J66" s="219"/>
      <c r="K66" s="70"/>
      <c r="L66" s="219"/>
      <c r="M66" s="70"/>
      <c r="N66" s="219"/>
      <c r="O66" s="70"/>
      <c r="P66" s="219"/>
      <c r="Q66" s="70"/>
      <c r="R66" s="219"/>
      <c r="S66" s="219"/>
      <c r="T66" s="219"/>
      <c r="U66" s="219"/>
      <c r="V66" s="219"/>
      <c r="W66" s="242"/>
      <c r="X66" s="219"/>
      <c r="Y66" s="219"/>
      <c r="Z66" s="219"/>
      <c r="AA66" s="219"/>
      <c r="AB66" s="219"/>
      <c r="AC66" s="242"/>
      <c r="AD66" s="219"/>
      <c r="AE66" s="219"/>
      <c r="AF66" s="219"/>
      <c r="AG66" s="219"/>
      <c r="AH66" s="219"/>
      <c r="AI66" s="242"/>
      <c r="AJ66" s="219"/>
      <c r="AK66" s="219"/>
      <c r="AL66" s="219"/>
      <c r="AM66" s="219"/>
      <c r="AN66" s="219"/>
      <c r="AO66" s="242"/>
      <c r="AP66" s="219"/>
      <c r="AQ66" s="219"/>
      <c r="AR66" s="219"/>
      <c r="AS66" s="219"/>
      <c r="AT66" s="219"/>
      <c r="AU66" s="242"/>
      <c r="AV66" s="219"/>
      <c r="AW66" s="219"/>
      <c r="AX66" s="219"/>
      <c r="AY66" s="219"/>
      <c r="AZ66" s="219"/>
      <c r="BA66" s="242"/>
      <c r="BB66" s="219"/>
      <c r="BC66" s="219"/>
      <c r="BD66" s="219"/>
      <c r="BE66" s="219"/>
      <c r="BF66" s="219"/>
      <c r="BG66" s="242"/>
      <c r="BH66" s="219"/>
      <c r="BI66" s="219"/>
      <c r="BJ66" s="219"/>
      <c r="BK66" s="219"/>
      <c r="BL66" s="219"/>
      <c r="BM66" s="242"/>
      <c r="BN66" s="219"/>
      <c r="BO66" s="219"/>
      <c r="BP66" s="219"/>
      <c r="BQ66" s="219"/>
      <c r="BR66" s="219"/>
      <c r="BS66" s="242"/>
      <c r="BT66" s="219"/>
      <c r="BU66" s="219"/>
      <c r="BV66" s="219"/>
      <c r="BW66" s="219"/>
      <c r="BX66" s="219"/>
      <c r="BY66" s="242"/>
      <c r="BZ66" s="219"/>
      <c r="CA66" s="219"/>
      <c r="CB66" s="219"/>
      <c r="CC66" s="219"/>
      <c r="CD66" s="219"/>
      <c r="CE66" s="242"/>
      <c r="CF66" s="219"/>
      <c r="CG66" s="242"/>
      <c r="CH66" s="219"/>
      <c r="CI66" s="219"/>
      <c r="CJ66" s="219"/>
      <c r="CL66" s="219"/>
      <c r="CM66" s="219"/>
      <c r="CN66" s="219"/>
      <c r="CO66" s="219"/>
      <c r="CP66" s="219"/>
      <c r="CQ66" s="1691"/>
      <c r="CR66" s="219"/>
      <c r="CS66" s="219"/>
      <c r="CT66" s="219"/>
      <c r="CU66" s="219"/>
      <c r="CV66" s="219"/>
      <c r="CX66" s="219"/>
      <c r="CY66" s="219"/>
      <c r="CZ66" s="219"/>
      <c r="DA66" s="219"/>
      <c r="DB66" s="219"/>
      <c r="DD66" s="219"/>
      <c r="DE66" s="219"/>
      <c r="DF66" s="219"/>
      <c r="DG66" s="219"/>
      <c r="DH66" s="219"/>
      <c r="DP66" s="70"/>
      <c r="DR66" s="1691"/>
      <c r="DT66" s="1691"/>
      <c r="DU66" s="2025"/>
      <c r="DV66" s="1691"/>
    </row>
    <row r="67" spans="1:126" ht="11.25" customHeight="1">
      <c r="A67" s="73" t="s">
        <v>188</v>
      </c>
      <c r="B67" s="244"/>
      <c r="C67" s="245"/>
      <c r="D67" s="244"/>
      <c r="E67" s="245"/>
      <c r="F67" s="244"/>
      <c r="G67" s="245"/>
      <c r="H67" s="244"/>
      <c r="I67" s="245"/>
      <c r="J67" s="244"/>
      <c r="K67" s="245"/>
      <c r="L67" s="244"/>
      <c r="M67" s="245"/>
      <c r="N67" s="244"/>
      <c r="O67" s="245"/>
      <c r="P67" s="244"/>
      <c r="Q67" s="245"/>
      <c r="R67" s="244"/>
      <c r="S67" s="244"/>
      <c r="T67" s="244"/>
      <c r="U67" s="244"/>
      <c r="V67" s="244"/>
      <c r="W67" s="244"/>
      <c r="X67" s="244"/>
      <c r="Y67" s="244"/>
      <c r="Z67" s="244"/>
      <c r="AA67" s="244"/>
      <c r="AB67" s="244"/>
      <c r="AC67" s="244"/>
      <c r="AD67" s="244"/>
      <c r="AE67" s="244"/>
      <c r="AF67" s="244"/>
      <c r="AG67" s="244"/>
      <c r="AH67" s="244"/>
      <c r="AI67" s="244"/>
      <c r="AJ67" s="244"/>
      <c r="AK67" s="244"/>
      <c r="AL67" s="244"/>
      <c r="AM67" s="244"/>
      <c r="AN67" s="244"/>
      <c r="AO67" s="244"/>
      <c r="AP67" s="244"/>
      <c r="AQ67" s="244"/>
      <c r="AR67" s="244"/>
      <c r="AS67" s="244"/>
      <c r="AT67" s="244"/>
      <c r="AU67" s="244"/>
      <c r="AV67" s="244"/>
      <c r="AW67" s="244"/>
      <c r="AX67" s="244"/>
      <c r="AY67" s="244"/>
      <c r="AZ67" s="244"/>
      <c r="BA67" s="244"/>
      <c r="BB67" s="244"/>
      <c r="BC67" s="244"/>
      <c r="BD67" s="244"/>
      <c r="BE67" s="244"/>
      <c r="BF67" s="244"/>
      <c r="BG67" s="244"/>
      <c r="BH67" s="244"/>
      <c r="BI67" s="244"/>
      <c r="BJ67" s="244"/>
      <c r="BK67" s="244"/>
      <c r="BL67" s="244"/>
      <c r="BM67" s="244"/>
      <c r="BN67" s="244"/>
      <c r="BO67" s="244"/>
      <c r="BP67" s="244"/>
      <c r="BQ67" s="244"/>
      <c r="BR67" s="244"/>
      <c r="BS67" s="76"/>
      <c r="BT67" s="244"/>
      <c r="BU67" s="244"/>
      <c r="BV67" s="244"/>
      <c r="BW67" s="244"/>
      <c r="BX67" s="244"/>
      <c r="BY67" s="76"/>
      <c r="BZ67" s="244"/>
      <c r="CA67" s="244"/>
      <c r="CB67" s="244"/>
      <c r="CC67" s="244"/>
      <c r="CD67" s="244"/>
      <c r="CE67" s="76"/>
      <c r="CF67" s="244"/>
      <c r="CG67" s="244"/>
      <c r="CH67" s="244"/>
      <c r="CI67" s="244"/>
      <c r="CJ67" s="244"/>
      <c r="CK67" s="1959"/>
      <c r="CL67" s="2001"/>
      <c r="CM67" s="2001"/>
      <c r="CN67" s="2001"/>
      <c r="CO67" s="2001"/>
      <c r="CP67" s="2001"/>
      <c r="CQ67" s="1959"/>
      <c r="CR67" s="2001"/>
      <c r="CS67" s="2001"/>
      <c r="CT67" s="2001"/>
      <c r="CU67" s="2001"/>
      <c r="CV67" s="2001"/>
      <c r="CW67" s="1959"/>
      <c r="CX67" s="2001"/>
      <c r="CY67" s="2001"/>
      <c r="CZ67" s="2001"/>
      <c r="DA67" s="2001"/>
      <c r="DB67" s="2001"/>
      <c r="DC67" s="1959"/>
      <c r="DD67" s="2001"/>
      <c r="DE67" s="2001"/>
      <c r="DF67" s="2001"/>
      <c r="DG67" s="2001"/>
      <c r="DH67" s="2001"/>
      <c r="DI67" s="1959"/>
      <c r="DP67" s="70"/>
    </row>
    <row r="68" spans="1:126" ht="11.25" customHeight="1">
      <c r="A68" s="77" t="s">
        <v>189</v>
      </c>
      <c r="B68" s="181"/>
      <c r="C68" s="264"/>
      <c r="D68" s="181"/>
      <c r="E68" s="264"/>
      <c r="F68" s="181"/>
      <c r="G68" s="205">
        <v>0</v>
      </c>
      <c r="H68" s="181"/>
      <c r="I68" s="205">
        <v>1.2707409999999999</v>
      </c>
      <c r="J68" s="181"/>
      <c r="K68" s="182">
        <f>I72</f>
        <v>2.1436790000000001</v>
      </c>
      <c r="L68" s="181"/>
      <c r="M68" s="182">
        <f>K72</f>
        <v>2.6746220000000003</v>
      </c>
      <c r="N68" s="181"/>
      <c r="O68" s="182">
        <f>M72</f>
        <v>3.095002</v>
      </c>
      <c r="P68" s="181"/>
      <c r="Q68" s="182">
        <f>O72</f>
        <v>3.779245</v>
      </c>
      <c r="R68" s="181"/>
      <c r="S68" s="333">
        <f>Q72</f>
        <v>3.5768679999999997</v>
      </c>
      <c r="T68" s="181">
        <f>S72</f>
        <v>3.7144749999999997</v>
      </c>
      <c r="U68" s="181">
        <f>T72</f>
        <v>3.71685</v>
      </c>
      <c r="V68" s="181">
        <f>U72</f>
        <v>4.0047170000000003</v>
      </c>
      <c r="W68" s="182">
        <f>Q72</f>
        <v>3.5768679999999997</v>
      </c>
      <c r="X68" s="181"/>
      <c r="Y68" s="333">
        <f>W72</f>
        <v>3.6714250000000002</v>
      </c>
      <c r="Z68" s="181">
        <f>Y72</f>
        <v>3.7209480000000004</v>
      </c>
      <c r="AA68" s="181">
        <f>Z72</f>
        <v>3.658293</v>
      </c>
      <c r="AB68" s="181">
        <f>AA72</f>
        <v>4.5508849999999992</v>
      </c>
      <c r="AC68" s="182">
        <f>W72</f>
        <v>3.6714250000000002</v>
      </c>
      <c r="AD68" s="181"/>
      <c r="AE68" s="333">
        <f>AC72</f>
        <v>4.4237119999999992</v>
      </c>
      <c r="AF68" s="181">
        <f>AE72</f>
        <v>4.4729619999999981</v>
      </c>
      <c r="AG68" s="181">
        <f>AF72</f>
        <v>5.6668179999999975</v>
      </c>
      <c r="AH68" s="181">
        <f>AG72</f>
        <v>5.2851229999999969</v>
      </c>
      <c r="AI68" s="182">
        <f>AC72</f>
        <v>4.4237119999999992</v>
      </c>
      <c r="AJ68" s="181"/>
      <c r="AK68" s="333">
        <f>AI72</f>
        <v>5.2685229999999992</v>
      </c>
      <c r="AL68" s="181">
        <f>AK72</f>
        <v>5.2913929999999993</v>
      </c>
      <c r="AM68" s="181">
        <f>AL72</f>
        <v>5.2385469999999987</v>
      </c>
      <c r="AN68" s="181">
        <f>AM72</f>
        <v>5.143991999999999</v>
      </c>
      <c r="AO68" s="182">
        <f>AI72</f>
        <v>5.2685229999999992</v>
      </c>
      <c r="AP68" s="181"/>
      <c r="AQ68" s="333"/>
      <c r="AR68" s="181"/>
      <c r="AS68" s="181"/>
      <c r="AT68" s="181"/>
      <c r="AU68" s="182">
        <f>AO72</f>
        <v>5.0600429999999994</v>
      </c>
      <c r="AV68" s="181"/>
      <c r="AW68" s="333"/>
      <c r="AX68" s="181">
        <f>AU72</f>
        <v>4.7186479999999991</v>
      </c>
      <c r="AY68" s="181">
        <f>AX72</f>
        <v>4.478807999999999</v>
      </c>
      <c r="AZ68" s="181">
        <f>AY72</f>
        <v>5.1460919999999994</v>
      </c>
      <c r="BA68" s="182">
        <f>AU72</f>
        <v>4.7186479999999991</v>
      </c>
      <c r="BB68" s="181"/>
      <c r="BC68" s="333">
        <f>BA72</f>
        <v>5.096252999999999</v>
      </c>
      <c r="BD68" s="181">
        <f>BC72</f>
        <v>4.8888969999999992</v>
      </c>
      <c r="BE68" s="181">
        <f>BD72</f>
        <v>4.6877839999999988</v>
      </c>
      <c r="BF68" s="181">
        <f>BE72</f>
        <v>4.9589619999999988</v>
      </c>
      <c r="BG68" s="182">
        <f>BA72</f>
        <v>5.096252999999999</v>
      </c>
      <c r="BH68" s="181"/>
      <c r="BI68" s="333">
        <f>BG72</f>
        <v>4.8881369999999995</v>
      </c>
      <c r="BJ68" s="181">
        <f>BI72</f>
        <v>4.6316559999999987</v>
      </c>
      <c r="BK68" s="181">
        <f>BJ72</f>
        <v>4.6495679999999986</v>
      </c>
      <c r="BL68" s="181">
        <f>BK72</f>
        <v>4.9225489999999983</v>
      </c>
      <c r="BM68" s="182">
        <f>BG72</f>
        <v>4.8881369999999995</v>
      </c>
      <c r="BN68" s="181"/>
      <c r="BO68" s="333">
        <f>BM72</f>
        <v>4.8775640000000005</v>
      </c>
      <c r="BP68" s="181">
        <f>BO72</f>
        <v>4.5989110000000002</v>
      </c>
      <c r="BQ68" s="181">
        <f>BP72</f>
        <v>4.3438379999999999</v>
      </c>
      <c r="BR68" s="181">
        <f>BQ72</f>
        <v>4.8797390000000007</v>
      </c>
      <c r="BS68" s="182">
        <f>BM72</f>
        <v>4.8775640000000005</v>
      </c>
      <c r="BT68" s="181"/>
      <c r="BU68" s="333">
        <f>BS72</f>
        <v>4.8105880000000001</v>
      </c>
      <c r="BV68" s="181">
        <f>BU72</f>
        <v>4.5582659999999997</v>
      </c>
      <c r="BW68" s="181">
        <f>BV72</f>
        <v>4.1461929999999994</v>
      </c>
      <c r="BX68" s="181">
        <f>BW72</f>
        <v>4.9525759999999996</v>
      </c>
      <c r="BY68" s="182">
        <f>BS72</f>
        <v>4.8105880000000001</v>
      </c>
      <c r="BZ68" s="181"/>
      <c r="CA68" s="333">
        <f>BY72</f>
        <v>4.6372790000000004</v>
      </c>
      <c r="CB68" s="181">
        <f>CA72</f>
        <v>4.2027169999999998</v>
      </c>
      <c r="CC68" s="181">
        <f>CB72</f>
        <v>4.0059459999999998</v>
      </c>
      <c r="CD68" s="181">
        <f>CC72</f>
        <v>3.9288739999999995</v>
      </c>
      <c r="CE68" s="182">
        <f>BY72</f>
        <v>4.6372790000000004</v>
      </c>
      <c r="CF68" s="181"/>
      <c r="CG68" s="333">
        <f>CE72</f>
        <v>4.6256780000000006</v>
      </c>
      <c r="CH68" s="181">
        <f>CG72</f>
        <v>4.4825070000000009</v>
      </c>
      <c r="CI68" s="105">
        <f>CH72</f>
        <v>3.9206560000000006</v>
      </c>
      <c r="CJ68" s="181">
        <f>CI72</f>
        <v>3.6567580000000008</v>
      </c>
      <c r="CK68" s="182">
        <f>CE72</f>
        <v>4.6256780000000006</v>
      </c>
      <c r="CL68" s="181"/>
      <c r="CM68" s="333">
        <f>CK72</f>
        <v>3.5836228400000008</v>
      </c>
      <c r="CN68" s="181">
        <f>CM72</f>
        <v>3.5119503832000007</v>
      </c>
      <c r="CO68" s="181">
        <f>CN72</f>
        <v>3.4417113755360007</v>
      </c>
      <c r="CP68" s="181">
        <f>CO72</f>
        <v>3.3728771480252808</v>
      </c>
      <c r="CQ68" s="182">
        <f>CK72</f>
        <v>3.5836228400000008</v>
      </c>
      <c r="CR68" s="181"/>
      <c r="CS68" s="333">
        <f>CQ72</f>
        <v>3.3054196050647748</v>
      </c>
      <c r="CT68" s="181">
        <f>CS72</f>
        <v>3.2393112129634796</v>
      </c>
      <c r="CU68" s="181">
        <f>CT72</f>
        <v>3.17452498870421</v>
      </c>
      <c r="CV68" s="181">
        <f>CU72</f>
        <v>3.1110344889301258</v>
      </c>
      <c r="CW68" s="182">
        <f>CQ72</f>
        <v>3.3054196050647748</v>
      </c>
      <c r="CX68" s="181"/>
      <c r="CY68" s="333">
        <f>CW72</f>
        <v>3.0488137991515227</v>
      </c>
      <c r="CZ68" s="181">
        <f>CY72</f>
        <v>2.9878375231684924</v>
      </c>
      <c r="DA68" s="181">
        <f>CZ72</f>
        <v>2.9280807727051226</v>
      </c>
      <c r="DB68" s="181">
        <f>DA72</f>
        <v>2.8695191572510201</v>
      </c>
      <c r="DC68" s="182">
        <f>CW72</f>
        <v>3.0488137991515227</v>
      </c>
      <c r="DD68" s="181"/>
      <c r="DE68" s="333">
        <f>DC72</f>
        <v>2.8121287741059993</v>
      </c>
      <c r="DF68" s="181">
        <f>DE72</f>
        <v>2.7558861986238794</v>
      </c>
      <c r="DG68" s="181">
        <f>DF72</f>
        <v>2.7007684746514018</v>
      </c>
      <c r="DH68" s="181">
        <f>DG72</f>
        <v>2.6467531051583739</v>
      </c>
      <c r="DI68" s="182">
        <f>DC72</f>
        <v>2.8121287741059993</v>
      </c>
      <c r="DP68" s="225"/>
    </row>
    <row r="69" spans="1:126" ht="11.25" customHeight="1">
      <c r="A69" s="265" t="s">
        <v>190</v>
      </c>
      <c r="B69" s="181"/>
      <c r="C69" s="205"/>
      <c r="D69" s="181"/>
      <c r="E69" s="205"/>
      <c r="F69" s="181"/>
      <c r="G69" s="205">
        <v>0.87138499999999997</v>
      </c>
      <c r="H69" s="181"/>
      <c r="I69" s="205">
        <v>1.0078940000000001</v>
      </c>
      <c r="J69" s="181"/>
      <c r="K69" s="205">
        <v>0.67659999999999998</v>
      </c>
      <c r="L69" s="181"/>
      <c r="M69" s="205">
        <v>0.50312500000000004</v>
      </c>
      <c r="N69" s="181"/>
      <c r="O69" s="205">
        <v>0.83550000000000002</v>
      </c>
      <c r="P69" s="181"/>
      <c r="Q69" s="205">
        <v>1.8249999999999999E-2</v>
      </c>
      <c r="R69" s="181"/>
      <c r="S69" s="281">
        <v>0.30575000000000002</v>
      </c>
      <c r="T69" s="199">
        <f>0.33525-S69</f>
        <v>2.9499999999999971E-2</v>
      </c>
      <c r="U69" s="199">
        <f>0.69525-S69-T69</f>
        <v>0.36000000000000004</v>
      </c>
      <c r="V69" s="199">
        <f>0.69625-S69-T69-U69</f>
        <v>1.0000000000000009E-3</v>
      </c>
      <c r="W69" s="182">
        <f>SUM(S69:V69)</f>
        <v>0.69625000000000004</v>
      </c>
      <c r="X69" s="181"/>
      <c r="Y69" s="281">
        <v>0.26234000000000002</v>
      </c>
      <c r="Z69" s="199">
        <f>0.292346-Y69</f>
        <v>3.0005999999999977E-2</v>
      </c>
      <c r="AA69" s="199">
        <f>1.247174-Y69-Z69</f>
        <v>0.95482800000000001</v>
      </c>
      <c r="AB69" s="199">
        <f>1.308679-Y69-Z69-AA69</f>
        <v>6.1504999999999921E-2</v>
      </c>
      <c r="AC69" s="182">
        <f>SUM(Y69:AB69)</f>
        <v>1.3086789999999999</v>
      </c>
      <c r="AD69" s="181"/>
      <c r="AE69" s="281">
        <v>8.4000000000000005E-2</v>
      </c>
      <c r="AF69" s="199">
        <f>1.6215-AE69</f>
        <v>1.5374999999999999</v>
      </c>
      <c r="AG69" s="199">
        <f>1.6215-AE69-AF69</f>
        <v>0</v>
      </c>
      <c r="AH69" s="199">
        <f>1.62425-AE69-AF69-AG69</f>
        <v>2.7500000000000302E-3</v>
      </c>
      <c r="AI69" s="182">
        <f>SUM(AE69:AH69)</f>
        <v>1.62425</v>
      </c>
      <c r="AJ69" s="181"/>
      <c r="AK69" s="281">
        <v>4.8000000000000001E-2</v>
      </c>
      <c r="AL69" s="199">
        <f>0.048-AK69</f>
        <v>0</v>
      </c>
      <c r="AM69" s="199">
        <f>0.051-AK69-AL69</f>
        <v>2.9999999999999957E-3</v>
      </c>
      <c r="AN69" s="199">
        <f>0.2085-AK69-AL69-AM69</f>
        <v>0.15749999999999997</v>
      </c>
      <c r="AO69" s="182">
        <f>SUM(AK69:AN69)</f>
        <v>0.20849999999999996</v>
      </c>
      <c r="AP69" s="181"/>
      <c r="AQ69" s="288"/>
      <c r="AR69" s="181"/>
      <c r="AS69" s="181"/>
      <c r="AT69" s="181"/>
      <c r="AU69" s="141">
        <v>0.7</v>
      </c>
      <c r="AV69" s="181"/>
      <c r="AW69" s="288"/>
      <c r="AX69" s="199">
        <v>0.16250000000000001</v>
      </c>
      <c r="AY69" s="199">
        <f>0.881244-AX69</f>
        <v>0.71874400000000005</v>
      </c>
      <c r="AZ69" s="181">
        <f>0.904244-AX69-AY69</f>
        <v>2.300000000000002E-2</v>
      </c>
      <c r="BA69" s="107">
        <f>SUM(AW69:AZ69)</f>
        <v>0.90424400000000005</v>
      </c>
      <c r="BB69" s="181"/>
      <c r="BC69" s="281">
        <v>0.1135</v>
      </c>
      <c r="BD69" s="199">
        <f>0.1535-BC69</f>
        <v>3.9999999999999994E-2</v>
      </c>
      <c r="BE69" s="199">
        <f>0.46925
-BD69-BC69</f>
        <v>0.31575000000000003</v>
      </c>
      <c r="BF69" s="756">
        <f>0.58425-BE69-BD69-BC69</f>
        <v>0.11500000000000003</v>
      </c>
      <c r="BG69" s="182">
        <f>SUM(BC69:BF69)</f>
        <v>0.58425000000000005</v>
      </c>
      <c r="BH69" s="181"/>
      <c r="BI69" s="764">
        <v>0.22500000000000001</v>
      </c>
      <c r="BJ69" s="199">
        <f>0.385-BI69</f>
        <v>0.16</v>
      </c>
      <c r="BK69" s="199">
        <f>1.06228-SUM(BI69:BJ69)</f>
        <v>0.67727999999999988</v>
      </c>
      <c r="BL69" s="199">
        <f>1.078311-SUM(BI69:BK69)</f>
        <v>1.6031000000000128E-2</v>
      </c>
      <c r="BM69" s="182">
        <f>SUM(BI69:BL69)</f>
        <v>1.078311</v>
      </c>
      <c r="BN69" s="181"/>
      <c r="BO69" s="764">
        <v>9.9199999999999997E-2</v>
      </c>
      <c r="BP69" s="199">
        <f>0.12445-BO69</f>
        <v>2.5250000000000009E-2</v>
      </c>
      <c r="BQ69" s="199">
        <f>0.99067-SUM(BO69:BP69)</f>
        <v>0.86621999999999999</v>
      </c>
      <c r="BR69" s="199">
        <f>1.00317-SUM(BO69:BQ69)</f>
        <v>1.2499999999999956E-2</v>
      </c>
      <c r="BS69" s="182">
        <f>SUM(BO69:BR69)</f>
        <v>1.0031699999999999</v>
      </c>
      <c r="BT69" s="181"/>
      <c r="BU69" s="281">
        <v>0.106824</v>
      </c>
      <c r="BV69" s="199">
        <f>0.116824-BU69</f>
        <v>9.999999999999995E-3</v>
      </c>
      <c r="BW69" s="199">
        <f>1.082819-SUM(BU69:BV69)</f>
        <v>0.96599499999999994</v>
      </c>
      <c r="BX69" s="199">
        <f>1.107477-SUM(BU69:BW69)</f>
        <v>2.4658000000000069E-2</v>
      </c>
      <c r="BY69" s="182">
        <f>SUM(BU69:BX69)</f>
        <v>1.107477</v>
      </c>
      <c r="BZ69" s="181"/>
      <c r="CA69" s="281">
        <v>0.20499700000000001</v>
      </c>
      <c r="CB69" s="1913">
        <f>0.2442-CA69</f>
        <v>3.9202999999999988E-2</v>
      </c>
      <c r="CC69" s="199">
        <f>0.254042-SUM(CA69:CB69)</f>
        <v>9.8419999999999896E-3</v>
      </c>
      <c r="CD69" s="140">
        <f>1.070266-SUM(CA69:CC69)</f>
        <v>0.81622399999999995</v>
      </c>
      <c r="CE69" s="182">
        <f>SUM(CA69:CD69)</f>
        <v>1.0702659999999999</v>
      </c>
      <c r="CF69" s="181"/>
      <c r="CG69" s="281">
        <v>1.043E-2</v>
      </c>
      <c r="CH69" s="1913">
        <f>0.021181-CG69</f>
        <v>1.0750999999999998E-2</v>
      </c>
      <c r="CI69" s="140">
        <f>0.180677-SUM(CG69:CH69)</f>
        <v>0.159496</v>
      </c>
      <c r="CJ69" s="181">
        <f>CJ68*CJ78/4</f>
        <v>2.7425685000000005E-2</v>
      </c>
      <c r="CK69" s="182">
        <f>SUM(CG69:CJ69)</f>
        <v>0.20810268500000001</v>
      </c>
      <c r="CL69" s="181"/>
      <c r="CM69" s="288">
        <f>CM68*CM78/4</f>
        <v>2.6877171300000006E-2</v>
      </c>
      <c r="CN69" s="181">
        <f>CN68*CN78/4</f>
        <v>2.6339627874000005E-2</v>
      </c>
      <c r="CO69" s="181">
        <f>CO68*CO78/4</f>
        <v>2.5812835316520004E-2</v>
      </c>
      <c r="CP69" s="181">
        <f>CP68*CP78/4</f>
        <v>2.5296578610189604E-2</v>
      </c>
      <c r="CQ69" s="182">
        <f>SUM(CM69:CP69)</f>
        <v>0.10432621310070962</v>
      </c>
      <c r="CR69" s="181"/>
      <c r="CS69" s="288">
        <f>CS68*CS78/4</f>
        <v>2.4790647037985811E-2</v>
      </c>
      <c r="CT69" s="181">
        <f>CT68*CT78/4</f>
        <v>2.4294834097226096E-2</v>
      </c>
      <c r="CU69" s="181">
        <f>CU68*CU78/4</f>
        <v>2.3808937415281575E-2</v>
      </c>
      <c r="CV69" s="181">
        <f>CV68*CV78/4</f>
        <v>2.3332758666975942E-2</v>
      </c>
      <c r="CW69" s="182">
        <f>SUM(CS69:CV69)</f>
        <v>9.6227177217469428E-2</v>
      </c>
      <c r="CX69" s="181"/>
      <c r="CY69" s="288">
        <f>CY68*CY78/4</f>
        <v>2.2866103493636419E-2</v>
      </c>
      <c r="CZ69" s="181">
        <f>CZ68*CZ78/4</f>
        <v>2.2408781423763693E-2</v>
      </c>
      <c r="DA69" s="181">
        <f>DA68*DA78/4</f>
        <v>2.196060579528842E-2</v>
      </c>
      <c r="DB69" s="181">
        <f>DB68*DB78/4</f>
        <v>2.1521393679382651E-2</v>
      </c>
      <c r="DC69" s="182">
        <f>SUM(CY69:DB69)</f>
        <v>8.8756884392071175E-2</v>
      </c>
      <c r="DD69" s="181"/>
      <c r="DE69" s="288">
        <f>DE68*DE78/4</f>
        <v>2.1090965805794993E-2</v>
      </c>
      <c r="DF69" s="181">
        <f>DF68*DF78/4</f>
        <v>2.0669146489679095E-2</v>
      </c>
      <c r="DG69" s="181">
        <f>DG68*DG78/4</f>
        <v>2.0255763559885512E-2</v>
      </c>
      <c r="DH69" s="181">
        <f>DH68*DH78/4</f>
        <v>1.9850648288687805E-2</v>
      </c>
      <c r="DI69" s="182">
        <f>SUM(DE69:DH69)</f>
        <v>8.1866524144047409E-2</v>
      </c>
      <c r="DP69" s="225"/>
    </row>
    <row r="70" spans="1:126" ht="11.25" customHeight="1">
      <c r="A70" s="265" t="s">
        <v>191</v>
      </c>
      <c r="B70" s="181"/>
      <c r="C70" s="205"/>
      <c r="D70" s="181"/>
      <c r="E70" s="205"/>
      <c r="F70" s="181"/>
      <c r="G70" s="205">
        <v>0</v>
      </c>
      <c r="H70" s="181"/>
      <c r="I70" s="205">
        <v>-4.3099999999999999E-2</v>
      </c>
      <c r="J70" s="181"/>
      <c r="K70" s="205">
        <v>-1.6695000000000002E-2</v>
      </c>
      <c r="L70" s="181"/>
      <c r="M70" s="205">
        <v>-4.4730000000000004E-3</v>
      </c>
      <c r="N70" s="181"/>
      <c r="O70" s="205">
        <v>-1.4853E-2</v>
      </c>
      <c r="P70" s="181"/>
      <c r="Q70" s="205">
        <v>-0.124121</v>
      </c>
      <c r="R70" s="181"/>
      <c r="S70" s="281">
        <v>-3.228E-3</v>
      </c>
      <c r="T70" s="199">
        <f>-0.015103-S70</f>
        <v>-1.1875E-2</v>
      </c>
      <c r="U70" s="199">
        <f>-0.077354-S70-T70</f>
        <v>-6.2251000000000015E-2</v>
      </c>
      <c r="V70" s="199">
        <f>-0.290224-S70-T70-U70</f>
        <v>-0.21286999999999995</v>
      </c>
      <c r="W70" s="182">
        <f>SUM(S70:V70)</f>
        <v>-0.29022399999999998</v>
      </c>
      <c r="X70" s="181"/>
      <c r="Y70" s="281">
        <v>-0.19031699999999999</v>
      </c>
      <c r="Z70" s="199">
        <f>-0.274978-Y70</f>
        <v>-8.4661000000000014E-2</v>
      </c>
      <c r="AA70" s="199">
        <f>-0.322623-Y70-Z70</f>
        <v>-4.7644999999999993E-2</v>
      </c>
      <c r="AB70" s="199">
        <f>-0.501051-Y70-Z70-AA70</f>
        <v>-0.17842800000000006</v>
      </c>
      <c r="AC70" s="182">
        <f>SUM(Y70:AB70)</f>
        <v>-0.50105100000000002</v>
      </c>
      <c r="AD70" s="181"/>
      <c r="AE70" s="281">
        <v>-1E-3</v>
      </c>
      <c r="AF70" s="199">
        <f>-0.272096-AE70</f>
        <v>-0.271096</v>
      </c>
      <c r="AG70" s="199">
        <f>-0.652791-AE70-AF70</f>
        <v>-0.38069500000000001</v>
      </c>
      <c r="AH70" s="199">
        <f>-0.655291-AE70-AF70-AG70</f>
        <v>-2.4999999999999467E-3</v>
      </c>
      <c r="AI70" s="182">
        <f>SUM(AE70:AH70)</f>
        <v>-0.65529099999999996</v>
      </c>
      <c r="AJ70" s="181"/>
      <c r="AK70" s="281">
        <v>-3.13E-3</v>
      </c>
      <c r="AL70" s="199">
        <f>-0.022335-AK70</f>
        <v>-1.9205E-2</v>
      </c>
      <c r="AM70" s="199">
        <f>-0.11099-AK70-AL70</f>
        <v>-8.8655000000000012E-2</v>
      </c>
      <c r="AN70" s="199">
        <f>-0.306156-AK70-AL70-AM70</f>
        <v>-0.19516599999999998</v>
      </c>
      <c r="AO70" s="182">
        <f>SUM(AK70:AN70)</f>
        <v>-0.30615599999999998</v>
      </c>
      <c r="AP70" s="181"/>
      <c r="AQ70" s="288"/>
      <c r="AR70" s="181"/>
      <c r="AS70" s="181"/>
      <c r="AT70" s="181"/>
      <c r="AU70" s="141">
        <v>-0.86174700000000004</v>
      </c>
      <c r="AV70" s="181"/>
      <c r="AW70" s="288"/>
      <c r="AX70" s="199">
        <v>-0.306585</v>
      </c>
      <c r="AY70" s="199">
        <f>-0.332045-AX70</f>
        <v>-2.5459999999999983E-2</v>
      </c>
      <c r="AZ70" s="181">
        <f>-0.354559-AX70-AY70</f>
        <v>-2.2514000000000034E-2</v>
      </c>
      <c r="BA70" s="107">
        <f>SUM(AW70:AZ70)</f>
        <v>-0.35455900000000001</v>
      </c>
      <c r="BB70" s="181"/>
      <c r="BC70" s="281">
        <v>-0.22099099999999999</v>
      </c>
      <c r="BD70" s="199">
        <f>-0.391426-BC70</f>
        <v>-0.170435</v>
      </c>
      <c r="BE70" s="199">
        <f>-0.422558-BD70-BC70</f>
        <v>-3.1131999999999993E-2</v>
      </c>
      <c r="BF70" s="756">
        <f>-0.545778-BE70-BD70-BC70</f>
        <v>-0.12321999999999994</v>
      </c>
      <c r="BG70" s="182">
        <f>SUM(BC70:BF70)</f>
        <v>-0.54577799999999987</v>
      </c>
      <c r="BH70" s="181"/>
      <c r="BI70" s="764">
        <v>-0.43613600000000002</v>
      </c>
      <c r="BJ70" s="199">
        <f>-0.496324-BI70</f>
        <v>-6.0187999999999964E-2</v>
      </c>
      <c r="BK70" s="199">
        <f>-0.837173-SUM(BI70:BJ70)</f>
        <v>-0.34084899999999996</v>
      </c>
      <c r="BL70" s="199">
        <f>-0.871991-SUM(BI70:BK70)</f>
        <v>-3.4818000000000016E-2</v>
      </c>
      <c r="BM70" s="182">
        <f>SUM(BI70:BL70)</f>
        <v>-0.87199099999999996</v>
      </c>
      <c r="BN70" s="181"/>
      <c r="BO70" s="764">
        <v>-0.29114000000000001</v>
      </c>
      <c r="BP70" s="199">
        <f>-0.478956-BO70</f>
        <v>-0.18781599999999998</v>
      </c>
      <c r="BQ70" s="199">
        <f>-0.807275-SUM(BO70:BP70)</f>
        <v>-0.32831899999999997</v>
      </c>
      <c r="BR70" s="199">
        <f>-0.85182-SUM(BO70:BQ70)</f>
        <v>-4.4545000000000057E-2</v>
      </c>
      <c r="BS70" s="182">
        <f>SUM(BO70:BR70)</f>
        <v>-0.85182000000000002</v>
      </c>
      <c r="BT70" s="181"/>
      <c r="BU70" s="281">
        <v>-0.31178499999999998</v>
      </c>
      <c r="BV70" s="199">
        <f>-0.547697-BU70</f>
        <v>-0.23591200000000001</v>
      </c>
      <c r="BW70" s="199">
        <f>-0.616052-SUM(BU70:BV70)</f>
        <v>-6.8355000000000055E-2</v>
      </c>
      <c r="BX70" s="199">
        <f>-0.926042-SUM(BU70:BW70)</f>
        <v>-0.30998999999999999</v>
      </c>
      <c r="BY70" s="182">
        <f>SUM(BU70:BX70)</f>
        <v>-0.92604200000000003</v>
      </c>
      <c r="BZ70" s="181"/>
      <c r="CA70" s="281">
        <v>-0.56584900000000005</v>
      </c>
      <c r="CB70" s="1913">
        <f>-0.723679-CA70</f>
        <v>-0.15782999999999991</v>
      </c>
      <c r="CC70" s="199">
        <f>-0.79941-SUM(CA70:CB70)</f>
        <v>-7.5730999999999993E-2</v>
      </c>
      <c r="CD70" s="140">
        <f>-0.895078-SUM(CA70:CC70)</f>
        <v>-9.5668000000000086E-2</v>
      </c>
      <c r="CE70" s="182">
        <f>SUM(CA70:CD70)</f>
        <v>-0.89507800000000004</v>
      </c>
      <c r="CF70" s="181"/>
      <c r="CG70" s="281">
        <v>-8.3829000000000001E-2</v>
      </c>
      <c r="CH70" s="1913">
        <f>-0.597943-CG70</f>
        <v>-0.51411399999999996</v>
      </c>
      <c r="CI70" s="140">
        <f>-0.961651-SUM(CG70:CH70)</f>
        <v>-0.36370800000000003</v>
      </c>
      <c r="CJ70" s="181">
        <f>-CJ68*CJ76/4</f>
        <v>-6.3993265000000021E-2</v>
      </c>
      <c r="CK70" s="182">
        <f>SUM(CG70:CJ70)</f>
        <v>-1.0256442649999999</v>
      </c>
      <c r="CL70" s="181"/>
      <c r="CM70" s="288">
        <f>-CM68*CM76/4</f>
        <v>-6.2713399700000019E-2</v>
      </c>
      <c r="CN70" s="181">
        <f>-CN68*CN76/4</f>
        <v>-6.1459131706000016E-2</v>
      </c>
      <c r="CO70" s="181">
        <f>-CO68*CO76/4</f>
        <v>-6.0229949071880021E-2</v>
      </c>
      <c r="CP70" s="181">
        <f>-CP68*CP76/4</f>
        <v>-5.9025350090442422E-2</v>
      </c>
      <c r="CQ70" s="182">
        <f>SUM(CM70:CP70)</f>
        <v>-0.24342783056832246</v>
      </c>
      <c r="CR70" s="181"/>
      <c r="CS70" s="288">
        <f>-CS68*CS76/4</f>
        <v>-5.7844843088633566E-2</v>
      </c>
      <c r="CT70" s="181">
        <f>-CT68*CT76/4</f>
        <v>-5.6687946226860901E-2</v>
      </c>
      <c r="CU70" s="181">
        <f>-CU68*CU76/4</f>
        <v>-5.5554187302323678E-2</v>
      </c>
      <c r="CV70" s="181">
        <f>-CV68*CV76/4</f>
        <v>-5.4443103556277204E-2</v>
      </c>
      <c r="CW70" s="182">
        <f>SUM(CS70:CV70)</f>
        <v>-0.22453008017409534</v>
      </c>
      <c r="CX70" s="181"/>
      <c r="CY70" s="288">
        <f>-CY68*CY76/4</f>
        <v>-5.3354241485151652E-2</v>
      </c>
      <c r="CZ70" s="181">
        <f>-CZ68*CZ76/4</f>
        <v>-5.228715665544862E-2</v>
      </c>
      <c r="DA70" s="181">
        <f>-DA68*DA76/4</f>
        <v>-5.124141352233965E-2</v>
      </c>
      <c r="DB70" s="181">
        <f>-DB68*DB76/4</f>
        <v>-5.0216585251892855E-2</v>
      </c>
      <c r="DC70" s="182">
        <f>SUM(CY70:DB70)</f>
        <v>-0.20709939691483278</v>
      </c>
      <c r="DD70" s="181"/>
      <c r="DE70" s="288">
        <f>-DE68*DE76/4</f>
        <v>-4.9212253546854989E-2</v>
      </c>
      <c r="DF70" s="181">
        <f>-DF68*DF76/4</f>
        <v>-4.8228008475917891E-2</v>
      </c>
      <c r="DG70" s="181">
        <f>-DG68*DG76/4</f>
        <v>-4.7263448306399537E-2</v>
      </c>
      <c r="DH70" s="181">
        <f>-DH68*DH76/4</f>
        <v>-4.6318179340271548E-2</v>
      </c>
      <c r="DI70" s="182">
        <f>SUM(DE70:DH70)</f>
        <v>-0.19102188966944397</v>
      </c>
      <c r="DP70" s="225"/>
    </row>
    <row r="71" spans="1:126" ht="11.25" customHeight="1">
      <c r="A71" s="265" t="s">
        <v>192</v>
      </c>
      <c r="B71" s="181"/>
      <c r="C71" s="205"/>
      <c r="D71" s="181"/>
      <c r="E71" s="205"/>
      <c r="F71" s="181"/>
      <c r="G71" s="205">
        <v>-3.9785000000000001E-2</v>
      </c>
      <c r="H71" s="181"/>
      <c r="I71" s="205">
        <v>-9.1855999999999993E-2</v>
      </c>
      <c r="J71" s="181"/>
      <c r="K71" s="205">
        <v>-0.12896199999999999</v>
      </c>
      <c r="L71" s="181"/>
      <c r="M71" s="205">
        <v>-7.8271999999999994E-2</v>
      </c>
      <c r="N71" s="181"/>
      <c r="O71" s="205">
        <v>-0.136404</v>
      </c>
      <c r="P71" s="181"/>
      <c r="Q71" s="205">
        <v>-9.6505999999999995E-2</v>
      </c>
      <c r="R71" s="181"/>
      <c r="S71" s="281">
        <v>-0.16491500000000001</v>
      </c>
      <c r="T71" s="199">
        <f>-0.180165-S71</f>
        <v>-1.5249999999999986E-2</v>
      </c>
      <c r="U71" s="199">
        <f>-0.190047-S71-T71</f>
        <v>-9.8820000000000019E-3</v>
      </c>
      <c r="V71" s="199">
        <f>-0.311469-S71-T71-U71</f>
        <v>-0.121422</v>
      </c>
      <c r="W71" s="182">
        <f>SUM(S71:V71)</f>
        <v>-0.311469</v>
      </c>
      <c r="X71" s="181"/>
      <c r="Y71" s="281">
        <v>-2.2499999999999999E-2</v>
      </c>
      <c r="Z71" s="199">
        <f>-0.0305-Y71</f>
        <v>-8.0000000000000002E-3</v>
      </c>
      <c r="AA71" s="199">
        <f>-0.045091-Y71-Z71</f>
        <v>-1.4591E-2</v>
      </c>
      <c r="AB71" s="199">
        <f>-0.055341-Y71-Z71-AA71</f>
        <v>-1.0250000000000002E-2</v>
      </c>
      <c r="AC71" s="182">
        <f>SUM(Y71:AB71)</f>
        <v>-5.5341000000000001E-2</v>
      </c>
      <c r="AD71" s="181"/>
      <c r="AE71" s="281">
        <v>-3.3750000000000002E-2</v>
      </c>
      <c r="AF71" s="199">
        <f>-0.106298-AE71</f>
        <v>-7.2548000000000001E-2</v>
      </c>
      <c r="AG71" s="199">
        <f>-0.107298-AE71-AF71</f>
        <v>-1.0000000000000009E-3</v>
      </c>
      <c r="AH71" s="199">
        <f>-0.124148-AE71-AF71-AG71</f>
        <v>-1.684999999999999E-2</v>
      </c>
      <c r="AI71" s="182">
        <f>SUM(AE71:AH71)</f>
        <v>-0.12414799999999999</v>
      </c>
      <c r="AJ71" s="181"/>
      <c r="AK71" s="281">
        <v>-2.1999999999999999E-2</v>
      </c>
      <c r="AL71" s="199">
        <f>-0.055641-AK71</f>
        <v>-3.3641000000000004E-2</v>
      </c>
      <c r="AM71" s="199">
        <f>-0.064541-AK71-AL71</f>
        <v>-8.8999999999999982E-3</v>
      </c>
      <c r="AN71" s="199">
        <f>-0.110824-AK71-AL71-AM71</f>
        <v>-4.6283000000000012E-2</v>
      </c>
      <c r="AO71" s="182">
        <f>SUM(AK71:AN71)</f>
        <v>-0.11082400000000001</v>
      </c>
      <c r="AP71" s="181"/>
      <c r="AQ71" s="288"/>
      <c r="AR71" s="181"/>
      <c r="AS71" s="181"/>
      <c r="AT71" s="181"/>
      <c r="AU71" s="141">
        <v>-0.179648</v>
      </c>
      <c r="AV71" s="181"/>
      <c r="AW71" s="288"/>
      <c r="AX71" s="199">
        <v>-9.5755000000000007E-2</v>
      </c>
      <c r="AY71" s="199">
        <f>-0.121755-AX71</f>
        <v>-2.5999999999999995E-2</v>
      </c>
      <c r="AZ71" s="181">
        <f>-0.17208-AX71-AY71</f>
        <v>-5.0325000000000009E-2</v>
      </c>
      <c r="BA71" s="107">
        <f>SUM(AW71:AZ71)</f>
        <v>-0.17208000000000001</v>
      </c>
      <c r="BB71" s="181"/>
      <c r="BC71" s="281">
        <v>-9.9864999999999995E-2</v>
      </c>
      <c r="BD71" s="199">
        <f>-0.170543-BC71</f>
        <v>-7.0678000000000005E-2</v>
      </c>
      <c r="BE71" s="199">
        <f>-0.183983-BD71-BC71</f>
        <v>-1.3440000000000007E-2</v>
      </c>
      <c r="BF71" s="756">
        <f>-0.246588-BE71-BD71-BC71</f>
        <v>-6.2605000000000008E-2</v>
      </c>
      <c r="BG71" s="182">
        <f>SUM(BC71:BF71)</f>
        <v>-0.24658800000000003</v>
      </c>
      <c r="BH71" s="181"/>
      <c r="BI71" s="764">
        <v>-4.5345000000000003E-2</v>
      </c>
      <c r="BJ71" s="199">
        <f>-0.127245-BI71</f>
        <v>-8.1900000000000001E-2</v>
      </c>
      <c r="BK71" s="199">
        <f>-0.190695-SUM(BI71:BJ71)</f>
        <v>-6.3450000000000006E-2</v>
      </c>
      <c r="BL71" s="199">
        <f>-0.216893-SUM(BI71:BK71)</f>
        <v>-2.6197999999999999E-2</v>
      </c>
      <c r="BM71" s="182">
        <f>SUM(BI71:BL71)</f>
        <v>-0.216893</v>
      </c>
      <c r="BN71" s="181"/>
      <c r="BO71" s="764">
        <v>-8.6712999999999998E-2</v>
      </c>
      <c r="BP71" s="199">
        <f>-0.17922-BO71</f>
        <v>-9.2506999999999992E-2</v>
      </c>
      <c r="BQ71" s="199">
        <f>-0.18122-SUM(BO71:BP71)</f>
        <v>-2.0000000000000018E-3</v>
      </c>
      <c r="BR71" s="199">
        <f>-0.218326-SUM(BO71:BQ71)</f>
        <v>-3.7106E-2</v>
      </c>
      <c r="BS71" s="182">
        <f>SUM(BO71:BR71)</f>
        <v>-0.21832599999999999</v>
      </c>
      <c r="BT71" s="181"/>
      <c r="BU71" s="281">
        <v>-4.7361E-2</v>
      </c>
      <c r="BV71" s="199">
        <f>-0.233522-BU71</f>
        <v>-0.18616100000000002</v>
      </c>
      <c r="BW71" s="199">
        <f>-0.324779-SUM(BU71:BV71)</f>
        <v>-9.1256999999999977E-2</v>
      </c>
      <c r="BX71" s="199">
        <f>-0.354744-SUM(BU71:BW71)</f>
        <v>-2.9965000000000019E-2</v>
      </c>
      <c r="BY71" s="182">
        <f>SUM(BU71:BX71)</f>
        <v>-0.354744</v>
      </c>
      <c r="BZ71" s="181"/>
      <c r="CA71" s="281">
        <v>-7.3709999999999998E-2</v>
      </c>
      <c r="CB71" s="1913">
        <f>-0.151854-CA71</f>
        <v>-7.8143999999999991E-2</v>
      </c>
      <c r="CC71" s="199">
        <f>-0.163037-SUM(CA71:CB71)</f>
        <v>-1.1182999999999998E-2</v>
      </c>
      <c r="CD71" s="140">
        <f>-0.186789-SUM(CA71:CC71)</f>
        <v>-2.3752000000000023E-2</v>
      </c>
      <c r="CE71" s="182">
        <f>SUM(CA71:CD71)</f>
        <v>-0.18678900000000001</v>
      </c>
      <c r="CF71" s="181"/>
      <c r="CG71" s="281">
        <v>-6.9772000000000001E-2</v>
      </c>
      <c r="CH71" s="1913">
        <f>-0.12826-CG71</f>
        <v>-5.8488000000000012E-2</v>
      </c>
      <c r="CI71" s="140">
        <f>-0.187946-SUM(CG71:CH71)</f>
        <v>-5.9685999999999989E-2</v>
      </c>
      <c r="CJ71" s="181">
        <f>-CJ68*CJ77/4</f>
        <v>-3.6567580000000009E-2</v>
      </c>
      <c r="CK71" s="182">
        <f>SUM(CG71:CJ71)</f>
        <v>-0.22451358000000002</v>
      </c>
      <c r="CL71" s="181"/>
      <c r="CM71" s="288">
        <f>-CM68*CM77/4</f>
        <v>-3.583622840000001E-2</v>
      </c>
      <c r="CN71" s="181">
        <f>-CN68*CN77/4</f>
        <v>-3.5119503832000007E-2</v>
      </c>
      <c r="CO71" s="181">
        <f>-CO68*CO77/4</f>
        <v>-3.441711375536001E-2</v>
      </c>
      <c r="CP71" s="181">
        <f>-CP68*CP77/4</f>
        <v>-3.3728771480252807E-2</v>
      </c>
      <c r="CQ71" s="182">
        <f>SUM(CM71:CP71)</f>
        <v>-0.13910161746761285</v>
      </c>
      <c r="CR71" s="181"/>
      <c r="CS71" s="288">
        <f>-CS68*CS77/4</f>
        <v>-3.3054196050647751E-2</v>
      </c>
      <c r="CT71" s="181">
        <f>-CT68*CT77/4</f>
        <v>-3.2393112129634798E-2</v>
      </c>
      <c r="CU71" s="181">
        <f>-CU68*CU77/4</f>
        <v>-3.1745249887042103E-2</v>
      </c>
      <c r="CV71" s="181">
        <f>-CV68*CV77/4</f>
        <v>-3.1110344889301259E-2</v>
      </c>
      <c r="CW71" s="182">
        <f>SUM(CS71:CV71)</f>
        <v>-0.12830290295662591</v>
      </c>
      <c r="CX71" s="181"/>
      <c r="CY71" s="288">
        <f>-CY68*CY77/4</f>
        <v>-3.048813799151523E-2</v>
      </c>
      <c r="CZ71" s="181">
        <f>-CZ68*CZ77/4</f>
        <v>-2.9878375231684923E-2</v>
      </c>
      <c r="DA71" s="181">
        <f>-DA68*DA77/4</f>
        <v>-2.9280807727051227E-2</v>
      </c>
      <c r="DB71" s="181">
        <f>-DB68*DB77/4</f>
        <v>-2.8695191572510201E-2</v>
      </c>
      <c r="DC71" s="182">
        <f>SUM(CY71:DB71)</f>
        <v>-0.11834251252276158</v>
      </c>
      <c r="DD71" s="181"/>
      <c r="DE71" s="288">
        <f>-DE68*DE77/4</f>
        <v>-2.8121287741059993E-2</v>
      </c>
      <c r="DF71" s="181">
        <f>-DF68*DF77/4</f>
        <v>-2.7558861986238796E-2</v>
      </c>
      <c r="DG71" s="181">
        <f>-DG68*DG77/4</f>
        <v>-2.7007684746514018E-2</v>
      </c>
      <c r="DH71" s="181">
        <f>-DH68*DH77/4</f>
        <v>-2.646753105158374E-2</v>
      </c>
      <c r="DI71" s="182">
        <f>SUM(DE71:DH71)</f>
        <v>-0.10915536552539655</v>
      </c>
      <c r="DP71" s="225"/>
    </row>
    <row r="72" spans="1:126" ht="11.25" customHeight="1">
      <c r="A72" s="77" t="s">
        <v>193</v>
      </c>
      <c r="B72" s="266"/>
      <c r="C72" s="267"/>
      <c r="D72" s="266"/>
      <c r="E72" s="267"/>
      <c r="F72" s="266"/>
      <c r="G72" s="268">
        <f>SUM(G68:G71)</f>
        <v>0.83160000000000001</v>
      </c>
      <c r="H72" s="266"/>
      <c r="I72" s="268">
        <f>SUM(I68:I71)</f>
        <v>2.1436790000000001</v>
      </c>
      <c r="J72" s="266"/>
      <c r="K72" s="268">
        <f>SUM(K68:K71)</f>
        <v>2.6746220000000003</v>
      </c>
      <c r="L72" s="266"/>
      <c r="M72" s="268">
        <f>SUM(M68:M71)</f>
        <v>3.095002</v>
      </c>
      <c r="N72" s="266"/>
      <c r="O72" s="268">
        <f>SUM(O68:O71)</f>
        <v>3.779245</v>
      </c>
      <c r="P72" s="266"/>
      <c r="Q72" s="268">
        <f>SUM(Q68:Q71)</f>
        <v>3.5768679999999997</v>
      </c>
      <c r="R72" s="266"/>
      <c r="S72" s="492">
        <f>SUM(S68:S71)</f>
        <v>3.7144749999999997</v>
      </c>
      <c r="T72" s="266">
        <f>SUM(T68:T71)</f>
        <v>3.71685</v>
      </c>
      <c r="U72" s="266">
        <f>SUM(U68:U71)</f>
        <v>4.0047170000000003</v>
      </c>
      <c r="V72" s="266">
        <f>SUM(V68:V71)</f>
        <v>3.6714250000000006</v>
      </c>
      <c r="W72" s="268">
        <f>SUM(W68:W71)</f>
        <v>3.6714250000000002</v>
      </c>
      <c r="X72" s="266"/>
      <c r="Y72" s="492">
        <f>SUM(Y68:Y71)</f>
        <v>3.7209480000000004</v>
      </c>
      <c r="Z72" s="266">
        <f>SUM(Z68:Z71)</f>
        <v>3.658293</v>
      </c>
      <c r="AA72" s="266">
        <f>SUM(AA68:AA71)</f>
        <v>4.5508849999999992</v>
      </c>
      <c r="AB72" s="266">
        <f>SUM(AB68:AB71)</f>
        <v>4.4237119999999992</v>
      </c>
      <c r="AC72" s="268">
        <f>SUM(AC68:AC71)</f>
        <v>4.4237119999999992</v>
      </c>
      <c r="AD72" s="266"/>
      <c r="AE72" s="492">
        <f>SUM(AE68:AE71)</f>
        <v>4.4729619999999981</v>
      </c>
      <c r="AF72" s="266">
        <f>SUM(AF68:AF71)</f>
        <v>5.6668179999999975</v>
      </c>
      <c r="AG72" s="266">
        <f>SUM(AG68:AG71)</f>
        <v>5.2851229999999969</v>
      </c>
      <c r="AH72" s="266">
        <f>SUM(AH68:AH71)</f>
        <v>5.2685229999999965</v>
      </c>
      <c r="AI72" s="268">
        <f>SUM(AI68:AI71)</f>
        <v>5.2685229999999992</v>
      </c>
      <c r="AJ72" s="266"/>
      <c r="AK72" s="492">
        <f>SUM(AK68:AK71)</f>
        <v>5.2913929999999993</v>
      </c>
      <c r="AL72" s="266">
        <f>SUM(AL68:AL71)</f>
        <v>5.2385469999999987</v>
      </c>
      <c r="AM72" s="266">
        <f>SUM(AM68:AM71)</f>
        <v>5.143991999999999</v>
      </c>
      <c r="AN72" s="266">
        <f>SUM(AN68:AN71)</f>
        <v>5.0600429999999985</v>
      </c>
      <c r="AO72" s="268">
        <f>SUM(AO68:AO71)</f>
        <v>5.0600429999999994</v>
      </c>
      <c r="AP72" s="266"/>
      <c r="AQ72" s="698" t="s">
        <v>26</v>
      </c>
      <c r="AR72" s="699" t="s">
        <v>26</v>
      </c>
      <c r="AS72" s="699" t="s">
        <v>26</v>
      </c>
      <c r="AT72" s="699" t="s">
        <v>26</v>
      </c>
      <c r="AU72" s="268">
        <f>SUM(AU68:AU71)</f>
        <v>4.7186479999999991</v>
      </c>
      <c r="AV72" s="266"/>
      <c r="AW72" s="698" t="s">
        <v>26</v>
      </c>
      <c r="AX72" s="266">
        <f>SUM(AX68:AX71)</f>
        <v>4.478807999999999</v>
      </c>
      <c r="AY72" s="266">
        <f>SUM(AY68:AY71)</f>
        <v>5.1460919999999994</v>
      </c>
      <c r="AZ72" s="266">
        <f>SUM(AZ68:AZ71)</f>
        <v>5.096252999999999</v>
      </c>
      <c r="BA72" s="268">
        <f>SUM(BA68:BA71)</f>
        <v>5.096252999999999</v>
      </c>
      <c r="BB72" s="266"/>
      <c r="BC72" s="492">
        <f>SUM(BC68:BC71)</f>
        <v>4.8888969999999992</v>
      </c>
      <c r="BD72" s="266">
        <f>SUM(BD68:BD71)</f>
        <v>4.6877839999999988</v>
      </c>
      <c r="BE72" s="266">
        <f>SUM(BE68:BE71)</f>
        <v>4.9589619999999988</v>
      </c>
      <c r="BF72" s="266">
        <f>SUM(BF68:BF71)</f>
        <v>4.8881369999999995</v>
      </c>
      <c r="BG72" s="267">
        <f>SUM(BG68:BG71)</f>
        <v>4.8881369999999995</v>
      </c>
      <c r="BH72" s="266"/>
      <c r="BI72" s="492">
        <f>SUM(BI68:BI71)</f>
        <v>4.6316559999999987</v>
      </c>
      <c r="BJ72" s="266">
        <f>SUM(BJ68:BJ71)</f>
        <v>4.6495679999999986</v>
      </c>
      <c r="BK72" s="266">
        <f>SUM(BK68:BK71)</f>
        <v>4.9225489999999983</v>
      </c>
      <c r="BL72" s="266">
        <f>SUM(BL68:BL71)</f>
        <v>4.8775639999999987</v>
      </c>
      <c r="BM72" s="267">
        <f>SUM(BM68:BM71)</f>
        <v>4.8775640000000005</v>
      </c>
      <c r="BN72" s="266"/>
      <c r="BO72" s="492">
        <f>SUM(BO68:BO71)</f>
        <v>4.5989110000000002</v>
      </c>
      <c r="BP72" s="266">
        <f>SUM(BP68:BP71)</f>
        <v>4.3438379999999999</v>
      </c>
      <c r="BQ72" s="266">
        <f>SUM(BQ68:BQ71)</f>
        <v>4.8797390000000007</v>
      </c>
      <c r="BR72" s="266">
        <f>SUM(BR68:BR71)</f>
        <v>4.810588000000001</v>
      </c>
      <c r="BS72" s="267">
        <f>SUM(BS68:BS71)</f>
        <v>4.8105880000000001</v>
      </c>
      <c r="BT72" s="266"/>
      <c r="BU72" s="492">
        <f>SUM(BU68:BU71)</f>
        <v>4.5582659999999997</v>
      </c>
      <c r="BV72" s="266">
        <f>SUM(BV68:BV71)</f>
        <v>4.1461929999999994</v>
      </c>
      <c r="BW72" s="266">
        <f>SUM(BW68:BW71)</f>
        <v>4.9525759999999996</v>
      </c>
      <c r="BX72" s="266">
        <f>SUM(BX68:BX71)</f>
        <v>4.6372789999999995</v>
      </c>
      <c r="BY72" s="267">
        <f>SUM(BY68:BY71)</f>
        <v>4.6372790000000004</v>
      </c>
      <c r="BZ72" s="266"/>
      <c r="CA72" s="492">
        <f>SUM(CA68:CA71)</f>
        <v>4.2027169999999998</v>
      </c>
      <c r="CB72" s="266">
        <f>SUM(CB68:CB71)</f>
        <v>4.0059459999999998</v>
      </c>
      <c r="CC72" s="266">
        <f>SUM(CC68:CC71)</f>
        <v>3.9288739999999995</v>
      </c>
      <c r="CD72" s="266">
        <f>SUM(CD68:CD71)</f>
        <v>4.6256779999999997</v>
      </c>
      <c r="CE72" s="267">
        <f>SUM(CE68:CE71)</f>
        <v>4.6256780000000006</v>
      </c>
      <c r="CF72" s="266"/>
      <c r="CG72" s="492">
        <f>SUM(CG68:CG71)</f>
        <v>4.4825070000000009</v>
      </c>
      <c r="CH72" s="266">
        <f>SUM(CH68:CH71)</f>
        <v>3.9206560000000006</v>
      </c>
      <c r="CI72" s="2304">
        <f>SUM(CI68:CI71)</f>
        <v>3.6567580000000008</v>
      </c>
      <c r="CJ72" s="266">
        <f>SUM(CJ68:CJ71)</f>
        <v>3.5836228400000008</v>
      </c>
      <c r="CK72" s="267">
        <f>SUM(CK68:CK71)</f>
        <v>3.5836228400000008</v>
      </c>
      <c r="CL72" s="266"/>
      <c r="CM72" s="492">
        <f>SUM(CM68:CM71)</f>
        <v>3.5119503832000007</v>
      </c>
      <c r="CN72" s="266">
        <f>SUM(CN68:CN71)</f>
        <v>3.4417113755360007</v>
      </c>
      <c r="CO72" s="266">
        <f>SUM(CO68:CO71)</f>
        <v>3.3728771480252808</v>
      </c>
      <c r="CP72" s="266">
        <f>SUM(CP68:CP71)</f>
        <v>3.3054196050647748</v>
      </c>
      <c r="CQ72" s="267">
        <f>SUM(CQ68:CQ71)</f>
        <v>3.3054196050647748</v>
      </c>
      <c r="CR72" s="266"/>
      <c r="CS72" s="492">
        <f>SUM(CS68:CS71)</f>
        <v>3.2393112129634796</v>
      </c>
      <c r="CT72" s="266">
        <f>SUM(CT68:CT71)</f>
        <v>3.17452498870421</v>
      </c>
      <c r="CU72" s="266">
        <f>SUM(CU68:CU71)</f>
        <v>3.1110344889301258</v>
      </c>
      <c r="CV72" s="266">
        <f>SUM(CV68:CV71)</f>
        <v>3.0488137991515232</v>
      </c>
      <c r="CW72" s="267">
        <f>SUM(CW68:CW71)</f>
        <v>3.0488137991515227</v>
      </c>
      <c r="CX72" s="266"/>
      <c r="CY72" s="492">
        <f>SUM(CY68:CY71)</f>
        <v>2.9878375231684924</v>
      </c>
      <c r="CZ72" s="266">
        <f>SUM(CZ68:CZ71)</f>
        <v>2.9280807727051226</v>
      </c>
      <c r="DA72" s="266">
        <f>SUM(DA68:DA71)</f>
        <v>2.8695191572510201</v>
      </c>
      <c r="DB72" s="266">
        <f>SUM(DB68:DB71)</f>
        <v>2.8121287741059997</v>
      </c>
      <c r="DC72" s="267">
        <f>SUM(DC68:DC71)</f>
        <v>2.8121287741059993</v>
      </c>
      <c r="DD72" s="266"/>
      <c r="DE72" s="492">
        <f>SUM(DE68:DE71)</f>
        <v>2.7558861986238794</v>
      </c>
      <c r="DF72" s="266">
        <f>SUM(DF68:DF71)</f>
        <v>2.7007684746514018</v>
      </c>
      <c r="DG72" s="266">
        <f>SUM(DG68:DG71)</f>
        <v>2.6467531051583739</v>
      </c>
      <c r="DH72" s="266">
        <f>SUM(DH68:DH71)</f>
        <v>2.5938180430552067</v>
      </c>
      <c r="DI72" s="267">
        <f>SUM(DI68:DI71)</f>
        <v>2.5938180430552062</v>
      </c>
      <c r="DP72" s="225"/>
    </row>
    <row r="73" spans="1:126" ht="11.25" customHeight="1">
      <c r="A73" s="263" t="s">
        <v>194</v>
      </c>
      <c r="B73" s="190"/>
      <c r="C73" s="269"/>
      <c r="D73" s="190"/>
      <c r="E73" s="269"/>
      <c r="F73" s="190"/>
      <c r="G73" s="499">
        <v>5.27</v>
      </c>
      <c r="H73" s="190"/>
      <c r="I73" s="499">
        <v>5.27</v>
      </c>
      <c r="J73" s="190"/>
      <c r="K73" s="499">
        <v>5.27</v>
      </c>
      <c r="L73" s="190"/>
      <c r="M73" s="499">
        <v>2.91</v>
      </c>
      <c r="N73" s="190"/>
      <c r="O73" s="499">
        <v>3.82</v>
      </c>
      <c r="P73" s="190"/>
      <c r="Q73" s="499">
        <v>3.04</v>
      </c>
      <c r="R73" s="190"/>
      <c r="S73" s="497">
        <v>2.79</v>
      </c>
      <c r="T73" s="498">
        <v>3.3</v>
      </c>
      <c r="U73" s="498">
        <v>4.05</v>
      </c>
      <c r="V73" s="498">
        <f>4.57*4-S73-T73-U73</f>
        <v>8.14</v>
      </c>
      <c r="W73" s="664">
        <f>AVERAGE(S73:V73)</f>
        <v>4.57</v>
      </c>
      <c r="X73" s="190"/>
      <c r="Y73" s="497">
        <v>5.42</v>
      </c>
      <c r="Z73" s="498">
        <v>5.0999999999999996</v>
      </c>
      <c r="AA73" s="498">
        <v>5.12</v>
      </c>
      <c r="AB73" s="498">
        <f>5.1*4-Y73-Z73-AA73</f>
        <v>4.7599999999999989</v>
      </c>
      <c r="AC73" s="664">
        <f>AVERAGE(Y73:AB73)</f>
        <v>5.0999999999999996</v>
      </c>
      <c r="AD73" s="190"/>
      <c r="AE73" s="497">
        <v>7.95</v>
      </c>
      <c r="AF73" s="498">
        <v>5.22</v>
      </c>
      <c r="AG73" s="498">
        <v>5.63</v>
      </c>
      <c r="AH73" s="498">
        <f>5.62*4-AE73-AF73-AG73</f>
        <v>3.6800000000000024</v>
      </c>
      <c r="AI73" s="664">
        <f>AVERAGE(AE73:AH73)</f>
        <v>5.620000000000001</v>
      </c>
      <c r="AJ73" s="190"/>
      <c r="AK73" s="497">
        <v>3.32</v>
      </c>
      <c r="AL73" s="498">
        <v>4.7699999999999996</v>
      </c>
      <c r="AM73" s="498">
        <v>5.0199999999999996</v>
      </c>
      <c r="AN73" s="498">
        <f>4.98*4-AK73-AL73-AM73</f>
        <v>6.8100000000000023</v>
      </c>
      <c r="AO73" s="664">
        <f>AVERAGE(AK73:AN73)</f>
        <v>4.9800000000000004</v>
      </c>
      <c r="AP73" s="190"/>
      <c r="AQ73" s="336"/>
      <c r="AR73" s="190"/>
      <c r="AS73" s="190"/>
      <c r="AT73" s="190"/>
      <c r="AU73" s="499">
        <v>7.02</v>
      </c>
      <c r="AV73" s="190"/>
      <c r="AW73" s="336"/>
      <c r="AX73" s="498">
        <v>9.56</v>
      </c>
      <c r="AY73" s="498">
        <v>9.2799999999999994</v>
      </c>
      <c r="AZ73" s="500">
        <f>BA73*3-AX73-AY73</f>
        <v>9.0299999999999958</v>
      </c>
      <c r="BA73" s="499">
        <v>9.2899999999999991</v>
      </c>
      <c r="BB73" s="190"/>
      <c r="BC73" s="497">
        <v>8.1999999999999993</v>
      </c>
      <c r="BD73" s="498">
        <v>8.6999999999999993</v>
      </c>
      <c r="BE73" s="498">
        <v>8.5399999999999991</v>
      </c>
      <c r="BF73" s="763">
        <v>7.76</v>
      </c>
      <c r="BG73" s="251">
        <f>+AVERAGE(BC73:BF73)</f>
        <v>8.2999999999999989</v>
      </c>
      <c r="BH73" s="590"/>
      <c r="BI73" s="765">
        <v>9.39</v>
      </c>
      <c r="BJ73" s="498">
        <v>9.15</v>
      </c>
      <c r="BK73" s="498">
        <v>9.56</v>
      </c>
      <c r="BL73" s="590">
        <v>9.66</v>
      </c>
      <c r="BM73" s="251">
        <f>AVERAGE(BI73:BL73)</f>
        <v>9.4400000000000013</v>
      </c>
      <c r="BN73" s="590"/>
      <c r="BO73" s="1432">
        <v>10.28</v>
      </c>
      <c r="BP73" s="498">
        <v>10.16</v>
      </c>
      <c r="BQ73" s="498">
        <v>9.4700000000000006</v>
      </c>
      <c r="BR73" s="498">
        <v>9.6199999999999992</v>
      </c>
      <c r="BS73" s="251">
        <f>AVERAGE(BO73:BR73)</f>
        <v>9.8824999999999985</v>
      </c>
      <c r="BT73" s="590"/>
      <c r="BU73" s="497">
        <v>11.18</v>
      </c>
      <c r="BV73" s="498">
        <v>11.41</v>
      </c>
      <c r="BW73" s="498">
        <v>11.68</v>
      </c>
      <c r="BX73" s="498">
        <v>9.6199999999999992</v>
      </c>
      <c r="BY73" s="251">
        <f>AVERAGE(BU73:BX73)</f>
        <v>10.972499999999998</v>
      </c>
      <c r="BZ73" s="590"/>
      <c r="CA73" s="497">
        <v>13.33</v>
      </c>
      <c r="CB73" s="1923">
        <v>13.32</v>
      </c>
      <c r="CC73" s="498">
        <v>13.36</v>
      </c>
      <c r="CD73" s="590">
        <v>13.43</v>
      </c>
      <c r="CE73" s="251">
        <f>AVERAGE(CA73:CD73)</f>
        <v>13.36</v>
      </c>
      <c r="CF73" s="590"/>
      <c r="CG73" s="497">
        <v>14.41</v>
      </c>
      <c r="CH73" s="1923">
        <v>15.48</v>
      </c>
      <c r="CI73" s="1923">
        <v>16.149999999999999</v>
      </c>
      <c r="CJ73" s="589">
        <f>CI73</f>
        <v>16.149999999999999</v>
      </c>
      <c r="CK73" s="251">
        <f>AVERAGE(CG73:CJ73)</f>
        <v>15.547499999999999</v>
      </c>
      <c r="CL73" s="590"/>
      <c r="CM73" s="591">
        <f>CJ73</f>
        <v>16.149999999999999</v>
      </c>
      <c r="CN73" s="589">
        <f>CM73</f>
        <v>16.149999999999999</v>
      </c>
      <c r="CO73" s="589">
        <f>CN73</f>
        <v>16.149999999999999</v>
      </c>
      <c r="CP73" s="589">
        <f>CO73</f>
        <v>16.149999999999999</v>
      </c>
      <c r="CQ73" s="251">
        <f>AVERAGE(CM73:CP73)</f>
        <v>16.149999999999999</v>
      </c>
      <c r="CR73" s="590"/>
      <c r="CS73" s="591">
        <f>CP73</f>
        <v>16.149999999999999</v>
      </c>
      <c r="CT73" s="589">
        <f>CS73</f>
        <v>16.149999999999999</v>
      </c>
      <c r="CU73" s="589">
        <f>CT73</f>
        <v>16.149999999999999</v>
      </c>
      <c r="CV73" s="589">
        <f>CU73</f>
        <v>16.149999999999999</v>
      </c>
      <c r="CW73" s="251">
        <f>AVERAGE(CS73:CV73)</f>
        <v>16.149999999999999</v>
      </c>
      <c r="CX73" s="590"/>
      <c r="CY73" s="591">
        <f>CV73</f>
        <v>16.149999999999999</v>
      </c>
      <c r="CZ73" s="589">
        <f>CY73</f>
        <v>16.149999999999999</v>
      </c>
      <c r="DA73" s="589">
        <f>CZ73</f>
        <v>16.149999999999999</v>
      </c>
      <c r="DB73" s="589">
        <f>DA73</f>
        <v>16.149999999999999</v>
      </c>
      <c r="DC73" s="251">
        <f>AVERAGE(CY73:DB73)</f>
        <v>16.149999999999999</v>
      </c>
      <c r="DD73" s="590"/>
      <c r="DE73" s="591">
        <f>DB73</f>
        <v>16.149999999999999</v>
      </c>
      <c r="DF73" s="589">
        <f>DE73</f>
        <v>16.149999999999999</v>
      </c>
      <c r="DG73" s="589">
        <f>DF73</f>
        <v>16.149999999999999</v>
      </c>
      <c r="DH73" s="589">
        <f>DG73</f>
        <v>16.149999999999999</v>
      </c>
      <c r="DI73" s="251">
        <f>AVERAGE(DE73:DH73)</f>
        <v>16.149999999999999</v>
      </c>
      <c r="DP73" s="70"/>
    </row>
    <row r="74" spans="1:126" ht="11.25" customHeight="1">
      <c r="A74" s="270" t="s">
        <v>195</v>
      </c>
      <c r="B74" s="184"/>
      <c r="C74" s="185"/>
      <c r="D74" s="184"/>
      <c r="E74" s="185"/>
      <c r="F74" s="184"/>
      <c r="G74" s="185"/>
      <c r="H74" s="184"/>
      <c r="I74" s="185">
        <f>I73/G73-1</f>
        <v>0</v>
      </c>
      <c r="J74" s="184"/>
      <c r="K74" s="185">
        <f>K73/I73-1</f>
        <v>0</v>
      </c>
      <c r="L74" s="184"/>
      <c r="M74" s="185">
        <f>M73/K73-1</f>
        <v>-0.44781783681214415</v>
      </c>
      <c r="N74" s="184"/>
      <c r="O74" s="185">
        <f>O73/M73-1</f>
        <v>0.31271477663230218</v>
      </c>
      <c r="P74" s="184"/>
      <c r="Q74" s="185">
        <f>Q73/O73-1</f>
        <v>-0.20418848167539261</v>
      </c>
      <c r="R74" s="184"/>
      <c r="S74" s="334"/>
      <c r="T74" s="184"/>
      <c r="U74" s="184"/>
      <c r="V74" s="184"/>
      <c r="W74" s="185">
        <f>W73/Q73-1</f>
        <v>0.50328947368421062</v>
      </c>
      <c r="X74" s="184"/>
      <c r="Y74" s="334">
        <f>Y73/S73-1</f>
        <v>0.94265232974910385</v>
      </c>
      <c r="Z74" s="184">
        <f>Z73/T73-1</f>
        <v>0.54545454545454541</v>
      </c>
      <c r="AA74" s="184">
        <f>AA73/U73-1</f>
        <v>0.26419753086419751</v>
      </c>
      <c r="AB74" s="184">
        <f>AB73/V73-1</f>
        <v>-0.41523341523341539</v>
      </c>
      <c r="AC74" s="185">
        <f>AC73/W73-1</f>
        <v>0.11597374179431053</v>
      </c>
      <c r="AD74" s="184"/>
      <c r="AE74" s="334">
        <f>AE73/Y73-1</f>
        <v>0.46678966789667897</v>
      </c>
      <c r="AF74" s="184">
        <f>AF73/Z73-1</f>
        <v>2.3529411764705799E-2</v>
      </c>
      <c r="AG74" s="184">
        <f>AG73/AA73-1</f>
        <v>9.9609375E-2</v>
      </c>
      <c r="AH74" s="184">
        <f>AH73/AB73-1</f>
        <v>-0.22689075630252031</v>
      </c>
      <c r="AI74" s="185">
        <f>AI73/AC73-1</f>
        <v>0.10196078431372579</v>
      </c>
      <c r="AJ74" s="184"/>
      <c r="AK74" s="334">
        <f>AK73/AE73-1</f>
        <v>-0.58238993710691833</v>
      </c>
      <c r="AL74" s="184">
        <f>AL73/AF73-1</f>
        <v>-8.6206896551724199E-2</v>
      </c>
      <c r="AM74" s="184">
        <f>AM73/AG73-1</f>
        <v>-0.10834813499111906</v>
      </c>
      <c r="AN74" s="184">
        <f>AN73/AH73-1</f>
        <v>0.85054347826086896</v>
      </c>
      <c r="AO74" s="185">
        <f>AO73/AI73-1</f>
        <v>-0.11387900355871894</v>
      </c>
      <c r="AP74" s="184"/>
      <c r="AQ74" s="334"/>
      <c r="AR74" s="184"/>
      <c r="AS74" s="184"/>
      <c r="AT74" s="184"/>
      <c r="AU74" s="185">
        <f>AU73/AO73-1</f>
        <v>0.40963855421686723</v>
      </c>
      <c r="AV74" s="184"/>
      <c r="AW74" s="334"/>
      <c r="AX74" s="184"/>
      <c r="AY74" s="184"/>
      <c r="AZ74" s="184"/>
      <c r="BA74" s="185">
        <f>BA73/AU73-1</f>
        <v>0.3233618233618234</v>
      </c>
      <c r="BB74" s="184"/>
      <c r="BC74" s="334" t="str">
        <f>IF(ISERROR(BC73/AW73-1),"NM",(BC73/AW73-1))</f>
        <v>NM</v>
      </c>
      <c r="BD74" s="184">
        <f>IF(ISERROR(BD73/AX73-1),"NM",(BD73/AX73-1))</f>
        <v>-8.9958158995816051E-2</v>
      </c>
      <c r="BE74" s="184">
        <f>IF(ISERROR(BE73/AY73-1),"NM",(BE73/AY73-1))</f>
        <v>-7.9741379310344862E-2</v>
      </c>
      <c r="BF74" s="184">
        <f>IF(ISERROR(BF73/AZ73-1),"NM",(BF73/AZ73-1))</f>
        <v>-0.14064230343300077</v>
      </c>
      <c r="BG74" s="133">
        <f>IF(ISERROR(BG73/BA73-1),"NM",(BG73/BA73-1))</f>
        <v>-0.10656620021528529</v>
      </c>
      <c r="BH74" s="184"/>
      <c r="BI74" s="334">
        <f>IF(ISERROR(BI73/BC73-1),"NM",(BI73/BC73-1))</f>
        <v>0.14512195121951232</v>
      </c>
      <c r="BJ74" s="184">
        <f>IF(ISERROR(BJ73/BD73-1),"NM",(BJ73/BD73-1))</f>
        <v>5.1724137931034697E-2</v>
      </c>
      <c r="BK74" s="184">
        <f>IF(ISERROR(BK73/BE73-1),"NM",(BK73/BE73-1))</f>
        <v>0.11943793911007039</v>
      </c>
      <c r="BL74" s="184">
        <f>BL73/BF73-1</f>
        <v>0.24484536082474229</v>
      </c>
      <c r="BM74" s="133">
        <f>BM73/BG73-1</f>
        <v>0.13734939759036169</v>
      </c>
      <c r="BN74" s="184"/>
      <c r="BO74" s="334">
        <f>IF(ISERROR(BO73/BI73-1),"NM",(BO73/BI73-1))</f>
        <v>9.4781682641107423E-2</v>
      </c>
      <c r="BP74" s="184">
        <f>IF(ISERROR(BP73/BJ73-1),"NM",(BP73/BJ73-1))</f>
        <v>0.11038251366120222</v>
      </c>
      <c r="BQ74" s="184">
        <f>IF(ISERROR(BQ73/BK73-1),"NM",(BQ73/BK73-1))</f>
        <v>-9.4142259414226048E-3</v>
      </c>
      <c r="BR74" s="184">
        <f>IF(ISERROR(BR73/BL73-1),"NM",(BR73/BL73-1))</f>
        <v>-4.1407867494824835E-3</v>
      </c>
      <c r="BS74" s="133">
        <f>BS73/BM73-1</f>
        <v>4.6874999999999778E-2</v>
      </c>
      <c r="BT74" s="184"/>
      <c r="BU74" s="334">
        <f>IF(ISERROR(BU73/BO73-1),"NM",(BU73/BO73-1))</f>
        <v>8.7548638132295853E-2</v>
      </c>
      <c r="BV74" s="184">
        <f>IF(ISERROR(BV73/BP73-1),"NM",(BV73/BP73-1))</f>
        <v>0.12303149606299213</v>
      </c>
      <c r="BW74" s="184">
        <f>IF(ISERROR(BW73/BQ73-1),"NM",(BW73/BQ73-1))</f>
        <v>0.23336853220696918</v>
      </c>
      <c r="BX74" s="184">
        <f>IF(ISERROR(BX73/BR73-1),"NM",(BX73/BR73-1))</f>
        <v>0</v>
      </c>
      <c r="BY74" s="133">
        <f>BY73/BS73-1</f>
        <v>0.11029597773842648</v>
      </c>
      <c r="BZ74" s="184"/>
      <c r="CA74" s="334">
        <f>IF(ISERROR(CA73/BU73-1),"NM",(CA73/BU73-1))</f>
        <v>0.19230769230769229</v>
      </c>
      <c r="CB74" s="184">
        <f>CB73/BV73-1</f>
        <v>0.16739702015775637</v>
      </c>
      <c r="CC74" s="184">
        <f>CC73/BW73-1</f>
        <v>0.14383561643835607</v>
      </c>
      <c r="CD74" s="184">
        <f>IF(ISERROR(CD73/BX73-1),"NM",(CD73/BX73-1))</f>
        <v>0.39604989604989616</v>
      </c>
      <c r="CE74" s="133">
        <f>CE73/BY73-1</f>
        <v>0.217589428115744</v>
      </c>
      <c r="CF74" s="184"/>
      <c r="CG74" s="334">
        <f>IF(ISERROR(CG73/CA73-1),"NM",(CG73/CA73-1))</f>
        <v>8.1020255063765978E-2</v>
      </c>
      <c r="CH74" s="184">
        <f>CH73/CB73-1</f>
        <v>0.16216216216216206</v>
      </c>
      <c r="CI74" s="184">
        <f>CI73/CC73-1</f>
        <v>0.20883233532934131</v>
      </c>
      <c r="CJ74" s="184">
        <f>CJ73/CD73-1</f>
        <v>0.20253164556962022</v>
      </c>
      <c r="CK74" s="133">
        <f>CK73/CE73-1</f>
        <v>0.16373502994011968</v>
      </c>
      <c r="CL74" s="184"/>
      <c r="CM74" s="334">
        <f>IF(ISERROR(CM73/CG73-1),"NM",(CM73/CG73-1))</f>
        <v>0.12074947952810544</v>
      </c>
      <c r="CN74" s="184">
        <f>CN73/CH73-1</f>
        <v>4.3281653746769955E-2</v>
      </c>
      <c r="CO74" s="184">
        <f>CO73/CI73-1</f>
        <v>0</v>
      </c>
      <c r="CP74" s="184">
        <f>CP73/CJ73-1</f>
        <v>0</v>
      </c>
      <c r="CQ74" s="133">
        <f>CQ73/CK73-1</f>
        <v>3.8752210966393363E-2</v>
      </c>
      <c r="CR74" s="184"/>
      <c r="CS74" s="334">
        <f>IF(ISERROR(CS73/CM73-1),"NM",(CS73/CM73-1))</f>
        <v>0</v>
      </c>
      <c r="CT74" s="184">
        <f>CT73/CN73-1</f>
        <v>0</v>
      </c>
      <c r="CU74" s="184">
        <f>CU73/CO73-1</f>
        <v>0</v>
      </c>
      <c r="CV74" s="184">
        <f>CV73/CP73-1</f>
        <v>0</v>
      </c>
      <c r="CW74" s="133">
        <f>CW73/CQ73-1</f>
        <v>0</v>
      </c>
      <c r="CX74" s="184"/>
      <c r="CY74" s="334">
        <f>IF(ISERROR(CY73/CS73-1),"NM",(CY73/CS73-1))</f>
        <v>0</v>
      </c>
      <c r="CZ74" s="184">
        <f>CZ73/CT73-1</f>
        <v>0</v>
      </c>
      <c r="DA74" s="184">
        <f>DA73/CU73-1</f>
        <v>0</v>
      </c>
      <c r="DB74" s="184">
        <f>DB73/CV73-1</f>
        <v>0</v>
      </c>
      <c r="DC74" s="133">
        <f>DC73/CW73-1</f>
        <v>0</v>
      </c>
      <c r="DD74" s="184"/>
      <c r="DE74" s="334">
        <f>IF(ISERROR(DE73/CY73-1),"NM",(DE73/CY73-1))</f>
        <v>0</v>
      </c>
      <c r="DF74" s="184">
        <f>DF73/CZ73-1</f>
        <v>0</v>
      </c>
      <c r="DG74" s="184">
        <f>DG73/DA73-1</f>
        <v>0</v>
      </c>
      <c r="DH74" s="184">
        <f>DH73/DB73-1</f>
        <v>0</v>
      </c>
      <c r="DI74" s="133">
        <f>DI73/DC73-1</f>
        <v>0</v>
      </c>
      <c r="DP74" s="255"/>
    </row>
    <row r="75" spans="1:126" ht="11.25" hidden="1" customHeight="1" outlineLevel="1">
      <c r="A75" s="263"/>
      <c r="B75" s="190"/>
      <c r="C75" s="191"/>
      <c r="D75" s="190"/>
      <c r="E75" s="191"/>
      <c r="F75" s="190"/>
      <c r="G75" s="191"/>
      <c r="H75" s="190"/>
      <c r="I75" s="191"/>
      <c r="J75" s="190"/>
      <c r="K75" s="191"/>
      <c r="L75" s="190"/>
      <c r="M75" s="191"/>
      <c r="N75" s="190"/>
      <c r="O75" s="191"/>
      <c r="P75" s="190"/>
      <c r="Q75" s="191"/>
      <c r="R75" s="190"/>
      <c r="S75" s="336"/>
      <c r="T75" s="190"/>
      <c r="U75" s="190"/>
      <c r="V75" s="190"/>
      <c r="W75" s="191"/>
      <c r="X75" s="190"/>
      <c r="Y75" s="336"/>
      <c r="Z75" s="190"/>
      <c r="AA75" s="190"/>
      <c r="AB75" s="190"/>
      <c r="AC75" s="191"/>
      <c r="AD75" s="190"/>
      <c r="AE75" s="336"/>
      <c r="AF75" s="190"/>
      <c r="AG75" s="190"/>
      <c r="AH75" s="190"/>
      <c r="AI75" s="191"/>
      <c r="AJ75" s="190"/>
      <c r="AK75" s="336"/>
      <c r="AL75" s="190"/>
      <c r="AM75" s="190"/>
      <c r="AN75" s="190"/>
      <c r="AO75" s="191"/>
      <c r="AP75" s="190"/>
      <c r="AQ75" s="336"/>
      <c r="AR75" s="190"/>
      <c r="AS75" s="190"/>
      <c r="AT75" s="190"/>
      <c r="AU75" s="125"/>
      <c r="AV75" s="190"/>
      <c r="AW75" s="336"/>
      <c r="AX75" s="190"/>
      <c r="AY75" s="190"/>
      <c r="AZ75" s="190"/>
      <c r="BA75" s="191"/>
      <c r="BB75" s="190"/>
      <c r="BC75" s="336"/>
      <c r="BD75" s="190"/>
      <c r="BE75" s="190"/>
      <c r="BF75" s="190"/>
      <c r="BG75" s="191"/>
      <c r="BH75" s="190"/>
      <c r="BI75" s="336"/>
      <c r="BJ75" s="190"/>
      <c r="BK75" s="190"/>
      <c r="BL75" s="190"/>
      <c r="BM75" s="191"/>
      <c r="BN75" s="190"/>
      <c r="BO75" s="336"/>
      <c r="BP75" s="190"/>
      <c r="BQ75" s="190"/>
      <c r="BR75" s="190"/>
      <c r="BS75" s="191"/>
      <c r="BT75" s="190"/>
      <c r="BU75" s="336"/>
      <c r="BV75" s="190"/>
      <c r="BW75" s="190"/>
      <c r="BX75" s="190"/>
      <c r="BY75" s="191"/>
      <c r="BZ75" s="190"/>
      <c r="CA75" s="336"/>
      <c r="CB75" s="190"/>
      <c r="CC75" s="190"/>
      <c r="CD75" s="190"/>
      <c r="CE75" s="191"/>
      <c r="CF75" s="190"/>
      <c r="CG75" s="336"/>
      <c r="CH75" s="190"/>
      <c r="CI75" s="190"/>
      <c r="CJ75" s="190"/>
      <c r="CK75" s="191"/>
      <c r="CL75" s="190"/>
      <c r="CM75" s="336"/>
      <c r="CN75" s="190"/>
      <c r="CO75" s="190"/>
      <c r="CP75" s="190"/>
      <c r="CQ75" s="191"/>
      <c r="CR75" s="190"/>
      <c r="CS75" s="336"/>
      <c r="CT75" s="190"/>
      <c r="CU75" s="190"/>
      <c r="CV75" s="190"/>
      <c r="CW75" s="191"/>
      <c r="CX75" s="190"/>
      <c r="CY75" s="336"/>
      <c r="CZ75" s="190"/>
      <c r="DA75" s="190"/>
      <c r="DB75" s="190"/>
      <c r="DC75" s="191"/>
      <c r="DD75" s="190"/>
      <c r="DE75" s="336"/>
      <c r="DF75" s="190"/>
      <c r="DG75" s="190"/>
      <c r="DH75" s="190"/>
      <c r="DI75" s="191"/>
      <c r="DP75" s="70"/>
    </row>
    <row r="76" spans="1:126" ht="11.25" hidden="1" customHeight="1" outlineLevel="1">
      <c r="A76" s="94" t="s">
        <v>196</v>
      </c>
      <c r="B76" s="132"/>
      <c r="C76" s="133"/>
      <c r="D76" s="132"/>
      <c r="E76" s="133"/>
      <c r="F76" s="132"/>
      <c r="G76" s="133"/>
      <c r="H76" s="132"/>
      <c r="I76" s="133">
        <f>-I70/I68</f>
        <v>3.3917218378882875E-2</v>
      </c>
      <c r="J76" s="132"/>
      <c r="K76" s="133">
        <f>-K70/K68</f>
        <v>7.788013037399723E-3</v>
      </c>
      <c r="L76" s="132"/>
      <c r="M76" s="133">
        <f>-M70/M68</f>
        <v>1.6723858548983745E-3</v>
      </c>
      <c r="N76" s="132"/>
      <c r="O76" s="133">
        <f>-O70/O68</f>
        <v>4.7990275935201332E-3</v>
      </c>
      <c r="P76" s="132"/>
      <c r="Q76" s="133">
        <f>-Q70/Q68</f>
        <v>3.2842803258322756E-2</v>
      </c>
      <c r="R76" s="132"/>
      <c r="S76" s="347">
        <f>-S70*4/S68</f>
        <v>3.6098620357251096E-3</v>
      </c>
      <c r="T76" s="132">
        <f>-T70*4/T68</f>
        <v>1.2787809851997928E-2</v>
      </c>
      <c r="U76" s="132">
        <f>-U70*4/U68</f>
        <v>6.6993287326634135E-2</v>
      </c>
      <c r="V76" s="132">
        <f>-V70*4/V68</f>
        <v>0.21261926872735321</v>
      </c>
      <c r="W76" s="133">
        <f>-W70/W68</f>
        <v>8.1139141841409856E-2</v>
      </c>
      <c r="X76" s="132"/>
      <c r="Y76" s="347">
        <f>-Y70*4/Y68</f>
        <v>0.20734946240220076</v>
      </c>
      <c r="Z76" s="132">
        <f>-Z70*4/Z68</f>
        <v>9.1010140426579469E-2</v>
      </c>
      <c r="AA76" s="132">
        <f>-AA70*4/AA68</f>
        <v>5.2095335174082547E-2</v>
      </c>
      <c r="AB76" s="132">
        <f>-AB70*4/AB68</f>
        <v>0.15682927606388655</v>
      </c>
      <c r="AC76" s="133">
        <f>-AC70/AC68</f>
        <v>0.13647316777545504</v>
      </c>
      <c r="AD76" s="132"/>
      <c r="AE76" s="347">
        <f>-AE70*4/AE68</f>
        <v>9.0421799610824593E-4</v>
      </c>
      <c r="AF76" s="132">
        <f>-AF70*4/AF68</f>
        <v>0.24243085454336533</v>
      </c>
      <c r="AG76" s="132">
        <f>-AG70*4/AG68</f>
        <v>0.26871870598279329</v>
      </c>
      <c r="AH76" s="132">
        <f>-AH70*4/AH68</f>
        <v>1.8921035517999851E-3</v>
      </c>
      <c r="AI76" s="133">
        <f>-AI70/AI68</f>
        <v>0.14813147872194213</v>
      </c>
      <c r="AJ76" s="132"/>
      <c r="AK76" s="347">
        <f>-AK70*4/AK68</f>
        <v>2.3763775919740699E-3</v>
      </c>
      <c r="AL76" s="132">
        <f>-AL70*4/AL68</f>
        <v>1.4517916170656765E-2</v>
      </c>
      <c r="AM76" s="132">
        <f>-AM70*4/AM68</f>
        <v>6.7694343488757497E-2</v>
      </c>
      <c r="AN76" s="132">
        <f>-AN70*4/AN68</f>
        <v>0.15176228889936066</v>
      </c>
      <c r="AO76" s="133">
        <f>-AO70/AO68</f>
        <v>5.8110403997477099E-2</v>
      </c>
      <c r="AP76" s="132"/>
      <c r="AQ76" s="347"/>
      <c r="AR76" s="132"/>
      <c r="AS76" s="132"/>
      <c r="AT76" s="132"/>
      <c r="AU76" s="133">
        <f>-AU70/AU68</f>
        <v>0.17030428397545241</v>
      </c>
      <c r="AV76" s="132"/>
      <c r="AW76" s="347"/>
      <c r="AX76" s="132">
        <f>-AX70*4/AX68</f>
        <v>0.25989224031968483</v>
      </c>
      <c r="AY76" s="132">
        <f>-AY70*4/AY68</f>
        <v>2.2738192840595077E-2</v>
      </c>
      <c r="AZ76" s="132">
        <f>-AZ70*4/AZ68</f>
        <v>1.7499881463448407E-2</v>
      </c>
      <c r="BA76" s="133">
        <f>-BA70/BA68</f>
        <v>7.5139955343140677E-2</v>
      </c>
      <c r="BB76" s="132"/>
      <c r="BC76" s="347">
        <f>-BC70*4/BC68</f>
        <v>0.17345371197230597</v>
      </c>
      <c r="BD76" s="132">
        <f>-BD70*4/BD68</f>
        <v>0.13944658682725369</v>
      </c>
      <c r="BE76" s="132">
        <f>-BE70*4/BE68</f>
        <v>2.6564363887073297E-2</v>
      </c>
      <c r="BF76" s="132">
        <f>-BF70*4/BF68</f>
        <v>9.939176787400264E-2</v>
      </c>
      <c r="BG76" s="133">
        <f>-BG70/BG68</f>
        <v>0.10709397669228744</v>
      </c>
      <c r="BH76" s="132"/>
      <c r="BI76" s="347">
        <f>-BI70*4/BI68</f>
        <v>0.35689343404245838</v>
      </c>
      <c r="BJ76" s="132">
        <f>-BJ70*4/BJ68</f>
        <v>5.1979680701675586E-2</v>
      </c>
      <c r="BK76" s="132">
        <f>-BK70*4/BK68</f>
        <v>0.29323068293656535</v>
      </c>
      <c r="BL76" s="132">
        <f>-BL70*4/BL68</f>
        <v>2.8292658945599142E-2</v>
      </c>
      <c r="BM76" s="133">
        <f>-BM70/BM68</f>
        <v>0.17838923090739889</v>
      </c>
      <c r="BN76" s="132"/>
      <c r="BO76" s="347">
        <f>-BO70*4/BO68</f>
        <v>0.23875852782249499</v>
      </c>
      <c r="BP76" s="132">
        <f>-BP70*4/BP68</f>
        <v>0.16335693384803487</v>
      </c>
      <c r="BQ76" s="132">
        <f>-BQ70*4/BQ68</f>
        <v>0.3023307959458893</v>
      </c>
      <c r="BR76" s="132">
        <f>-BR70*4/BR68</f>
        <v>3.6514247995640792E-2</v>
      </c>
      <c r="BS76" s="133">
        <f>-BS70/BS68</f>
        <v>0.17464045576849427</v>
      </c>
      <c r="BT76" s="132"/>
      <c r="BU76" s="347">
        <f>-BU70*4/BU68</f>
        <v>0.25924897330638164</v>
      </c>
      <c r="BV76" s="132">
        <f>-BV70*4/BV68</f>
        <v>0.20701907260348565</v>
      </c>
      <c r="BW76" s="132">
        <f>-BW70*4/BW68</f>
        <v>6.5944831801124607E-2</v>
      </c>
      <c r="BX76" s="132">
        <f>-BX70*4/BX68</f>
        <v>0.25036667786622557</v>
      </c>
      <c r="BY76" s="133">
        <f>-BY70/BY68</f>
        <v>0.19250079200297343</v>
      </c>
      <c r="BZ76" s="132"/>
      <c r="CA76" s="347">
        <f>-CA70*4/CA68</f>
        <v>0.48808708727682765</v>
      </c>
      <c r="CB76" s="132">
        <f>-CB70*4/CB68</f>
        <v>0.15021710955079767</v>
      </c>
      <c r="CC76" s="132">
        <f>-CC70*4/CC68</f>
        <v>7.5618592961562633E-2</v>
      </c>
      <c r="CD76" s="132">
        <f>-CD70*4/CD68</f>
        <v>9.7399916617331175E-2</v>
      </c>
      <c r="CE76" s="133">
        <f>-CE70/CE68</f>
        <v>0.19301793142055934</v>
      </c>
      <c r="CF76" s="132"/>
      <c r="CG76" s="347">
        <f>-CG70*4/CG68</f>
        <v>7.2490130095523284E-2</v>
      </c>
      <c r="CH76" s="132">
        <f>-CH70*4/CH68</f>
        <v>0.45877362823973267</v>
      </c>
      <c r="CI76" s="132">
        <f>-CI70*4/CI68</f>
        <v>0.37106851506482585</v>
      </c>
      <c r="CJ76" s="606">
        <v>7.0000000000000007E-2</v>
      </c>
      <c r="CK76" s="133">
        <f>-CK70/CK68</f>
        <v>0.22172841797461904</v>
      </c>
      <c r="CL76" s="132"/>
      <c r="CM76" s="608">
        <v>7.0000000000000007E-2</v>
      </c>
      <c r="CN76" s="606">
        <v>7.0000000000000007E-2</v>
      </c>
      <c r="CO76" s="606">
        <v>7.0000000000000007E-2</v>
      </c>
      <c r="CP76" s="606">
        <v>7.0000000000000007E-2</v>
      </c>
      <c r="CQ76" s="133">
        <f>-CQ70/CQ68</f>
        <v>6.7927860000000007E-2</v>
      </c>
      <c r="CR76" s="132"/>
      <c r="CS76" s="608">
        <v>7.0000000000000007E-2</v>
      </c>
      <c r="CT76" s="606">
        <v>7.0000000000000007E-2</v>
      </c>
      <c r="CU76" s="606">
        <v>7.0000000000000007E-2</v>
      </c>
      <c r="CV76" s="606">
        <v>7.0000000000000007E-2</v>
      </c>
      <c r="CW76" s="133">
        <f>-CW70/CW68</f>
        <v>6.7927860000000007E-2</v>
      </c>
      <c r="CX76" s="132"/>
      <c r="CY76" s="608">
        <v>7.0000000000000007E-2</v>
      </c>
      <c r="CZ76" s="606">
        <v>7.0000000000000007E-2</v>
      </c>
      <c r="DA76" s="606">
        <v>7.0000000000000007E-2</v>
      </c>
      <c r="DB76" s="606">
        <v>7.0000000000000007E-2</v>
      </c>
      <c r="DC76" s="133">
        <f>-DC70/DC68</f>
        <v>6.7927860000000007E-2</v>
      </c>
      <c r="DD76" s="132"/>
      <c r="DE76" s="608">
        <v>7.0000000000000007E-2</v>
      </c>
      <c r="DF76" s="606">
        <v>7.0000000000000007E-2</v>
      </c>
      <c r="DG76" s="606">
        <v>7.0000000000000007E-2</v>
      </c>
      <c r="DH76" s="606">
        <v>7.0000000000000007E-2</v>
      </c>
      <c r="DI76" s="133">
        <f>-DI70/DI68</f>
        <v>6.7927860000000007E-2</v>
      </c>
      <c r="DP76" s="255"/>
    </row>
    <row r="77" spans="1:126" ht="11.25" hidden="1" customHeight="1" outlineLevel="1">
      <c r="A77" s="94" t="s">
        <v>197</v>
      </c>
      <c r="B77" s="132"/>
      <c r="C77" s="133"/>
      <c r="D77" s="132"/>
      <c r="E77" s="133"/>
      <c r="F77" s="132"/>
      <c r="G77" s="133"/>
      <c r="H77" s="132"/>
      <c r="I77" s="133">
        <f>-I71/I68</f>
        <v>7.2285383095375064E-2</v>
      </c>
      <c r="J77" s="132"/>
      <c r="K77" s="133">
        <f>-K71/K68</f>
        <v>6.0159193610610541E-2</v>
      </c>
      <c r="L77" s="132"/>
      <c r="M77" s="133">
        <f>-M71/M68</f>
        <v>2.9264696095373473E-2</v>
      </c>
      <c r="N77" s="132"/>
      <c r="O77" s="133">
        <f>-O71/O68</f>
        <v>4.4072346318354556E-2</v>
      </c>
      <c r="P77" s="132"/>
      <c r="Q77" s="133">
        <f>-Q71/Q68</f>
        <v>2.5535788232834863E-2</v>
      </c>
      <c r="R77" s="132"/>
      <c r="S77" s="347">
        <f>-S71*4/S68</f>
        <v>0.18442391500049765</v>
      </c>
      <c r="T77" s="132">
        <f>-T71*4/T68</f>
        <v>1.6422240020460482E-2</v>
      </c>
      <c r="U77" s="132">
        <f>-U71*4/U68</f>
        <v>1.0634811735743979E-2</v>
      </c>
      <c r="V77" s="132">
        <f>-V71*4/V68</f>
        <v>0.12127898176075862</v>
      </c>
      <c r="W77" s="133">
        <f>-W71/W68</f>
        <v>8.7078695663356881E-2</v>
      </c>
      <c r="X77" s="132"/>
      <c r="Y77" s="347">
        <f>-Y71*4/Y68</f>
        <v>2.451364252299856E-2</v>
      </c>
      <c r="Z77" s="132">
        <f>-Z71*4/Z68</f>
        <v>8.5999589351960833E-3</v>
      </c>
      <c r="AA77" s="132">
        <f>-AA71*4/AA68</f>
        <v>1.5953888876588069E-2</v>
      </c>
      <c r="AB77" s="132">
        <f>-AB71*4/AB68</f>
        <v>9.0092366649563802E-3</v>
      </c>
      <c r="AC77" s="133">
        <f>-AC71/AC68</f>
        <v>1.5073438787391816E-2</v>
      </c>
      <c r="AD77" s="132"/>
      <c r="AE77" s="347">
        <f>-AE71*4/AE68</f>
        <v>3.0517357368653301E-2</v>
      </c>
      <c r="AF77" s="132">
        <f>-AF71*4/AF68</f>
        <v>6.4876920483563263E-2</v>
      </c>
      <c r="AG77" s="132">
        <f>-AG71*4/AG68</f>
        <v>7.0586350223352955E-4</v>
      </c>
      <c r="AH77" s="132">
        <f>-AH71*4/AH68</f>
        <v>1.2752777939132164E-2</v>
      </c>
      <c r="AI77" s="133">
        <f>-AI71/AI68</f>
        <v>2.8064213945211625E-2</v>
      </c>
      <c r="AJ77" s="132"/>
      <c r="AK77" s="347">
        <f>-AK71*4/AK68</f>
        <v>1.6702973489913588E-2</v>
      </c>
      <c r="AL77" s="132">
        <f>-AL71*4/AL68</f>
        <v>2.543073251221371E-2</v>
      </c>
      <c r="AM77" s="132">
        <f>-AM71*4/AM68</f>
        <v>6.7957775314414475E-3</v>
      </c>
      <c r="AN77" s="132">
        <f>-AN71*4/AN68</f>
        <v>3.5989947107227242E-2</v>
      </c>
      <c r="AO77" s="133">
        <f>-AO71/AO68</f>
        <v>2.1035117432342997E-2</v>
      </c>
      <c r="AP77" s="132"/>
      <c r="AQ77" s="347"/>
      <c r="AR77" s="132"/>
      <c r="AS77" s="132"/>
      <c r="AT77" s="132"/>
      <c r="AU77" s="133">
        <f>-AU71/AU68</f>
        <v>3.5503255604744863E-2</v>
      </c>
      <c r="AV77" s="132"/>
      <c r="AW77" s="347"/>
      <c r="AX77" s="132">
        <f>-AX71*4/AX68</f>
        <v>8.1171555920255142E-2</v>
      </c>
      <c r="AY77" s="132">
        <f>-AY71*4/AY68</f>
        <v>2.322046401631863E-2</v>
      </c>
      <c r="AZ77" s="132">
        <f>-AZ71*4/AZ68</f>
        <v>3.9117062034646884E-2</v>
      </c>
      <c r="BA77" s="133">
        <f>-BA71/BA68</f>
        <v>3.6468073058214992E-2</v>
      </c>
      <c r="BB77" s="132"/>
      <c r="BC77" s="347">
        <f>-BC71*4/BC68</f>
        <v>7.8383078705080003E-2</v>
      </c>
      <c r="BD77" s="132">
        <f>-BD71*4/BD68</f>
        <v>5.7827358604609601E-2</v>
      </c>
      <c r="BE77" s="132">
        <f>-BE71*4/BE68</f>
        <v>1.1468105185733823E-2</v>
      </c>
      <c r="BF77" s="132">
        <f>-BF71*4/BF68</f>
        <v>5.0498471252653297E-2</v>
      </c>
      <c r="BG77" s="133">
        <f>-BG71/BG68</f>
        <v>4.8386137815371426E-2</v>
      </c>
      <c r="BH77" s="132"/>
      <c r="BI77" s="347">
        <f>-BI71*4/BI68</f>
        <v>3.7106161304398796E-2</v>
      </c>
      <c r="BJ77" s="132">
        <f>-BJ71*4/BJ68</f>
        <v>7.0730641481146286E-2</v>
      </c>
      <c r="BK77" s="132">
        <f>-BK71*4/BK68</f>
        <v>5.4585716350422253E-2</v>
      </c>
      <c r="BL77" s="132">
        <f>-BL71*4/BL68</f>
        <v>2.1288157822298981E-2</v>
      </c>
      <c r="BM77" s="133">
        <f>-BM71/BM68</f>
        <v>4.4371301377191356E-2</v>
      </c>
      <c r="BN77" s="132"/>
      <c r="BO77" s="347">
        <f>-BO71*4/BO68</f>
        <v>7.1111727083437548E-2</v>
      </c>
      <c r="BP77" s="132">
        <f>-BP71*4/BP68</f>
        <v>8.0459917576139212E-2</v>
      </c>
      <c r="BQ77" s="132">
        <f>-BQ71*4/BQ68</f>
        <v>1.8416893079345978E-3</v>
      </c>
      <c r="BR77" s="132">
        <f>-BR71*4/BR68</f>
        <v>3.0416380876108328E-2</v>
      </c>
      <c r="BS77" s="133">
        <f>-BS71/BS68</f>
        <v>4.4761278375844989E-2</v>
      </c>
      <c r="BT77" s="132"/>
      <c r="BU77" s="347">
        <f>-BU71*4/BU68</f>
        <v>3.9380632887289456E-2</v>
      </c>
      <c r="BV77" s="132">
        <f>-BV71*4/BV68</f>
        <v>0.16336124306918468</v>
      </c>
      <c r="BW77" s="132">
        <f>-BW71*4/BW68</f>
        <v>8.8039317031310405E-2</v>
      </c>
      <c r="BX77" s="132">
        <f>-BX71*4/BX68</f>
        <v>2.420154683138635E-2</v>
      </c>
      <c r="BY77" s="133">
        <f>-BY71/BY68</f>
        <v>7.3742336695638872E-2</v>
      </c>
      <c r="BZ77" s="132"/>
      <c r="CA77" s="347">
        <f>-CA71*4/CA68</f>
        <v>6.3580388413118985E-2</v>
      </c>
      <c r="CB77" s="132">
        <f>-CB71*4/CB68</f>
        <v>7.4374743766948859E-2</v>
      </c>
      <c r="CC77" s="132">
        <f>-CC71*4/CC68</f>
        <v>1.1166401144698405E-2</v>
      </c>
      <c r="CD77" s="132">
        <f>-CD71*4/CD68</f>
        <v>2.4181992092390876E-2</v>
      </c>
      <c r="CE77" s="133">
        <f>-CE71/CE68</f>
        <v>4.0279871019190346E-2</v>
      </c>
      <c r="CF77" s="132"/>
      <c r="CG77" s="347">
        <f>-CG71*4/CG68</f>
        <v>6.0334506638810563E-2</v>
      </c>
      <c r="CH77" s="132">
        <f>-CH71*4/CH68</f>
        <v>5.2192221897255267E-2</v>
      </c>
      <c r="CI77" s="132">
        <f>-CI71*4/CI68</f>
        <v>6.0893891226366181E-2</v>
      </c>
      <c r="CJ77" s="606">
        <v>0.04</v>
      </c>
      <c r="CK77" s="133">
        <f>-CK71/CK68</f>
        <v>4.8536361588506591E-2</v>
      </c>
      <c r="CL77" s="132"/>
      <c r="CM77" s="608">
        <v>0.04</v>
      </c>
      <c r="CN77" s="606">
        <v>0.04</v>
      </c>
      <c r="CO77" s="606">
        <v>0.04</v>
      </c>
      <c r="CP77" s="606">
        <v>0.04</v>
      </c>
      <c r="CQ77" s="133">
        <f>-CQ71/CQ68</f>
        <v>3.8815920000000004E-2</v>
      </c>
      <c r="CR77" s="132"/>
      <c r="CS77" s="608">
        <v>0.04</v>
      </c>
      <c r="CT77" s="606">
        <v>0.04</v>
      </c>
      <c r="CU77" s="606">
        <v>0.04</v>
      </c>
      <c r="CV77" s="606">
        <v>0.04</v>
      </c>
      <c r="CW77" s="133">
        <f>-CW71/CW68</f>
        <v>3.8815920000000004E-2</v>
      </c>
      <c r="CX77" s="132"/>
      <c r="CY77" s="608">
        <v>0.04</v>
      </c>
      <c r="CZ77" s="606">
        <v>0.04</v>
      </c>
      <c r="DA77" s="606">
        <v>0.04</v>
      </c>
      <c r="DB77" s="606">
        <v>0.04</v>
      </c>
      <c r="DC77" s="133">
        <f>-DC71/DC68</f>
        <v>3.8815920000000004E-2</v>
      </c>
      <c r="DD77" s="132"/>
      <c r="DE77" s="608">
        <v>0.04</v>
      </c>
      <c r="DF77" s="606">
        <v>0.04</v>
      </c>
      <c r="DG77" s="606">
        <v>0.04</v>
      </c>
      <c r="DH77" s="606">
        <v>0.04</v>
      </c>
      <c r="DI77" s="133">
        <f>-DI71/DI68</f>
        <v>3.8815920000000004E-2</v>
      </c>
      <c r="DP77" s="255"/>
    </row>
    <row r="78" spans="1:126" ht="11.25" hidden="1" customHeight="1" outlineLevel="1">
      <c r="A78" s="263" t="s">
        <v>269</v>
      </c>
      <c r="B78" s="271"/>
      <c r="C78" s="272"/>
      <c r="D78" s="271"/>
      <c r="E78" s="272"/>
      <c r="F78" s="271"/>
      <c r="G78" s="133"/>
      <c r="H78" s="271"/>
      <c r="I78" s="133">
        <f>I69/I68</f>
        <v>0.79315454526138696</v>
      </c>
      <c r="J78" s="271"/>
      <c r="K78" s="133">
        <f>K69/K68</f>
        <v>0.31562561372295012</v>
      </c>
      <c r="L78" s="271"/>
      <c r="M78" s="133">
        <f>M69/M68</f>
        <v>0.18811069377280229</v>
      </c>
      <c r="N78" s="271"/>
      <c r="O78" s="133">
        <f>O69/O68</f>
        <v>0.26995136028991257</v>
      </c>
      <c r="P78" s="271"/>
      <c r="Q78" s="133">
        <f>Q69/Q68</f>
        <v>4.8290068518976673E-3</v>
      </c>
      <c r="R78" s="271"/>
      <c r="S78" s="347">
        <f>S69*4/S68</f>
        <v>0.34191924331566059</v>
      </c>
      <c r="T78" s="132">
        <f>T69*4/T68</f>
        <v>3.1767611842857979E-2</v>
      </c>
      <c r="U78" s="132">
        <f>U69*4/U68</f>
        <v>0.3874248355462287</v>
      </c>
      <c r="V78" s="132">
        <f>V69*4/V68</f>
        <v>9.9882213899259381E-4</v>
      </c>
      <c r="W78" s="133">
        <f>W69/W68</f>
        <v>0.19465353488023604</v>
      </c>
      <c r="X78" s="271"/>
      <c r="Y78" s="347">
        <f>Y69*4/Y68</f>
        <v>0.28581817686593081</v>
      </c>
      <c r="Z78" s="132">
        <f>Z69*4/Z68</f>
        <v>3.2256295976186684E-2</v>
      </c>
      <c r="AA78" s="132">
        <f>AA69*4/AA68</f>
        <v>1.0440147905047519</v>
      </c>
      <c r="AB78" s="132">
        <f>AB69*4/AB68</f>
        <v>5.4059814739330858E-2</v>
      </c>
      <c r="AC78" s="133">
        <f>AC69/AC68</f>
        <v>0.35644987981505816</v>
      </c>
      <c r="AD78" s="271"/>
      <c r="AE78" s="347">
        <f>AE69*4/AE68</f>
        <v>7.5954311673092662E-2</v>
      </c>
      <c r="AF78" s="132">
        <f>AF69*4/AF68</f>
        <v>1.3749278442338662</v>
      </c>
      <c r="AG78" s="132">
        <f>AG69*4/AG68</f>
        <v>0</v>
      </c>
      <c r="AH78" s="132">
        <f>AH69*4/AH68</f>
        <v>2.081313906980051E-3</v>
      </c>
      <c r="AI78" s="133">
        <f>AI69/AI68</f>
        <v>0.36716902004470459</v>
      </c>
      <c r="AJ78" s="271"/>
      <c r="AK78" s="347">
        <f>AK69*4/AK68</f>
        <v>3.6442851250720561E-2</v>
      </c>
      <c r="AL78" s="132">
        <f>AL69*4/AL68</f>
        <v>0</v>
      </c>
      <c r="AM78" s="132">
        <f>AM69*4/AM68</f>
        <v>2.2907115274521704E-3</v>
      </c>
      <c r="AN78" s="132">
        <f>AN69*4/AN68</f>
        <v>0.12247297429700513</v>
      </c>
      <c r="AO78" s="133">
        <f>AO69/AO68</f>
        <v>3.9574658780079347E-2</v>
      </c>
      <c r="AP78" s="271"/>
      <c r="AQ78" s="493"/>
      <c r="AR78" s="271"/>
      <c r="AS78" s="271"/>
      <c r="AT78" s="271"/>
      <c r="AU78" s="133">
        <f>AU69/AU68</f>
        <v>0.13833874534267793</v>
      </c>
      <c r="AV78" s="271"/>
      <c r="AW78" s="493"/>
      <c r="AX78" s="132">
        <f>AX69*4/AX68</f>
        <v>0.13775132198884091</v>
      </c>
      <c r="AY78" s="132">
        <f>AY69*4/AY68</f>
        <v>0.64190650726711229</v>
      </c>
      <c r="AZ78" s="132">
        <f>AZ69*4/AZ68</f>
        <v>1.7877643850906687E-2</v>
      </c>
      <c r="BA78" s="133">
        <f>BA69/BA68</f>
        <v>0.19163200984688838</v>
      </c>
      <c r="BB78" s="271"/>
      <c r="BC78" s="347">
        <f>BC69*4/BC68</f>
        <v>8.9085059160131985E-2</v>
      </c>
      <c r="BD78" s="132">
        <f>BD69*4/BD68</f>
        <v>3.272721842984215E-2</v>
      </c>
      <c r="BE78" s="132">
        <f>BE69*4/BE68</f>
        <v>0.26942367651751881</v>
      </c>
      <c r="BF78" s="132">
        <f>BF69*4/BF68</f>
        <v>9.2761348040174579E-2</v>
      </c>
      <c r="BG78" s="133">
        <f>BG69/BG68</f>
        <v>0.11464305245442095</v>
      </c>
      <c r="BH78" s="271"/>
      <c r="BI78" s="347">
        <f>BI69*4/BI68</f>
        <v>0.18411922579093018</v>
      </c>
      <c r="BJ78" s="132">
        <f>BJ69*4/BJ68</f>
        <v>0.13817951937708678</v>
      </c>
      <c r="BK78" s="132">
        <f>BK69*4/BK68</f>
        <v>0.58266058266058274</v>
      </c>
      <c r="BL78" s="132">
        <f>BL69*4/BL68</f>
        <v>1.3026584397636374E-2</v>
      </c>
      <c r="BM78" s="133">
        <f>BM69/BM68</f>
        <v>0.22059754053538191</v>
      </c>
      <c r="BN78" s="271"/>
      <c r="BO78" s="347">
        <f>BO69*4/BO68</f>
        <v>8.1352084770184449E-2</v>
      </c>
      <c r="BP78" s="132">
        <f>BP69*4/BP68</f>
        <v>2.1961720937848119E-2</v>
      </c>
      <c r="BQ78" s="132">
        <f>BQ69*4/BQ68</f>
        <v>0.79765405615955298</v>
      </c>
      <c r="BR78" s="132">
        <f>BR69*4/BR68</f>
        <v>1.0246449656426258E-2</v>
      </c>
      <c r="BS78" s="133">
        <f>BS69/BS68</f>
        <v>0.2056702895133718</v>
      </c>
      <c r="BT78" s="271"/>
      <c r="BU78" s="347">
        <f>BU69*4/BU68</f>
        <v>8.8824068908000431E-2</v>
      </c>
      <c r="BV78" s="132">
        <f>BV69*4/BV68</f>
        <v>8.7752667352014955E-3</v>
      </c>
      <c r="BW78" s="132">
        <f>BW69*4/BW68</f>
        <v>0.93193442755800326</v>
      </c>
      <c r="BX78" s="132">
        <f>BX69*4/BX68</f>
        <v>1.9915292566938959E-2</v>
      </c>
      <c r="BY78" s="133">
        <f>BY69/BY68</f>
        <v>0.23021655564766719</v>
      </c>
      <c r="BZ78" s="271"/>
      <c r="CA78" s="347">
        <f>CA69*4/CA68</f>
        <v>0.17682524601172367</v>
      </c>
      <c r="CB78" s="132">
        <f>CB69*4/CB68</f>
        <v>3.7312053131343358E-2</v>
      </c>
      <c r="CC78" s="132">
        <f>CC69*4/CC68</f>
        <v>9.8273915824127339E-3</v>
      </c>
      <c r="CD78" s="132">
        <f>CD69*4/CD68</f>
        <v>0.83100043422110259</v>
      </c>
      <c r="CE78" s="133">
        <f>CE69/CE68</f>
        <v>0.23079611987978291</v>
      </c>
      <c r="CF78" s="271"/>
      <c r="CG78" s="347">
        <f>CG69*4/CG68</f>
        <v>9.0192183718797534E-3</v>
      </c>
      <c r="CH78" s="132">
        <f>CH69*4/CH68</f>
        <v>9.5937385039220214E-3</v>
      </c>
      <c r="CI78" s="132">
        <f>CI69*4/CI68</f>
        <v>0.16272378908019472</v>
      </c>
      <c r="CJ78" s="606">
        <v>0.03</v>
      </c>
      <c r="CK78" s="133">
        <f>CK69/CK68</f>
        <v>4.498858005248095E-2</v>
      </c>
      <c r="CL78" s="271"/>
      <c r="CM78" s="608">
        <v>0.03</v>
      </c>
      <c r="CN78" s="606">
        <v>0.03</v>
      </c>
      <c r="CO78" s="606">
        <v>0.03</v>
      </c>
      <c r="CP78" s="606">
        <v>0.03</v>
      </c>
      <c r="CQ78" s="133">
        <f>CQ69/CQ68</f>
        <v>2.9111939999999999E-2</v>
      </c>
      <c r="CR78" s="271"/>
      <c r="CS78" s="608">
        <v>0.03</v>
      </c>
      <c r="CT78" s="606">
        <v>0.03</v>
      </c>
      <c r="CU78" s="606">
        <v>0.03</v>
      </c>
      <c r="CV78" s="606">
        <v>0.03</v>
      </c>
      <c r="CW78" s="133">
        <f>CW69/CW68</f>
        <v>2.9111940000000003E-2</v>
      </c>
      <c r="CX78" s="271"/>
      <c r="CY78" s="608">
        <v>0.03</v>
      </c>
      <c r="CZ78" s="606">
        <v>0.03</v>
      </c>
      <c r="DA78" s="606">
        <v>0.03</v>
      </c>
      <c r="DB78" s="606">
        <v>0.03</v>
      </c>
      <c r="DC78" s="133">
        <f>DC69/DC68</f>
        <v>2.9111939999999999E-2</v>
      </c>
      <c r="DD78" s="271"/>
      <c r="DE78" s="608">
        <v>0.03</v>
      </c>
      <c r="DF78" s="606">
        <v>0.03</v>
      </c>
      <c r="DG78" s="606">
        <v>0.03</v>
      </c>
      <c r="DH78" s="606">
        <v>0.03</v>
      </c>
      <c r="DI78" s="133">
        <f>DI69/DI68</f>
        <v>2.9111940000000003E-2</v>
      </c>
      <c r="DP78" s="70"/>
    </row>
    <row r="79" spans="1:126" ht="11.25" hidden="1" customHeight="1" outlineLevel="1">
      <c r="A79" s="263"/>
      <c r="B79" s="190"/>
      <c r="C79" s="191"/>
      <c r="D79" s="190"/>
      <c r="E79" s="191"/>
      <c r="F79" s="190"/>
      <c r="G79" s="191"/>
      <c r="H79" s="190"/>
      <c r="I79" s="191"/>
      <c r="J79" s="190"/>
      <c r="K79" s="191"/>
      <c r="L79" s="190"/>
      <c r="M79" s="191"/>
      <c r="N79" s="190"/>
      <c r="O79" s="191"/>
      <c r="P79" s="190"/>
      <c r="Q79" s="191"/>
      <c r="R79" s="190"/>
      <c r="S79" s="336"/>
      <c r="T79" s="190"/>
      <c r="U79" s="190"/>
      <c r="V79" s="190"/>
      <c r="W79" s="191"/>
      <c r="X79" s="190"/>
      <c r="Y79" s="336"/>
      <c r="Z79" s="190"/>
      <c r="AA79" s="190"/>
      <c r="AB79" s="190"/>
      <c r="AC79" s="191"/>
      <c r="AD79" s="190"/>
      <c r="AE79" s="336"/>
      <c r="AF79" s="190"/>
      <c r="AG79" s="190"/>
      <c r="AH79" s="190"/>
      <c r="AI79" s="191"/>
      <c r="AJ79" s="190"/>
      <c r="AK79" s="336"/>
      <c r="AL79" s="190"/>
      <c r="AM79" s="190"/>
      <c r="AN79" s="190"/>
      <c r="AO79" s="191"/>
      <c r="AP79" s="190"/>
      <c r="AQ79" s="336"/>
      <c r="AR79" s="190"/>
      <c r="AS79" s="190"/>
      <c r="AT79" s="190"/>
      <c r="AU79" s="191"/>
      <c r="AV79" s="190"/>
      <c r="AW79" s="336"/>
      <c r="AX79" s="190"/>
      <c r="AY79" s="190"/>
      <c r="AZ79" s="190"/>
      <c r="BA79" s="191"/>
      <c r="BB79" s="190"/>
      <c r="BC79" s="336"/>
      <c r="BD79" s="190"/>
      <c r="BE79" s="190"/>
      <c r="BF79" s="190"/>
      <c r="BG79" s="191"/>
      <c r="BH79" s="190"/>
      <c r="BI79" s="336"/>
      <c r="BJ79" s="190"/>
      <c r="BK79" s="190"/>
      <c r="BL79" s="190"/>
      <c r="BM79" s="191"/>
      <c r="BN79" s="190"/>
      <c r="BO79" s="336"/>
      <c r="BP79" s="190"/>
      <c r="BQ79" s="190"/>
      <c r="BR79" s="190"/>
      <c r="BS79" s="191"/>
      <c r="BT79" s="190"/>
      <c r="BU79" s="336"/>
      <c r="BV79" s="190"/>
      <c r="BW79" s="190"/>
      <c r="BX79" s="190"/>
      <c r="BY79" s="191"/>
      <c r="BZ79" s="190"/>
      <c r="CA79" s="336"/>
      <c r="CB79" s="190"/>
      <c r="CC79" s="190"/>
      <c r="CD79" s="190"/>
      <c r="CE79" s="191"/>
      <c r="CF79" s="190"/>
      <c r="CG79" s="336"/>
      <c r="CH79" s="190"/>
      <c r="CI79" s="190"/>
      <c r="CJ79" s="190"/>
      <c r="CK79" s="191"/>
      <c r="CL79" s="190"/>
      <c r="CM79" s="336"/>
      <c r="CN79" s="190"/>
      <c r="CO79" s="190"/>
      <c r="CP79" s="190"/>
      <c r="CQ79" s="191"/>
      <c r="CR79" s="190"/>
      <c r="CS79" s="336"/>
      <c r="CT79" s="190"/>
      <c r="CU79" s="190"/>
      <c r="CV79" s="190"/>
      <c r="CW79" s="191"/>
      <c r="CX79" s="190"/>
      <c r="CY79" s="336"/>
      <c r="CZ79" s="190"/>
      <c r="DA79" s="190"/>
      <c r="DB79" s="190"/>
      <c r="DC79" s="191"/>
      <c r="DD79" s="190"/>
      <c r="DE79" s="336"/>
      <c r="DF79" s="190"/>
      <c r="DG79" s="190"/>
      <c r="DH79" s="190"/>
      <c r="DI79" s="191"/>
      <c r="DP79" s="70"/>
    </row>
    <row r="80" spans="1:126" ht="11.25" hidden="1" customHeight="1" outlineLevel="1">
      <c r="A80" s="154" t="s">
        <v>198</v>
      </c>
      <c r="B80" s="202"/>
      <c r="C80" s="203"/>
      <c r="D80" s="202"/>
      <c r="E80" s="203"/>
      <c r="F80" s="202"/>
      <c r="G80" s="203"/>
      <c r="H80" s="202"/>
      <c r="I80" s="203">
        <f>-I70*I73</f>
        <v>0.22713699999999998</v>
      </c>
      <c r="J80" s="202"/>
      <c r="K80" s="203">
        <f>-K70*K73</f>
        <v>8.7982649999999996E-2</v>
      </c>
      <c r="L80" s="202"/>
      <c r="M80" s="203">
        <f>-M70*M73</f>
        <v>1.3016430000000002E-2</v>
      </c>
      <c r="N80" s="202"/>
      <c r="O80" s="203">
        <f>-O70*O73</f>
        <v>5.6738459999999998E-2</v>
      </c>
      <c r="P80" s="202"/>
      <c r="Q80" s="203">
        <f>-Q70*Q73</f>
        <v>0.37732783999999997</v>
      </c>
      <c r="R80" s="202"/>
      <c r="S80" s="283">
        <f>-S70*S73</f>
        <v>9.0061199999999994E-3</v>
      </c>
      <c r="T80" s="202">
        <f>-T70*T73</f>
        <v>3.91875E-2</v>
      </c>
      <c r="U80" s="202">
        <f>-U70*U73</f>
        <v>0.25211655000000005</v>
      </c>
      <c r="V80" s="202">
        <f>-V70*V73</f>
        <v>1.7327617999999998</v>
      </c>
      <c r="W80" s="203">
        <f>-W70*W73</f>
        <v>1.32632368</v>
      </c>
      <c r="X80" s="202"/>
      <c r="Y80" s="283">
        <f>-Y70*Y73</f>
        <v>1.03151814</v>
      </c>
      <c r="Z80" s="202">
        <f>-Z70*Z73</f>
        <v>0.43177110000000002</v>
      </c>
      <c r="AA80" s="202">
        <f>-AA70*AA73</f>
        <v>0.24394239999999998</v>
      </c>
      <c r="AB80" s="202">
        <f>-AB70*AB73</f>
        <v>0.84931728000000006</v>
      </c>
      <c r="AC80" s="203">
        <f>-AC70*AC73</f>
        <v>2.5553601000000001</v>
      </c>
      <c r="AD80" s="202"/>
      <c r="AE80" s="283">
        <f>-AE70*AE73</f>
        <v>7.9500000000000005E-3</v>
      </c>
      <c r="AF80" s="202">
        <f>-AF70*AF73</f>
        <v>1.41512112</v>
      </c>
      <c r="AG80" s="202">
        <f>-AG70*AG73</f>
        <v>2.14331285</v>
      </c>
      <c r="AH80" s="202">
        <f>-AH70*AH73</f>
        <v>9.199999999999809E-3</v>
      </c>
      <c r="AI80" s="203">
        <f>-AI70*AI73</f>
        <v>3.6827354200000002</v>
      </c>
      <c r="AJ80" s="202"/>
      <c r="AK80" s="283">
        <f>-AK70*AK73</f>
        <v>1.0391599999999999E-2</v>
      </c>
      <c r="AL80" s="202">
        <f>-AL70*AL73</f>
        <v>9.1607849999999991E-2</v>
      </c>
      <c r="AM80" s="202">
        <f>-AM70*AM73</f>
        <v>0.4450481</v>
      </c>
      <c r="AN80" s="202">
        <f>-AN70*AN73</f>
        <v>1.3290804600000004</v>
      </c>
      <c r="AO80" s="203">
        <f>-AO70*AO73</f>
        <v>1.52465688</v>
      </c>
      <c r="AP80" s="202"/>
      <c r="AQ80" s="283"/>
      <c r="AR80" s="202"/>
      <c r="AS80" s="202"/>
      <c r="AT80" s="202"/>
      <c r="AU80" s="203">
        <f>-AU70*AU73</f>
        <v>6.0494639399999999</v>
      </c>
      <c r="AV80" s="202"/>
      <c r="AW80" s="283"/>
      <c r="AX80" s="202">
        <f>-AX70*AX73</f>
        <v>2.9309525999999999</v>
      </c>
      <c r="AY80" s="202">
        <f>-AY70*AY73</f>
        <v>0.23626879999999983</v>
      </c>
      <c r="AZ80" s="202">
        <f>-AZ70*AZ73</f>
        <v>0.2033014200000002</v>
      </c>
      <c r="BA80" s="203">
        <f>-BA70*BA73</f>
        <v>3.2938531099999997</v>
      </c>
      <c r="BB80" s="202"/>
      <c r="BC80" s="283">
        <f>-BC70*BC73</f>
        <v>1.8121261999999998</v>
      </c>
      <c r="BD80" s="202">
        <f>-BD70*BD73</f>
        <v>1.4827844999999999</v>
      </c>
      <c r="BE80" s="202">
        <f>-BE70*BE73</f>
        <v>0.26586727999999993</v>
      </c>
      <c r="BF80" s="202">
        <f>-BF70*BF73</f>
        <v>0.95618719999999946</v>
      </c>
      <c r="BG80" s="203">
        <f>SUM(BC80:BF80)</f>
        <v>4.5169651799999997</v>
      </c>
      <c r="BH80" s="202"/>
      <c r="BI80" s="283">
        <f>-BI70*BI73</f>
        <v>4.0953170400000003</v>
      </c>
      <c r="BJ80" s="202">
        <f>-BJ70*BJ73</f>
        <v>0.55072019999999966</v>
      </c>
      <c r="BK80" s="202">
        <f>-BK70*BK73</f>
        <v>3.2585164399999997</v>
      </c>
      <c r="BL80" s="202">
        <f>-BL70*BL73</f>
        <v>0.33634188000000015</v>
      </c>
      <c r="BM80" s="203">
        <f>SUM(BI80:BL80)</f>
        <v>8.2408955600000002</v>
      </c>
      <c r="BN80" s="202"/>
      <c r="BO80" s="283">
        <f>-BO70*BO73</f>
        <v>2.9929191999999998</v>
      </c>
      <c r="BP80" s="202">
        <f>-BP70*BP73</f>
        <v>1.9082105599999999</v>
      </c>
      <c r="BQ80" s="202">
        <f>-BQ70*BQ73</f>
        <v>3.10918093</v>
      </c>
      <c r="BR80" s="202">
        <f>-BR70*BR73</f>
        <v>0.42852290000000048</v>
      </c>
      <c r="BS80" s="203">
        <f>SUM(BO80:BR80)</f>
        <v>8.4388335900000015</v>
      </c>
      <c r="BT80" s="202"/>
      <c r="BU80" s="283">
        <f>-BU70*BU73</f>
        <v>3.4857562999999998</v>
      </c>
      <c r="BV80" s="202">
        <f>-BV70*BV73</f>
        <v>2.6917559200000003</v>
      </c>
      <c r="BW80" s="202">
        <f>-BW70*BW73</f>
        <v>0.79838640000000061</v>
      </c>
      <c r="BX80" s="202">
        <f>-BX70*BX73</f>
        <v>2.9821037999999995</v>
      </c>
      <c r="BY80" s="203">
        <f>SUM(BU80:BX80)</f>
        <v>9.9580024200000015</v>
      </c>
      <c r="BZ80" s="202"/>
      <c r="CA80" s="283">
        <f>-CA70*CA73</f>
        <v>7.5427671700000003</v>
      </c>
      <c r="CB80" s="202">
        <f>-CB70*CB73</f>
        <v>2.1022955999999988</v>
      </c>
      <c r="CC80" s="202">
        <f>-CC70*CC73</f>
        <v>1.0117661599999999</v>
      </c>
      <c r="CD80" s="202">
        <f>-CD70*CD73</f>
        <v>1.2848212400000012</v>
      </c>
      <c r="CE80" s="203">
        <f>SUM(CA80:CD80)</f>
        <v>11.941650170000001</v>
      </c>
      <c r="CF80" s="202"/>
      <c r="CG80" s="283">
        <f>-CG70*CG73</f>
        <v>1.2079758899999999</v>
      </c>
      <c r="CH80" s="202">
        <f>-CH70*CH73</f>
        <v>7.9584847199999995</v>
      </c>
      <c r="CI80" s="202">
        <f>-CI70*CI73</f>
        <v>5.8738842</v>
      </c>
      <c r="CJ80" s="202">
        <f>-CJ70*CJ73</f>
        <v>1.0334912297500003</v>
      </c>
      <c r="CK80" s="203">
        <f>SUM(CG80:CJ80)</f>
        <v>16.073836039750002</v>
      </c>
      <c r="CL80" s="202"/>
      <c r="CM80" s="283">
        <f>-CM70*CM73</f>
        <v>1.0128214051550002</v>
      </c>
      <c r="CN80" s="202">
        <f>-CN70*CN73</f>
        <v>0.99256497705190017</v>
      </c>
      <c r="CO80" s="202">
        <f>-CO70*CO73</f>
        <v>0.97271367751086224</v>
      </c>
      <c r="CP80" s="202">
        <f>-CP70*CP73</f>
        <v>0.95325940396064501</v>
      </c>
      <c r="CQ80" s="203">
        <f>SUM(CM80:CP80)</f>
        <v>3.9313594636784077</v>
      </c>
      <c r="CR80" s="202"/>
      <c r="CS80" s="283">
        <f>-CS70*CS73</f>
        <v>0.93419421588143203</v>
      </c>
      <c r="CT80" s="202">
        <f>-CT70*CT73</f>
        <v>0.91551033156380346</v>
      </c>
      <c r="CU80" s="202">
        <f>-CU70*CU73</f>
        <v>0.89720012493252732</v>
      </c>
      <c r="CV80" s="202">
        <f>-CV70*CV73</f>
        <v>0.87925612243387674</v>
      </c>
      <c r="CW80" s="203">
        <f>SUM(CS80:CV80)</f>
        <v>3.6261607948116392</v>
      </c>
      <c r="CX80" s="202"/>
      <c r="CY80" s="283">
        <f>-CY70*CY73</f>
        <v>0.86167099998519914</v>
      </c>
      <c r="CZ80" s="202">
        <f>-CZ70*CZ73</f>
        <v>0.84443757998549518</v>
      </c>
      <c r="DA80" s="202">
        <f>-DA70*DA73</f>
        <v>0.82754882838578525</v>
      </c>
      <c r="DB80" s="202">
        <f>-DB70*DB73</f>
        <v>0.81099785181806949</v>
      </c>
      <c r="DC80" s="203">
        <f>SUM(CY80:DB80)</f>
        <v>3.3446552601745489</v>
      </c>
      <c r="DD80" s="202"/>
      <c r="DE80" s="283">
        <f>-DE70*DE73</f>
        <v>0.79477789478170802</v>
      </c>
      <c r="DF80" s="202">
        <f>-DF70*DF73</f>
        <v>0.77888233688607389</v>
      </c>
      <c r="DG80" s="202">
        <f>-DG70*DG73</f>
        <v>0.76330469014835245</v>
      </c>
      <c r="DH80" s="202">
        <f>-DH70*DH73</f>
        <v>0.74803859634538539</v>
      </c>
      <c r="DI80" s="203">
        <f>SUM(DE80:DH80)</f>
        <v>3.0850035181615199</v>
      </c>
      <c r="DP80" s="222"/>
    </row>
    <row r="81" spans="1:120" ht="11.25" hidden="1" customHeight="1" outlineLevel="1">
      <c r="A81" s="263"/>
      <c r="B81" s="190"/>
      <c r="C81" s="191"/>
      <c r="D81" s="190"/>
      <c r="E81" s="191"/>
      <c r="F81" s="190"/>
      <c r="G81" s="191"/>
      <c r="H81" s="190"/>
      <c r="I81" s="191"/>
      <c r="J81" s="190"/>
      <c r="K81" s="191"/>
      <c r="L81" s="190"/>
      <c r="M81" s="191"/>
      <c r="N81" s="190"/>
      <c r="O81" s="191"/>
      <c r="P81" s="190"/>
      <c r="Q81" s="191"/>
      <c r="R81" s="190"/>
      <c r="S81" s="336"/>
      <c r="T81" s="190"/>
      <c r="U81" s="190"/>
      <c r="V81" s="190"/>
      <c r="W81" s="191"/>
      <c r="X81" s="190"/>
      <c r="Y81" s="336"/>
      <c r="Z81" s="190"/>
      <c r="AA81" s="190"/>
      <c r="AB81" s="190"/>
      <c r="AC81" s="191"/>
      <c r="AD81" s="190"/>
      <c r="AE81" s="336"/>
      <c r="AF81" s="190"/>
      <c r="AG81" s="190"/>
      <c r="AH81" s="190"/>
      <c r="AI81" s="191"/>
      <c r="AJ81" s="190"/>
      <c r="AK81" s="336"/>
      <c r="AL81" s="190"/>
      <c r="AM81" s="190"/>
      <c r="AN81" s="190"/>
      <c r="AO81" s="191"/>
      <c r="AP81" s="190"/>
      <c r="AQ81" s="336"/>
      <c r="AR81" s="190"/>
      <c r="AS81" s="190"/>
      <c r="AT81" s="190"/>
      <c r="AU81" s="191"/>
      <c r="AV81" s="190"/>
      <c r="AW81" s="336"/>
      <c r="AX81" s="190"/>
      <c r="AY81" s="190"/>
      <c r="AZ81" s="190"/>
      <c r="BA81" s="191"/>
      <c r="BB81" s="190"/>
      <c r="BC81" s="336"/>
      <c r="BD81" s="190"/>
      <c r="BE81" s="190"/>
      <c r="BF81" s="190"/>
      <c r="BG81" s="191"/>
      <c r="BH81" s="190"/>
      <c r="BI81" s="336"/>
      <c r="BJ81" s="190"/>
      <c r="BK81" s="190"/>
      <c r="BL81" s="190"/>
      <c r="BM81" s="191"/>
      <c r="BN81" s="190"/>
      <c r="BO81" s="336"/>
      <c r="BP81" s="190"/>
      <c r="BQ81" s="190"/>
      <c r="BR81" s="190"/>
      <c r="BS81" s="191"/>
      <c r="BT81" s="190"/>
      <c r="BU81" s="336"/>
      <c r="BV81" s="190"/>
      <c r="BW81" s="190"/>
      <c r="BX81" s="190"/>
      <c r="BY81" s="191"/>
      <c r="BZ81" s="190"/>
      <c r="CA81" s="336"/>
      <c r="CB81" s="190"/>
      <c r="CC81" s="190"/>
      <c r="CD81" s="190"/>
      <c r="CE81" s="191"/>
      <c r="CF81" s="190"/>
      <c r="CG81" s="336"/>
      <c r="CH81" s="190"/>
      <c r="CI81" s="190"/>
      <c r="CJ81" s="190"/>
      <c r="CK81" s="191"/>
      <c r="CL81" s="190"/>
      <c r="CM81" s="336"/>
      <c r="CN81" s="190"/>
      <c r="CO81" s="190"/>
      <c r="CP81" s="190"/>
      <c r="CQ81" s="191"/>
      <c r="CR81" s="190"/>
      <c r="CS81" s="336"/>
      <c r="CT81" s="190"/>
      <c r="CU81" s="190"/>
      <c r="CV81" s="190"/>
      <c r="CW81" s="191"/>
      <c r="CX81" s="190"/>
      <c r="CY81" s="336"/>
      <c r="CZ81" s="190"/>
      <c r="DA81" s="190"/>
      <c r="DB81" s="190"/>
      <c r="DC81" s="191"/>
      <c r="DD81" s="190"/>
      <c r="DE81" s="336"/>
      <c r="DF81" s="190"/>
      <c r="DG81" s="190"/>
      <c r="DH81" s="190"/>
      <c r="DI81" s="191"/>
      <c r="DP81" s="70"/>
    </row>
    <row r="82" spans="1:120" ht="11.25" hidden="1" customHeight="1" outlineLevel="1">
      <c r="A82" s="273" t="s">
        <v>199</v>
      </c>
      <c r="B82" s="190"/>
      <c r="C82" s="191"/>
      <c r="D82" s="190"/>
      <c r="E82" s="191"/>
      <c r="F82" s="190"/>
      <c r="G82" s="191"/>
      <c r="H82" s="190"/>
      <c r="I82" s="191"/>
      <c r="J82" s="190"/>
      <c r="K82" s="191"/>
      <c r="L82" s="190"/>
      <c r="M82" s="191"/>
      <c r="N82" s="190"/>
      <c r="O82" s="191"/>
      <c r="P82" s="190"/>
      <c r="Q82" s="191"/>
      <c r="R82" s="190"/>
      <c r="S82" s="336"/>
      <c r="T82" s="190"/>
      <c r="U82" s="190"/>
      <c r="V82" s="190"/>
      <c r="W82" s="191"/>
      <c r="X82" s="190"/>
      <c r="Y82" s="336"/>
      <c r="Z82" s="190"/>
      <c r="AA82" s="190"/>
      <c r="AB82" s="190"/>
      <c r="AC82" s="191"/>
      <c r="AD82" s="190"/>
      <c r="AE82" s="336"/>
      <c r="AF82" s="190"/>
      <c r="AG82" s="190"/>
      <c r="AH82" s="190"/>
      <c r="AI82" s="191"/>
      <c r="AJ82" s="190"/>
      <c r="AK82" s="336"/>
      <c r="AL82" s="190"/>
      <c r="AM82" s="190"/>
      <c r="AN82" s="190"/>
      <c r="AO82" s="191"/>
      <c r="AP82" s="190"/>
      <c r="AQ82" s="336"/>
      <c r="AR82" s="190"/>
      <c r="AS82" s="190"/>
      <c r="AT82" s="190"/>
      <c r="AU82" s="191"/>
      <c r="AV82" s="190"/>
      <c r="AW82" s="336"/>
      <c r="AX82" s="190"/>
      <c r="AY82" s="190"/>
      <c r="AZ82" s="190"/>
      <c r="BA82" s="191"/>
      <c r="BB82" s="190"/>
      <c r="BC82" s="336"/>
      <c r="BD82" s="190"/>
      <c r="BE82" s="190"/>
      <c r="BF82" s="190"/>
      <c r="BG82" s="191"/>
      <c r="BH82" s="190"/>
      <c r="BI82" s="336"/>
      <c r="BJ82" s="190"/>
      <c r="BK82" s="190"/>
      <c r="BL82" s="190"/>
      <c r="BM82" s="191"/>
      <c r="BN82" s="190"/>
      <c r="BO82" s="336"/>
      <c r="BP82" s="190"/>
      <c r="BQ82" s="190"/>
      <c r="BR82" s="190"/>
      <c r="BS82" s="191"/>
      <c r="BT82" s="190"/>
      <c r="BU82" s="336"/>
      <c r="BV82" s="190"/>
      <c r="BW82" s="190"/>
      <c r="BX82" s="190"/>
      <c r="BY82" s="191"/>
      <c r="BZ82" s="190"/>
      <c r="CA82" s="336"/>
      <c r="CB82" s="190"/>
      <c r="CC82" s="190"/>
      <c r="CD82" s="190"/>
      <c r="CE82" s="191"/>
      <c r="CF82" s="190"/>
      <c r="CG82" s="336"/>
      <c r="CH82" s="190"/>
      <c r="CI82" s="190"/>
      <c r="CJ82" s="190"/>
      <c r="CK82" s="191"/>
      <c r="CL82" s="190"/>
      <c r="CM82" s="336"/>
      <c r="CN82" s="190"/>
      <c r="CO82" s="190"/>
      <c r="CP82" s="190"/>
      <c r="CQ82" s="191"/>
      <c r="CR82" s="190"/>
      <c r="CS82" s="336"/>
      <c r="CT82" s="190"/>
      <c r="CU82" s="190"/>
      <c r="CV82" s="190"/>
      <c r="CW82" s="191"/>
      <c r="CX82" s="190"/>
      <c r="CY82" s="336"/>
      <c r="CZ82" s="190"/>
      <c r="DA82" s="190"/>
      <c r="DB82" s="190"/>
      <c r="DC82" s="191"/>
      <c r="DD82" s="190"/>
      <c r="DE82" s="336"/>
      <c r="DF82" s="190"/>
      <c r="DG82" s="190"/>
      <c r="DH82" s="190"/>
      <c r="DI82" s="191"/>
      <c r="DP82" s="70"/>
    </row>
    <row r="83" spans="1:120" ht="11.25" hidden="1" customHeight="1" outlineLevel="1">
      <c r="A83" s="77" t="s">
        <v>200</v>
      </c>
      <c r="B83" s="181"/>
      <c r="C83" s="182"/>
      <c r="D83" s="181"/>
      <c r="E83" s="205">
        <v>0</v>
      </c>
      <c r="F83" s="181"/>
      <c r="G83" s="205">
        <v>0</v>
      </c>
      <c r="H83" s="181"/>
      <c r="I83" s="205">
        <v>0</v>
      </c>
      <c r="J83" s="181"/>
      <c r="K83" s="205">
        <v>0</v>
      </c>
      <c r="L83" s="181"/>
      <c r="M83" s="205">
        <v>0</v>
      </c>
      <c r="N83" s="181"/>
      <c r="O83" s="205">
        <v>0.25</v>
      </c>
      <c r="P83" s="181"/>
      <c r="Q83" s="205">
        <f>0.050808+0.500032+0.0441</f>
        <v>0.59494000000000002</v>
      </c>
      <c r="R83" s="181"/>
      <c r="S83" s="281">
        <v>0</v>
      </c>
      <c r="T83" s="199">
        <v>0</v>
      </c>
      <c r="U83" s="199">
        <v>0</v>
      </c>
      <c r="V83" s="199">
        <v>0</v>
      </c>
      <c r="W83" s="182">
        <f>SUM(S83:V83)</f>
        <v>0</v>
      </c>
      <c r="X83" s="181"/>
      <c r="Y83" s="281">
        <v>0.1</v>
      </c>
      <c r="Z83" s="199">
        <v>0.255</v>
      </c>
      <c r="AA83" s="199">
        <v>0</v>
      </c>
      <c r="AB83" s="665">
        <v>0</v>
      </c>
      <c r="AC83" s="182">
        <f>SUM(Y83:AB83)</f>
        <v>0.35499999999999998</v>
      </c>
      <c r="AD83" s="181"/>
      <c r="AE83" s="281">
        <v>0</v>
      </c>
      <c r="AF83" s="199">
        <v>0</v>
      </c>
      <c r="AG83" s="199">
        <v>0.02</v>
      </c>
      <c r="AH83" s="199">
        <v>1.3390500000000001</v>
      </c>
      <c r="AI83" s="182">
        <f>SUM(AE83:AH83)</f>
        <v>1.3590500000000001</v>
      </c>
      <c r="AJ83" s="181"/>
      <c r="AK83" s="281">
        <v>0.5</v>
      </c>
      <c r="AL83" s="199">
        <v>0.1</v>
      </c>
      <c r="AM83" s="199">
        <v>0.25</v>
      </c>
      <c r="AN83" s="199">
        <f>3570/1000000</f>
        <v>3.5699999999999998E-3</v>
      </c>
      <c r="AO83" s="182">
        <f>SUM(AK83:AN83)</f>
        <v>0.85356999999999994</v>
      </c>
      <c r="AP83" s="181"/>
      <c r="AQ83" s="281">
        <v>0.2</v>
      </c>
      <c r="AR83" s="199">
        <v>0</v>
      </c>
      <c r="AS83" s="199">
        <v>0</v>
      </c>
      <c r="AT83" s="199">
        <v>0</v>
      </c>
      <c r="AU83" s="182">
        <f>SUM(AQ83:AT83)</f>
        <v>0.2</v>
      </c>
      <c r="AV83" s="181"/>
      <c r="AW83" s="281">
        <v>0.01</v>
      </c>
      <c r="AX83" s="199">
        <v>0</v>
      </c>
      <c r="AY83" s="199">
        <v>0</v>
      </c>
      <c r="AZ83" s="199">
        <v>0</v>
      </c>
      <c r="BA83" s="182">
        <f>SUM(AW83:AZ83)</f>
        <v>0.01</v>
      </c>
      <c r="BB83" s="181"/>
      <c r="BC83" s="281">
        <v>0</v>
      </c>
      <c r="BD83" s="199">
        <v>0</v>
      </c>
      <c r="BE83" s="199">
        <v>0</v>
      </c>
      <c r="BF83" s="199">
        <v>0</v>
      </c>
      <c r="BG83" s="182">
        <f>SUM(BC83:BF83)</f>
        <v>0</v>
      </c>
      <c r="BH83" s="105"/>
      <c r="BI83" s="281">
        <v>0</v>
      </c>
      <c r="BJ83" s="199">
        <v>0</v>
      </c>
      <c r="BK83" s="199">
        <v>0</v>
      </c>
      <c r="BL83" s="1351">
        <v>0</v>
      </c>
      <c r="BM83" s="182">
        <f>SUM(BI83:BL83)</f>
        <v>0</v>
      </c>
      <c r="BN83" s="105"/>
      <c r="BO83" s="281">
        <v>0</v>
      </c>
      <c r="BP83" s="199">
        <v>0</v>
      </c>
      <c r="BQ83" s="199">
        <v>0</v>
      </c>
      <c r="BR83" s="199">
        <v>0</v>
      </c>
      <c r="BS83" s="182">
        <f>SUM(BO83:BR83)</f>
        <v>0</v>
      </c>
      <c r="BT83" s="105"/>
      <c r="BU83" s="281">
        <v>0</v>
      </c>
      <c r="BV83" s="1912">
        <f>IF(BV84=0,0,-BV84/BV85)</f>
        <v>0.85146173565887462</v>
      </c>
      <c r="BW83" s="1913">
        <v>0.39500000000000002</v>
      </c>
      <c r="BX83" s="199">
        <f>1.245-SUM(BU83:BW83)</f>
        <v>-1.4617356588746411E-3</v>
      </c>
      <c r="BY83" s="182">
        <f>SUM(BU83:BX83)</f>
        <v>1.2450000000000001</v>
      </c>
      <c r="BZ83" s="105"/>
      <c r="CA83" s="281">
        <v>3.3778579999999998</v>
      </c>
      <c r="CB83" s="1913">
        <v>1.2</v>
      </c>
      <c r="CC83" s="1913">
        <v>1.163751</v>
      </c>
      <c r="CD83" s="140">
        <f>6.47548-SUM(CA83:CC83)</f>
        <v>0.73387099999999972</v>
      </c>
      <c r="CE83" s="182">
        <f>SUM(CA83:CD83)</f>
        <v>6.4754800000000001</v>
      </c>
      <c r="CF83" s="105"/>
      <c r="CG83" s="281">
        <v>0</v>
      </c>
      <c r="CH83" s="1913">
        <f>1.59493-CG83</f>
        <v>1.59493</v>
      </c>
      <c r="CI83" s="1913">
        <v>3.0631330000000001</v>
      </c>
      <c r="CJ83" s="621">
        <f>-CJ84/CJ85</f>
        <v>1.2864750574712653</v>
      </c>
      <c r="CK83" s="182">
        <f>SUM(CG83:CJ83)</f>
        <v>5.9445380574712656</v>
      </c>
      <c r="CL83" s="105"/>
      <c r="CM83" s="284">
        <f>-CM84/CM85</f>
        <v>1.1290322580645162</v>
      </c>
      <c r="CN83" s="105">
        <f>-CN84/CN85</f>
        <v>1.104246932320782</v>
      </c>
      <c r="CO83" s="105">
        <f>-CO84/CO85</f>
        <v>1.0800057118210169</v>
      </c>
      <c r="CP83" s="621">
        <f>-CP84/CP85</f>
        <v>1.0562966519767341</v>
      </c>
      <c r="CQ83" s="182">
        <f>SUM(CM83:CP83)</f>
        <v>4.3695815541830498</v>
      </c>
      <c r="CR83" s="105"/>
      <c r="CS83" s="284">
        <f>-CS84/CS85</f>
        <v>1.3282818048200813</v>
      </c>
      <c r="CT83" s="105">
        <f>-CT84/CT85</f>
        <v>1.2991224101466481</v>
      </c>
      <c r="CU83" s="105">
        <f>-CU84/CU85</f>
        <v>1.2706031434149179</v>
      </c>
      <c r="CV83" s="621">
        <f>-CV84/CV85</f>
        <v>1.2427099520772866</v>
      </c>
      <c r="CW83" s="182">
        <f>SUM(CS83:CV83)</f>
        <v>5.1407173104589337</v>
      </c>
      <c r="CX83" s="105"/>
      <c r="CY83" s="284">
        <f>-CY84/CY85</f>
        <v>1.2154290920777528</v>
      </c>
      <c r="CZ83" s="105">
        <f>-CZ84/CZ85</f>
        <v>1.1887471210796869</v>
      </c>
      <c r="DA83" s="105">
        <f>-DA84/DA85</f>
        <v>1.1626508918422735</v>
      </c>
      <c r="DB83" s="621">
        <f>-DB84/DB85</f>
        <v>1.1371275457423544</v>
      </c>
      <c r="DC83" s="182">
        <f>SUM(CY83:DB83)</f>
        <v>4.7039546507420678</v>
      </c>
      <c r="DD83" s="105"/>
      <c r="DE83" s="284">
        <f>-DE84/DE85</f>
        <v>1.1121645064384882</v>
      </c>
      <c r="DF83" s="105">
        <f>-DF84/DF85</f>
        <v>1.0877494736740994</v>
      </c>
      <c r="DG83" s="105">
        <f>-DG84/DG85</f>
        <v>1.0638704172166644</v>
      </c>
      <c r="DH83" s="621">
        <f>-DH84/DH85</f>
        <v>1.0405155709299512</v>
      </c>
      <c r="DI83" s="182">
        <f>SUM(DE83:DH83)</f>
        <v>4.3042999682592029</v>
      </c>
      <c r="DP83" s="225"/>
    </row>
    <row r="84" spans="1:120" ht="11.25" hidden="1" customHeight="1" outlineLevel="1">
      <c r="A84" s="246" t="s">
        <v>201</v>
      </c>
      <c r="B84" s="202"/>
      <c r="C84" s="203"/>
      <c r="D84" s="202"/>
      <c r="E84" s="274">
        <v>0</v>
      </c>
      <c r="F84" s="202"/>
      <c r="G84" s="274">
        <v>0</v>
      </c>
      <c r="H84" s="202"/>
      <c r="I84" s="274">
        <v>0</v>
      </c>
      <c r="J84" s="202"/>
      <c r="K84" s="274">
        <v>0</v>
      </c>
      <c r="L84" s="202"/>
      <c r="M84" s="274">
        <v>0</v>
      </c>
      <c r="N84" s="202"/>
      <c r="O84" s="274">
        <f>-0.25*3.74</f>
        <v>-0.93500000000000005</v>
      </c>
      <c r="P84" s="202"/>
      <c r="Q84" s="274">
        <f>-((0.050808*3.8)+(0.500032*3.88)+(0.0441*3.24))</f>
        <v>-2.2760785600000002</v>
      </c>
      <c r="R84" s="202"/>
      <c r="S84" s="280">
        <v>0</v>
      </c>
      <c r="T84" s="204">
        <v>0</v>
      </c>
      <c r="U84" s="204">
        <v>0</v>
      </c>
      <c r="V84" s="204">
        <v>0</v>
      </c>
      <c r="W84" s="203">
        <f>SUM(S84:V84)</f>
        <v>0</v>
      </c>
      <c r="X84" s="202"/>
      <c r="Y84" s="283">
        <f>-Y83*Y85</f>
        <v>-0.90200000000000002</v>
      </c>
      <c r="Z84" s="202">
        <f>-Z83*Z85</f>
        <v>-2.2108500000000002</v>
      </c>
      <c r="AA84" s="204">
        <v>0</v>
      </c>
      <c r="AB84" s="666">
        <v>0</v>
      </c>
      <c r="AC84" s="203">
        <f>SUM(Y84:AB84)</f>
        <v>-3.1128500000000003</v>
      </c>
      <c r="AD84" s="202"/>
      <c r="AE84" s="280">
        <v>0</v>
      </c>
      <c r="AF84" s="204">
        <v>0</v>
      </c>
      <c r="AG84" s="202">
        <f>-AG83*AG85</f>
        <v>-0.27300000000000002</v>
      </c>
      <c r="AH84" s="202">
        <f>-AH83*AH85</f>
        <v>-5.9052105000000008</v>
      </c>
      <c r="AI84" s="203">
        <f>SUM(AE84:AH84)</f>
        <v>-6.1782105000000005</v>
      </c>
      <c r="AJ84" s="202"/>
      <c r="AK84" s="283">
        <f>-AK83*AK85</f>
        <v>-2.0249999999999999</v>
      </c>
      <c r="AL84" s="202">
        <f>-AL83*AL85</f>
        <v>-0.72800000000000009</v>
      </c>
      <c r="AM84" s="202">
        <f>-AM83*AM85</f>
        <v>-2.4950000000000001</v>
      </c>
      <c r="AN84" s="202">
        <f>-AN83*AN85</f>
        <v>-3.9983999999999999E-2</v>
      </c>
      <c r="AO84" s="203">
        <f>SUM(AK84:AN84)</f>
        <v>-5.2879839999999998</v>
      </c>
      <c r="AP84" s="202"/>
      <c r="AQ84" s="283">
        <f>-AQ83*AQ85</f>
        <v>-2.8360000000000003</v>
      </c>
      <c r="AR84" s="204">
        <v>0</v>
      </c>
      <c r="AS84" s="204">
        <v>0</v>
      </c>
      <c r="AT84" s="204">
        <v>0</v>
      </c>
      <c r="AU84" s="203">
        <f>SUM(AQ84:AT84)</f>
        <v>-2.8360000000000003</v>
      </c>
      <c r="AV84" s="202"/>
      <c r="AW84" s="283">
        <f>-AW83*AW85</f>
        <v>-0.18590000000000001</v>
      </c>
      <c r="AX84" s="204">
        <v>0</v>
      </c>
      <c r="AY84" s="204">
        <v>0</v>
      </c>
      <c r="AZ84" s="204">
        <v>0</v>
      </c>
      <c r="BA84" s="203">
        <f>SUM(AW84:AZ84)</f>
        <v>-0.18590000000000001</v>
      </c>
      <c r="BB84" s="202"/>
      <c r="BC84" s="280">
        <v>0</v>
      </c>
      <c r="BD84" s="204">
        <v>0</v>
      </c>
      <c r="BE84" s="204">
        <v>0</v>
      </c>
      <c r="BF84" s="204">
        <v>0</v>
      </c>
      <c r="BG84" s="203">
        <f>SUM(BC84:BF84)</f>
        <v>0</v>
      </c>
      <c r="BH84" s="202"/>
      <c r="BI84" s="280">
        <v>0</v>
      </c>
      <c r="BJ84" s="204">
        <v>0</v>
      </c>
      <c r="BK84" s="204">
        <v>0</v>
      </c>
      <c r="BL84" s="204">
        <v>0</v>
      </c>
      <c r="BM84" s="203">
        <f>SUM(BI84:BL84)</f>
        <v>0</v>
      </c>
      <c r="BN84" s="202"/>
      <c r="BO84" s="280">
        <v>0</v>
      </c>
      <c r="BP84" s="204">
        <v>0</v>
      </c>
      <c r="BQ84" s="204">
        <v>0</v>
      </c>
      <c r="BR84" s="204">
        <v>0</v>
      </c>
      <c r="BS84" s="203">
        <f>SUM(BO84:BR84)</f>
        <v>0</v>
      </c>
      <c r="BT84" s="202"/>
      <c r="BU84" s="280">
        <v>0</v>
      </c>
      <c r="BV84" s="204">
        <f>-17.2-BU84</f>
        <v>-17.2</v>
      </c>
      <c r="BW84" s="199">
        <f>-24.9-BV84-BU84</f>
        <v>-7.6999999999999993</v>
      </c>
      <c r="BX84" s="204">
        <f>-24.9-SUM(BU84:BW84)</f>
        <v>0</v>
      </c>
      <c r="BY84" s="203">
        <f>SUM(BU84:BX84)</f>
        <v>-24.9</v>
      </c>
      <c r="BZ84" s="202"/>
      <c r="CA84" s="345">
        <v>-83.1</v>
      </c>
      <c r="CB84" s="1842">
        <v>-34.5</v>
      </c>
      <c r="CC84" s="1842">
        <v>-25.9</v>
      </c>
      <c r="CD84" s="204">
        <f>-160-SUM(CA84:CC84)</f>
        <v>-16.5</v>
      </c>
      <c r="CE84" s="203">
        <f>SUM(CA84:CD84)</f>
        <v>-160</v>
      </c>
      <c r="CF84" s="202"/>
      <c r="CG84" s="298">
        <f>CG42</f>
        <v>0</v>
      </c>
      <c r="CH84" s="1842">
        <f>-43.9-CG84</f>
        <v>-43.9</v>
      </c>
      <c r="CI84" s="1842">
        <v>-87.9</v>
      </c>
      <c r="CJ84" s="1858">
        <v>-28.125</v>
      </c>
      <c r="CK84" s="203">
        <f>SUM(CG84:CJ84)</f>
        <v>-159.92500000000001</v>
      </c>
      <c r="CL84" s="202"/>
      <c r="CM84" s="609">
        <v>-35</v>
      </c>
      <c r="CN84" s="607">
        <v>-35</v>
      </c>
      <c r="CO84" s="607">
        <v>-35</v>
      </c>
      <c r="CP84" s="1858">
        <v>-35</v>
      </c>
      <c r="CQ84" s="203">
        <f>SUM(CM84:CP84)</f>
        <v>-140</v>
      </c>
      <c r="CR84" s="202"/>
      <c r="CS84" s="609">
        <v>-45</v>
      </c>
      <c r="CT84" s="607">
        <v>-45</v>
      </c>
      <c r="CU84" s="607">
        <v>-45</v>
      </c>
      <c r="CV84" s="1858">
        <v>-45</v>
      </c>
      <c r="CW84" s="203">
        <f>SUM(CS84:CV84)</f>
        <v>-180</v>
      </c>
      <c r="CX84" s="202"/>
      <c r="CY84" s="609">
        <v>-45</v>
      </c>
      <c r="CZ84" s="607">
        <v>-45</v>
      </c>
      <c r="DA84" s="607">
        <v>-45</v>
      </c>
      <c r="DB84" s="1858">
        <v>-45</v>
      </c>
      <c r="DC84" s="203">
        <f>SUM(CY84:DB84)</f>
        <v>-180</v>
      </c>
      <c r="DD84" s="202"/>
      <c r="DE84" s="609">
        <v>-45</v>
      </c>
      <c r="DF84" s="607">
        <v>-45</v>
      </c>
      <c r="DG84" s="607">
        <v>-45</v>
      </c>
      <c r="DH84" s="1858">
        <v>-45</v>
      </c>
      <c r="DI84" s="203">
        <f>SUM(DE84:DH84)</f>
        <v>-180</v>
      </c>
      <c r="DP84" s="222"/>
    </row>
    <row r="85" spans="1:120" ht="11.25" hidden="1" customHeight="1" outlineLevel="1">
      <c r="A85" s="249" t="s">
        <v>202</v>
      </c>
      <c r="B85" s="275"/>
      <c r="C85" s="276"/>
      <c r="D85" s="275"/>
      <c r="E85" s="503" t="s">
        <v>270</v>
      </c>
      <c r="F85" s="275"/>
      <c r="G85" s="503" t="s">
        <v>270</v>
      </c>
      <c r="H85" s="275"/>
      <c r="I85" s="503" t="s">
        <v>270</v>
      </c>
      <c r="J85" s="275"/>
      <c r="K85" s="503" t="s">
        <v>270</v>
      </c>
      <c r="L85" s="275"/>
      <c r="M85" s="503" t="s">
        <v>270</v>
      </c>
      <c r="N85" s="275"/>
      <c r="O85" s="276">
        <f>-O84/O83</f>
        <v>3.74</v>
      </c>
      <c r="P85" s="275"/>
      <c r="Q85" s="276">
        <f>-Q84/Q83</f>
        <v>3.825727905334992</v>
      </c>
      <c r="R85" s="275"/>
      <c r="S85" s="501" t="s">
        <v>270</v>
      </c>
      <c r="T85" s="502" t="s">
        <v>270</v>
      </c>
      <c r="U85" s="502" t="s">
        <v>270</v>
      </c>
      <c r="V85" s="502" t="s">
        <v>270</v>
      </c>
      <c r="W85" s="276" t="s">
        <v>270</v>
      </c>
      <c r="X85" s="275"/>
      <c r="Y85" s="501">
        <v>9.02</v>
      </c>
      <c r="Z85" s="502">
        <v>8.67</v>
      </c>
      <c r="AA85" s="502" t="s">
        <v>270</v>
      </c>
      <c r="AB85" s="667" t="s">
        <v>270</v>
      </c>
      <c r="AC85" s="276">
        <f>-AC84/AC83</f>
        <v>8.7685915492957758</v>
      </c>
      <c r="AD85" s="275"/>
      <c r="AE85" s="501" t="s">
        <v>270</v>
      </c>
      <c r="AF85" s="502" t="s">
        <v>270</v>
      </c>
      <c r="AG85" s="502">
        <v>13.65</v>
      </c>
      <c r="AH85" s="502">
        <v>4.41</v>
      </c>
      <c r="AI85" s="276">
        <f>-AI84/AI83</f>
        <v>4.5459773371104815</v>
      </c>
      <c r="AJ85" s="275"/>
      <c r="AK85" s="501">
        <v>4.05</v>
      </c>
      <c r="AL85" s="502">
        <v>7.28</v>
      </c>
      <c r="AM85" s="502">
        <v>9.98</v>
      </c>
      <c r="AN85" s="502">
        <v>11.2</v>
      </c>
      <c r="AO85" s="276">
        <f>-AO84/AO83</f>
        <v>6.195138067176682</v>
      </c>
      <c r="AP85" s="275"/>
      <c r="AQ85" s="501">
        <v>14.18</v>
      </c>
      <c r="AR85" s="502" t="s">
        <v>270</v>
      </c>
      <c r="AS85" s="502" t="s">
        <v>270</v>
      </c>
      <c r="AT85" s="502" t="s">
        <v>270</v>
      </c>
      <c r="AU85" s="276">
        <f>-AU84/AU83</f>
        <v>14.180000000000001</v>
      </c>
      <c r="AV85" s="275"/>
      <c r="AW85" s="501">
        <v>18.59</v>
      </c>
      <c r="AX85" s="502" t="s">
        <v>270</v>
      </c>
      <c r="AY85" s="502" t="s">
        <v>270</v>
      </c>
      <c r="AZ85" s="502" t="s">
        <v>270</v>
      </c>
      <c r="BA85" s="276">
        <f>-BA84/BA83</f>
        <v>18.59</v>
      </c>
      <c r="BB85" s="275"/>
      <c r="BC85" s="501" t="s">
        <v>270</v>
      </c>
      <c r="BD85" s="502" t="s">
        <v>270</v>
      </c>
      <c r="BE85" s="502" t="s">
        <v>270</v>
      </c>
      <c r="BF85" s="502" t="s">
        <v>270</v>
      </c>
      <c r="BG85" s="622" t="str">
        <f>IF(ISERROR(BG84/BG83),"NM",(BG84/BG83))</f>
        <v>NM</v>
      </c>
      <c r="BH85" s="275"/>
      <c r="BI85" s="501" t="s">
        <v>270</v>
      </c>
      <c r="BJ85" s="502" t="s">
        <v>270</v>
      </c>
      <c r="BK85" s="502" t="s">
        <v>270</v>
      </c>
      <c r="BL85" s="502" t="s">
        <v>270</v>
      </c>
      <c r="BM85" s="622" t="str">
        <f>IF(ISERROR(BM84/BM83),"NM",(BM84/BM83))</f>
        <v>NM</v>
      </c>
      <c r="BN85" s="275"/>
      <c r="BO85" s="501" t="s">
        <v>270</v>
      </c>
      <c r="BP85" s="502" t="s">
        <v>270</v>
      </c>
      <c r="BQ85" s="502" t="s">
        <v>270</v>
      </c>
      <c r="BR85" s="502" t="s">
        <v>270</v>
      </c>
      <c r="BS85" s="622" t="str">
        <f>IF(ISERROR(BS84/BS83),"NM",(BS84/BS83))</f>
        <v>NM</v>
      </c>
      <c r="BT85" s="275"/>
      <c r="BU85" s="501" t="s">
        <v>270</v>
      </c>
      <c r="BV85" s="275">
        <f>BV65</f>
        <v>20.200555444444447</v>
      </c>
      <c r="BW85" s="275">
        <f>-BW84/BW83</f>
        <v>19.493670886075947</v>
      </c>
      <c r="BX85" s="502" t="s">
        <v>270</v>
      </c>
      <c r="BY85" s="1857">
        <f>IF(ISERROR(BY84/BY83),"NM",(BY84/BY83))</f>
        <v>-19.999999999999996</v>
      </c>
      <c r="BZ85" s="275"/>
      <c r="CA85" s="494">
        <f>-CA84/CA83</f>
        <v>24.601389401212248</v>
      </c>
      <c r="CB85" s="275">
        <f>-CB84/CB83</f>
        <v>28.75</v>
      </c>
      <c r="CC85" s="275">
        <f>-CC84/CC83</f>
        <v>22.255619973688528</v>
      </c>
      <c r="CD85" s="2039">
        <f>-CD84/CD83</f>
        <v>22.483515495230098</v>
      </c>
      <c r="CE85" s="1857">
        <f>IF(ISERROR(CE84/CE83),"NM",(CE84/CE83))</f>
        <v>-24.708593030941334</v>
      </c>
      <c r="CF85" s="275"/>
      <c r="CG85" s="494">
        <f>CG65</f>
        <v>23.487177419354829</v>
      </c>
      <c r="CH85" s="275">
        <f>-CH84/CH83</f>
        <v>27.524718953182898</v>
      </c>
      <c r="CI85" s="275">
        <f>-CI84/CI83</f>
        <v>28.696109506182069</v>
      </c>
      <c r="CJ85" s="1859">
        <f>CJ65</f>
        <v>21.862063968253967</v>
      </c>
      <c r="CK85" s="1857">
        <f>-CK84/CK83</f>
        <v>26.902847362378594</v>
      </c>
      <c r="CL85" s="275"/>
      <c r="CM85" s="494">
        <f>CM65</f>
        <v>31</v>
      </c>
      <c r="CN85" s="275">
        <f>CN65</f>
        <v>31.695809130699541</v>
      </c>
      <c r="CO85" s="275">
        <f>CO65</f>
        <v>32.407236014507625</v>
      </c>
      <c r="CP85" s="1859">
        <f>CP65</f>
        <v>33.1346311990118</v>
      </c>
      <c r="CQ85" s="1857">
        <f>-CQ84/CQ83</f>
        <v>32.039681206081717</v>
      </c>
      <c r="CR85" s="275"/>
      <c r="CS85" s="494">
        <f>CS65</f>
        <v>33.878353100000005</v>
      </c>
      <c r="CT85" s="275">
        <f>CT65</f>
        <v>34.638768178065909</v>
      </c>
      <c r="CU85" s="275">
        <f>CU65</f>
        <v>35.416251119178263</v>
      </c>
      <c r="CV85" s="1859">
        <f>CV65</f>
        <v>36.211185019303166</v>
      </c>
      <c r="CW85" s="1857">
        <f>-CW84/CW83</f>
        <v>35.014568810034532</v>
      </c>
      <c r="CX85" s="275"/>
      <c r="CY85" s="494">
        <f>CY65</f>
        <v>37.023961573170311</v>
      </c>
      <c r="CZ85" s="275">
        <f>CZ65</f>
        <v>37.854981267276145</v>
      </c>
      <c r="DA85" s="275">
        <f>DA65</f>
        <v>38.704653577219077</v>
      </c>
      <c r="DB85" s="1859">
        <f>DB65</f>
        <v>39.573397169463973</v>
      </c>
      <c r="DC85" s="1857">
        <f>-DC84/DC83</f>
        <v>38.265675025503121</v>
      </c>
      <c r="DD85" s="275"/>
      <c r="DE85" s="494">
        <f>DE65</f>
        <v>40.46164010763534</v>
      </c>
      <c r="DF85" s="275">
        <f>DF65</f>
        <v>41.369820063440869</v>
      </c>
      <c r="DG85" s="275">
        <f>DG65</f>
        <v>42.29838453232923</v>
      </c>
      <c r="DH85" s="1859">
        <f>DH65</f>
        <v>43.247791053988422</v>
      </c>
      <c r="DI85" s="1857">
        <f>-DI84/DI83</f>
        <v>41.818646778188601</v>
      </c>
      <c r="DP85" s="254"/>
    </row>
    <row r="86" spans="1:120" ht="11.25" hidden="1" customHeight="1" outlineLevel="1">
      <c r="A86" s="277" t="s">
        <v>203</v>
      </c>
      <c r="B86" s="208"/>
      <c r="C86" s="209"/>
      <c r="D86" s="208"/>
      <c r="E86" s="136" t="str">
        <f>IF(ISERROR(E85/C85-1),"NM",E85/C85-1)</f>
        <v>NM</v>
      </c>
      <c r="F86" s="208"/>
      <c r="G86" s="136" t="str">
        <f>IF(ISERROR(G85/E85-1),"NM",G85/E85-1)</f>
        <v>NM</v>
      </c>
      <c r="H86" s="208"/>
      <c r="I86" s="136" t="str">
        <f>IF(ISERROR(I85/G85-1),"NM",I85/G85-1)</f>
        <v>NM</v>
      </c>
      <c r="J86" s="208"/>
      <c r="K86" s="136" t="str">
        <f>IF(ISERROR(K85/I85-1),"NM",K85/I85-1)</f>
        <v>NM</v>
      </c>
      <c r="L86" s="208"/>
      <c r="M86" s="136" t="str">
        <f>IF(ISERROR(M85/K85-1),"NM",M85/K85-1)</f>
        <v>NM</v>
      </c>
      <c r="N86" s="208"/>
      <c r="O86" s="136" t="str">
        <f>IF(ISERROR(O85/M85-1),"NM",O85/M85-1)</f>
        <v>NM</v>
      </c>
      <c r="P86" s="208"/>
      <c r="Q86" s="136">
        <f>Q85/O85-1</f>
        <v>2.2921899822190284E-2</v>
      </c>
      <c r="R86" s="208"/>
      <c r="S86" s="348"/>
      <c r="T86" s="135"/>
      <c r="U86" s="135"/>
      <c r="V86" s="135"/>
      <c r="W86" s="136" t="str">
        <f>IF(ISERROR(IF(ISERROR(W85/Q85-1),"NM",W85/Q85-1)),"NM",IF(ISERROR(W85/Q85-1),"NM",W85/Q85-1))</f>
        <v>NM</v>
      </c>
      <c r="X86" s="208"/>
      <c r="Y86" s="348" t="str">
        <f>IF(ISERROR(IF(ISERROR(Y85/S85-1),"NM",Y85/S85-1)),"NM",IF(ISERROR(Y85/S85-1),"NM",Y85/S85-1))</f>
        <v>NM</v>
      </c>
      <c r="Z86" s="135" t="str">
        <f>IF(ISERROR(IF(ISERROR(Z85/T85-1),"NM",Z85/T85-1)),"NM",IF(ISERROR(Z85/T85-1),"NM",Z85/T85-1))</f>
        <v>NM</v>
      </c>
      <c r="AA86" s="135" t="str">
        <f>IF(ISERROR(AA85/U85-1),"NM",AA85/U85-1)</f>
        <v>NM</v>
      </c>
      <c r="AB86" s="135" t="str">
        <f>IF(ISERROR(AB85/V85-1),"NM",AB85/V85-1)</f>
        <v>NM</v>
      </c>
      <c r="AC86" s="136" t="str">
        <f>IF(ISERROR(IF(ISERROR(AC85/W85-1),"NM",AC85/W85-1)),"NM",IF(ISERROR(AC85/W85-1),"NM",AC85/W85-1))</f>
        <v>NM</v>
      </c>
      <c r="AD86" s="208"/>
      <c r="AE86" s="348" t="str">
        <f>IF(ISERROR(IF(ISERROR(AE85/Y85-1),"NM",AE85/Y85-1)),"NM",IF(ISERROR(AE85/Y85-1),"NM",AE85/Y85-1))</f>
        <v>NM</v>
      </c>
      <c r="AF86" s="135" t="str">
        <f>IF(ISERROR(IF(ISERROR(AF85/Z85-1),"NM",AF85/Z85-1)),"NM",IF(ISERROR(AF85/Z85-1),"NM",AF85/Z85-1))</f>
        <v>NM</v>
      </c>
      <c r="AG86" s="135" t="str">
        <f>IF(ISERROR(AG85/AA85-1),"NM",AG85/AA85-1)</f>
        <v>NM</v>
      </c>
      <c r="AH86" s="135" t="str">
        <f>IF(ISERROR(AH85/AB85-1),"NM",AH85/AB85-1)</f>
        <v>NM</v>
      </c>
      <c r="AI86" s="136">
        <f>IF(ISERROR(IF(ISERROR(AI85/AC85-1),"NM",AI85/AC85-1)),"NM",IF(ISERROR(AI85/AC85-1),"NM",AI85/AC85-1))</f>
        <v>-0.48156128477947191</v>
      </c>
      <c r="AJ86" s="208"/>
      <c r="AK86" s="348" t="str">
        <f>IF(ISERROR(IF(ISERROR(AK85/AE85-1),"NM",AK85/AE85-1)),"NM",IF(ISERROR(AK85/AE85-1),"NM",AK85/AE85-1))</f>
        <v>NM</v>
      </c>
      <c r="AL86" s="135" t="str">
        <f>IF(ISERROR(IF(ISERROR(AL85/AF85-1),"NM",AL85/AF85-1)),"NM",IF(ISERROR(AL85/AF85-1),"NM",AL85/AF85-1))</f>
        <v>NM</v>
      </c>
      <c r="AM86" s="135">
        <f>IF(ISERROR(AM85/AG85-1),"NM",AM85/AG85-1)</f>
        <v>-0.2688644688644688</v>
      </c>
      <c r="AN86" s="135">
        <f>IF(ISERROR(AN85/AH85-1),"NM",AN85/AH85-1)</f>
        <v>1.5396825396825395</v>
      </c>
      <c r="AO86" s="136">
        <f>IF(ISERROR(IF(ISERROR(AO85/AI85-1),"NM",AO85/AI85-1)),"NM",IF(ISERROR(AO85/AI85-1),"NM",AO85/AI85-1))</f>
        <v>0.36277363650792904</v>
      </c>
      <c r="AP86" s="208"/>
      <c r="AQ86" s="348">
        <f>IF(ISERROR(IF(ISERROR(AQ85/AK85-1),"NM",AQ85/AK85-1)),"NM",IF(ISERROR(AQ85/AK85-1),"NM",AQ85/AK85-1))</f>
        <v>2.5012345679012347</v>
      </c>
      <c r="AR86" s="135" t="str">
        <f>IF(ISERROR(IF(ISERROR(AR85/AL85-1),"NM",AR85/AL85-1)),"NM",IF(ISERROR(AR85/AL85-1),"NM",AR85/AL85-1))</f>
        <v>NM</v>
      </c>
      <c r="AS86" s="135" t="str">
        <f>IF(ISERROR(AS85/AM85-1),"NM",AS85/AM85-1)</f>
        <v>NM</v>
      </c>
      <c r="AT86" s="135" t="str">
        <f>IF(ISERROR(AT85/AN85-1),"NM",AT85/AN85-1)</f>
        <v>NM</v>
      </c>
      <c r="AU86" s="136">
        <f>IF(ISERROR(IF(ISERROR(AU85/AO85-1),"NM",AU85/AO85-1)),"NM",IF(ISERROR(AU85/AO85-1),"NM",AU85/AO85-1))</f>
        <v>1.2888916834846702</v>
      </c>
      <c r="AV86" s="208"/>
      <c r="AW86" s="348">
        <f>IF(ISERROR(IF(ISERROR(AW85/AQ85-1),"NM",AW85/AQ85-1)),"NM",IF(ISERROR(AW85/AQ85-1),"NM",AW85/AQ85-1))</f>
        <v>0.31100141043723561</v>
      </c>
      <c r="AX86" s="135" t="str">
        <f>IF(ISERROR(IF(ISERROR(AX85/AR85-1),"NM",AX85/AR85-1)),"NM",IF(ISERROR(AX85/AR85-1),"NM",AX85/AR85-1))</f>
        <v>NM</v>
      </c>
      <c r="AY86" s="135" t="str">
        <f>IF(ISERROR(AY85/AS85-1),"NM",AY85/AS85-1)</f>
        <v>NM</v>
      </c>
      <c r="AZ86" s="135" t="str">
        <f>IF(ISERROR(AZ85/AT85-1),"NM",AZ85/AT85-1)</f>
        <v>NM</v>
      </c>
      <c r="BA86" s="136">
        <f>IF(ISERROR(IF(ISERROR(BA85/AU85-1),"NM",BA85/AU85-1)),"NM",IF(ISERROR(BA85/AU85-1),"NM",BA85/AU85-1))</f>
        <v>0.31100141043723539</v>
      </c>
      <c r="BB86" s="208"/>
      <c r="BC86" s="348" t="str">
        <f>IF(ISERROR(BC85/AW85-1),"NM",BC85/AW85-1)</f>
        <v>NM</v>
      </c>
      <c r="BD86" s="135" t="str">
        <f>IF(ISERROR(BD85/AX85-1),"NM",BD85/AX85-1)</f>
        <v>NM</v>
      </c>
      <c r="BE86" s="135" t="str">
        <f>IF(ISERROR(BE85/AY85-1),"NM",BE85/AY85-1)</f>
        <v>NM</v>
      </c>
      <c r="BF86" s="135" t="str">
        <f>IF(ISERROR(BF85/AZ85-1),"NM",BF85/AZ85-1)</f>
        <v>NM</v>
      </c>
      <c r="BG86" s="136" t="str">
        <f>IF(ISERROR(BG85/BA85-1),"NM",BG85/BA85-1)</f>
        <v>NM</v>
      </c>
      <c r="BH86" s="208"/>
      <c r="BI86" s="348" t="str">
        <f>IF(ISERROR(BI85/BC85-1),"NM",BI85/BC85-1)</f>
        <v>NM</v>
      </c>
      <c r="BJ86" s="135" t="str">
        <f>IF(ISERROR(BJ85/BD85-1),"NM",BJ85/BD85-1)</f>
        <v>NM</v>
      </c>
      <c r="BK86" s="135" t="str">
        <f>IF(ISERROR(BK85/BE85-1),"NM",BK85/BE85-1)</f>
        <v>NM</v>
      </c>
      <c r="BL86" s="135" t="str">
        <f>IF(ISERROR(BL85/BF85-1),"NM",BL85/BF85-1)</f>
        <v>NM</v>
      </c>
      <c r="BM86" s="136" t="str">
        <f>IF(ISERROR(BM85/BG85-1),"NM",BM85/BG85-1)</f>
        <v>NM</v>
      </c>
      <c r="BN86" s="208"/>
      <c r="BO86" s="348" t="str">
        <f>IF(ISERROR(BO85/BI85-1),"NM",BO85/BI85-1)</f>
        <v>NM</v>
      </c>
      <c r="BP86" s="135" t="str">
        <f>IF(ISERROR(BP85/BJ85-1),"NM",BP85/BJ85-1)</f>
        <v>NM</v>
      </c>
      <c r="BQ86" s="135" t="str">
        <f>IF(ISERROR(BQ85/BK85-1),"NM",BQ85/BK85-1)</f>
        <v>NM</v>
      </c>
      <c r="BR86" s="135" t="str">
        <f>IF(ISERROR(BR85/BL85-1),"NM",BR85/BL85-1)</f>
        <v>NM</v>
      </c>
      <c r="BS86" s="136" t="str">
        <f>IF(ISERROR(BS85/BM85-1),"NM",BS85/BM85-1)</f>
        <v>NM</v>
      </c>
      <c r="BT86" s="208"/>
      <c r="BU86" s="348" t="str">
        <f>IF(ISERROR(BU85/BO85-1),"NM",BU85/BO85-1)</f>
        <v>NM</v>
      </c>
      <c r="BV86" s="135" t="str">
        <f>IF(ISERROR(BV85/BP85-1),"NM",BV85/BP85-1)</f>
        <v>NM</v>
      </c>
      <c r="BW86" s="135" t="str">
        <f>IF(ISERROR(BW85/BQ85-1),"NM",BW85/BQ85-1)</f>
        <v>NM</v>
      </c>
      <c r="BX86" s="135" t="str">
        <f>IF(ISERROR(BX85/BR85-1),"NM",BX85/BR85-1)</f>
        <v>NM</v>
      </c>
      <c r="BY86" s="136" t="str">
        <f>IF(ISERROR(BY85/BS85-1),"NM",BY85/BS85-1)</f>
        <v>NM</v>
      </c>
      <c r="BZ86" s="208"/>
      <c r="CA86" s="348" t="str">
        <f>IF(ISERROR(CA85/BU85-1),"NM",CA85/BU85-1)</f>
        <v>NM</v>
      </c>
      <c r="CB86" s="135">
        <f>IF(ISERROR(CB85/BV85-1),"NM",CB85/BV85-1)</f>
        <v>0.4232281918716656</v>
      </c>
      <c r="CC86" s="135">
        <f>IF(ISERROR(CC85/BW85-1),"NM",CC85/BW85-1)</f>
        <v>0.14168440124765835</v>
      </c>
      <c r="CD86" s="135" t="str">
        <f>IF(ISERROR(CD85/BX85-1),"NM",CD85/BX85-1)</f>
        <v>NM</v>
      </c>
      <c r="CE86" s="136">
        <f>IF(ISERROR(CE85/BY85-1),"NM",CE85/BY85-1)</f>
        <v>0.23542965154706685</v>
      </c>
      <c r="CF86" s="208"/>
      <c r="CG86" s="348">
        <f>IF(ISERROR(CG85/CA85-1),"NM",CG85/CA85-1)</f>
        <v>-4.5290611992935492E-2</v>
      </c>
      <c r="CH86" s="135">
        <f>IF(ISERROR(CH85/CB85-1),"NM",CH85/CB85-1)</f>
        <v>-4.2618471193638374E-2</v>
      </c>
      <c r="CI86" s="135">
        <f>IF(ISERROR(CI85/CC85-1),"NM",CI85/CC85-1)</f>
        <v>0.28938710941810397</v>
      </c>
      <c r="CJ86" s="135">
        <f>IF(ISERROR(CJ85/CD85-1),"NM",CJ85/CD85-1)</f>
        <v>-2.764031839718184E-2</v>
      </c>
      <c r="CK86" s="136">
        <f>IF(ISERROR(CK85/CE85-1),"NM",CK85/CE85-1)</f>
        <v>-2.0888053127383461</v>
      </c>
      <c r="CL86" s="208"/>
      <c r="CM86" s="348">
        <f>IF(ISERROR(CM85/CG85-1),"NM",CM85/CG85-1)</f>
        <v>0.31986911183521616</v>
      </c>
      <c r="CN86" s="135">
        <f>IF(ISERROR(CN85/CH85-1),"NM",CN85/CH85-1)</f>
        <v>0.15153979172725784</v>
      </c>
      <c r="CO86" s="135">
        <f>IF(ISERROR(CO85/CI85-1),"NM",CO85/CI85-1)</f>
        <v>0.12932507479893962</v>
      </c>
      <c r="CP86" s="135">
        <f>IF(ISERROR(CP85/CJ85-1),"NM",CP85/CJ85-1)</f>
        <v>0.51562227825912488</v>
      </c>
      <c r="CQ86" s="136">
        <f>IF(ISERROR(CQ85/CK85-1),"NM",CQ85/CK85-1)</f>
        <v>0.19094015494012573</v>
      </c>
      <c r="CR86" s="208"/>
      <c r="CS86" s="348">
        <f>IF(ISERROR(CS85/CM85-1),"NM",CS85/CM85-1)</f>
        <v>9.2850100000000158E-2</v>
      </c>
      <c r="CT86" s="135">
        <f>IF(ISERROR(CT85/CN85-1),"NM",CT85/CN85-1)</f>
        <v>9.2850100000000158E-2</v>
      </c>
      <c r="CU86" s="135">
        <f>IF(ISERROR(CU85/CO85-1),"NM",CU85/CO85-1)</f>
        <v>9.2850100000000158E-2</v>
      </c>
      <c r="CV86" s="135">
        <f>IF(ISERROR(CV85/CP85-1),"NM",CV85/CP85-1)</f>
        <v>9.2850099999999935E-2</v>
      </c>
      <c r="CW86" s="136">
        <f>IF(ISERROR(CW85/CQ85-1),"NM",CW85/CQ85-1)</f>
        <v>9.2850100000000158E-2</v>
      </c>
      <c r="CX86" s="208"/>
      <c r="CY86" s="348">
        <f>IF(ISERROR(CY85/CS85-1),"NM",CY85/CS85-1)</f>
        <v>9.2850099999999935E-2</v>
      </c>
      <c r="CZ86" s="135">
        <f>IF(ISERROR(CZ85/CT85-1),"NM",CZ85/CT85-1)</f>
        <v>9.2850099999999935E-2</v>
      </c>
      <c r="DA86" s="135">
        <f>IF(ISERROR(DA85/CU85-1),"NM",DA85/CU85-1)</f>
        <v>9.2850099999999935E-2</v>
      </c>
      <c r="DB86" s="135">
        <f>IF(ISERROR(DB85/CV85-1),"NM",DB85/CV85-1)</f>
        <v>9.2850100000000158E-2</v>
      </c>
      <c r="DC86" s="136">
        <f>IF(ISERROR(DC85/CW85-1),"NM",DC85/CW85-1)</f>
        <v>9.2850099999999935E-2</v>
      </c>
      <c r="DD86" s="208"/>
      <c r="DE86" s="348">
        <f>IF(ISERROR(DE85/CY85-1),"NM",DE85/CY85-1)</f>
        <v>9.2850100000000158E-2</v>
      </c>
      <c r="DF86" s="135">
        <f>IF(ISERROR(DF85/CZ85-1),"NM",DF85/CZ85-1)</f>
        <v>9.2850100000000158E-2</v>
      </c>
      <c r="DG86" s="135">
        <f>IF(ISERROR(DG85/DA85-1),"NM",DG85/DA85-1)</f>
        <v>9.2850100000000158E-2</v>
      </c>
      <c r="DH86" s="135">
        <f>IF(ISERROR(DH85/DB85-1),"NM",DH85/DB85-1)</f>
        <v>9.2850099999999935E-2</v>
      </c>
      <c r="DI86" s="136">
        <f>IF(ISERROR(DI85/DC85-1),"NM",DI85/DC85-1)</f>
        <v>9.285010000000038E-2</v>
      </c>
      <c r="DP86" s="255"/>
    </row>
    <row r="87" spans="1:120" ht="11.25" customHeight="1" collapsed="1">
      <c r="A87" s="1054"/>
      <c r="B87" s="1055"/>
      <c r="C87" s="1055"/>
      <c r="D87" s="1055"/>
      <c r="E87" s="1055"/>
      <c r="F87" s="1055"/>
      <c r="G87" s="1055"/>
      <c r="H87" s="1055"/>
      <c r="I87" s="1055"/>
      <c r="J87" s="1055"/>
      <c r="K87" s="1055"/>
      <c r="L87" s="1055"/>
      <c r="M87" s="1055"/>
      <c r="N87" s="1055"/>
      <c r="O87" s="1055"/>
      <c r="P87" s="1055"/>
      <c r="Q87" s="1055"/>
      <c r="R87" s="1055"/>
      <c r="S87" s="1055"/>
      <c r="T87" s="1055"/>
      <c r="U87" s="1055"/>
      <c r="V87" s="1055"/>
      <c r="W87" s="1055"/>
      <c r="X87" s="1055"/>
      <c r="Y87" s="1055"/>
      <c r="Z87" s="1055"/>
      <c r="AA87" s="1055"/>
      <c r="AB87" s="1055"/>
      <c r="AC87" s="1055"/>
      <c r="AD87" s="1055"/>
      <c r="AE87" s="1055"/>
      <c r="AF87" s="1055"/>
      <c r="AG87" s="1055"/>
      <c r="AH87" s="1055"/>
      <c r="AI87" s="1055"/>
      <c r="AJ87" s="1055"/>
      <c r="AK87" s="1055"/>
      <c r="AL87" s="1055"/>
      <c r="AM87" s="1055"/>
      <c r="AN87" s="1055"/>
      <c r="AO87" s="1055"/>
      <c r="AP87" s="1055"/>
      <c r="AQ87" s="1055"/>
      <c r="AR87" s="1055"/>
      <c r="AS87" s="1055"/>
      <c r="AT87" s="1055"/>
      <c r="AU87" s="1055"/>
      <c r="AV87" s="1055"/>
      <c r="AW87" s="1055"/>
      <c r="AX87" s="1055"/>
      <c r="AY87" s="1055"/>
      <c r="AZ87" s="1055"/>
      <c r="BA87" s="1055"/>
      <c r="BB87" s="1055"/>
      <c r="BC87" s="1055"/>
      <c r="BD87" s="1055"/>
      <c r="BE87" s="1055"/>
      <c r="BF87" s="1055"/>
      <c r="BG87" s="1055"/>
      <c r="BH87" s="1055"/>
      <c r="BI87" s="1055"/>
      <c r="BJ87" s="1055"/>
      <c r="BK87" s="1055"/>
      <c r="BL87" s="1055"/>
      <c r="BM87" s="1055"/>
      <c r="BN87" s="1055"/>
      <c r="BO87" s="1055"/>
      <c r="BP87" s="1055"/>
      <c r="BQ87" s="1055"/>
      <c r="BR87" s="1055"/>
      <c r="BS87" s="1055"/>
      <c r="BT87" s="1055"/>
      <c r="BU87" s="1055"/>
      <c r="BV87" s="1055"/>
      <c r="BW87" s="1055"/>
      <c r="BX87" s="1055"/>
      <c r="BY87" s="1055"/>
      <c r="BZ87" s="1055"/>
      <c r="CA87" s="1055"/>
      <c r="CB87" s="1055"/>
      <c r="CC87" s="1055"/>
      <c r="CD87" s="1055"/>
      <c r="CE87" s="1055"/>
      <c r="CF87" s="1055"/>
      <c r="CG87" s="1055"/>
      <c r="CH87" s="1055"/>
      <c r="CI87" s="1055"/>
      <c r="CJ87" s="1055"/>
      <c r="CK87" s="1055"/>
      <c r="CL87" s="1055"/>
      <c r="CM87" s="1055"/>
      <c r="CN87" s="1055"/>
      <c r="CO87" s="1055"/>
      <c r="CP87" s="1055"/>
      <c r="CQ87" s="1055"/>
      <c r="CR87" s="70"/>
      <c r="CS87" s="1055"/>
      <c r="CT87" s="1055"/>
      <c r="CU87" s="1055"/>
      <c r="CV87" s="1055"/>
      <c r="CW87" s="1055"/>
      <c r="CX87" s="70"/>
      <c r="CY87" s="1055"/>
      <c r="CZ87" s="1055"/>
      <c r="DA87" s="1055"/>
      <c r="DB87" s="1055"/>
      <c r="DC87" s="1055"/>
      <c r="DD87" s="70"/>
      <c r="DE87" s="1055"/>
      <c r="DF87" s="1055"/>
      <c r="DG87" s="1055"/>
      <c r="DH87" s="1055"/>
      <c r="DI87" s="1055"/>
      <c r="DP87" s="70"/>
    </row>
    <row r="88" spans="1:120" s="278" customFormat="1" ht="11.25" customHeight="1">
      <c r="A88" s="1056" t="s">
        <v>261</v>
      </c>
      <c r="B88" s="1057"/>
      <c r="C88" s="1058">
        <v>35796</v>
      </c>
      <c r="D88" s="1057"/>
      <c r="E88" s="1058">
        <v>36161</v>
      </c>
      <c r="F88" s="1057"/>
      <c r="G88" s="1058">
        <v>36526</v>
      </c>
      <c r="H88" s="1057"/>
      <c r="I88" s="1058">
        <v>36892</v>
      </c>
      <c r="J88" s="1057"/>
      <c r="K88" s="1058">
        <v>37257</v>
      </c>
      <c r="L88" s="1057"/>
      <c r="M88" s="1058">
        <v>37622</v>
      </c>
      <c r="N88" s="1057"/>
      <c r="O88" s="1058">
        <v>37987</v>
      </c>
      <c r="P88" s="1057"/>
      <c r="Q88" s="1058">
        <v>38353</v>
      </c>
      <c r="R88" s="1057"/>
      <c r="S88" s="1058">
        <v>38718</v>
      </c>
      <c r="T88" s="1058">
        <v>38808</v>
      </c>
      <c r="U88" s="1058">
        <v>38899</v>
      </c>
      <c r="V88" s="1058">
        <v>38991</v>
      </c>
      <c r="W88" s="1058">
        <v>38718</v>
      </c>
      <c r="X88" s="1057"/>
      <c r="Y88" s="1058">
        <v>39083</v>
      </c>
      <c r="Z88" s="1058">
        <v>39173</v>
      </c>
      <c r="AA88" s="1058">
        <v>39264</v>
      </c>
      <c r="AB88" s="1058">
        <v>39356</v>
      </c>
      <c r="AC88" s="1058">
        <v>39083</v>
      </c>
      <c r="AD88" s="1057"/>
      <c r="AE88" s="1058">
        <v>39448</v>
      </c>
      <c r="AF88" s="1058">
        <v>39539</v>
      </c>
      <c r="AG88" s="1058">
        <v>39630</v>
      </c>
      <c r="AH88" s="1058">
        <v>39722</v>
      </c>
      <c r="AI88" s="1058">
        <v>39448</v>
      </c>
      <c r="AJ88" s="1057"/>
      <c r="AK88" s="1058">
        <v>39814</v>
      </c>
      <c r="AL88" s="1058">
        <v>39904</v>
      </c>
      <c r="AM88" s="1058">
        <v>39995</v>
      </c>
      <c r="AN88" s="1058">
        <v>40087</v>
      </c>
      <c r="AO88" s="1058">
        <f>AK88</f>
        <v>39814</v>
      </c>
      <c r="AP88" s="1057"/>
      <c r="AQ88" s="1058">
        <v>40179</v>
      </c>
      <c r="AR88" s="1058">
        <v>40269</v>
      </c>
      <c r="AS88" s="1058">
        <v>40360</v>
      </c>
      <c r="AT88" s="1058">
        <v>40452</v>
      </c>
      <c r="AU88" s="1058">
        <f>AQ88</f>
        <v>40179</v>
      </c>
      <c r="AV88" s="1057"/>
      <c r="AW88" s="1058">
        <v>40544</v>
      </c>
      <c r="AX88" s="1058">
        <v>40634</v>
      </c>
      <c r="AY88" s="1058">
        <v>40725</v>
      </c>
      <c r="AZ88" s="1058">
        <v>40817</v>
      </c>
      <c r="BA88" s="1058">
        <f>AW88</f>
        <v>40544</v>
      </c>
      <c r="BB88" s="1057"/>
      <c r="BC88" s="1058">
        <v>40909</v>
      </c>
      <c r="BD88" s="1058">
        <v>41000</v>
      </c>
      <c r="BE88" s="1058">
        <v>41091</v>
      </c>
      <c r="BF88" s="1058">
        <v>41183</v>
      </c>
      <c r="BG88" s="1058">
        <f>+BC88</f>
        <v>40909</v>
      </c>
      <c r="BH88" s="1058"/>
      <c r="BI88" s="1058">
        <v>41275</v>
      </c>
      <c r="BJ88" s="1058">
        <v>41365</v>
      </c>
      <c r="BK88" s="1058">
        <v>41456</v>
      </c>
      <c r="BL88" s="1058">
        <v>41548</v>
      </c>
      <c r="BM88" s="1058">
        <f>+BI88</f>
        <v>41275</v>
      </c>
      <c r="BN88" s="1059"/>
      <c r="BO88" s="1058">
        <f>BM89+1</f>
        <v>41640</v>
      </c>
      <c r="BP88" s="1058">
        <f>BO89+1</f>
        <v>41730</v>
      </c>
      <c r="BQ88" s="1058">
        <f>BP89+1</f>
        <v>41821</v>
      </c>
      <c r="BR88" s="1058">
        <f>BQ89+1</f>
        <v>41913</v>
      </c>
      <c r="BS88" s="1058">
        <f>BO88</f>
        <v>41640</v>
      </c>
      <c r="BT88" s="1059"/>
      <c r="BU88" s="1058">
        <f>BS89+1</f>
        <v>42005</v>
      </c>
      <c r="BV88" s="1058">
        <f>BU89+1</f>
        <v>42095</v>
      </c>
      <c r="BW88" s="1058">
        <f>BV89+1</f>
        <v>42186</v>
      </c>
      <c r="BX88" s="1058">
        <f>BW89+1</f>
        <v>42278</v>
      </c>
      <c r="BY88" s="1059"/>
      <c r="BZ88" s="1059"/>
      <c r="CA88" s="1058">
        <f>BX89+1</f>
        <v>42370</v>
      </c>
      <c r="CB88" s="1058">
        <f>CA89+1</f>
        <v>42461</v>
      </c>
      <c r="CC88" s="1058">
        <f>CB89+1</f>
        <v>42552</v>
      </c>
      <c r="CD88" s="1445">
        <f>CC89+1</f>
        <v>42644</v>
      </c>
      <c r="CE88" s="1059"/>
      <c r="CF88" s="1059"/>
      <c r="CG88" s="1058">
        <f>CD89+1</f>
        <v>42736</v>
      </c>
      <c r="CH88" s="1058">
        <f>CG89+1</f>
        <v>42826</v>
      </c>
      <c r="CI88" s="1058">
        <f>CH89+1</f>
        <v>42917</v>
      </c>
      <c r="CJ88" s="1059"/>
      <c r="CK88" s="1059"/>
      <c r="CL88" s="1059"/>
      <c r="CM88" s="1059"/>
      <c r="CN88" s="1059"/>
      <c r="CO88" s="1059"/>
      <c r="CP88" s="1059"/>
      <c r="CQ88" s="1059"/>
      <c r="CR88" s="1049"/>
      <c r="CS88" s="1059"/>
      <c r="CT88" s="1059"/>
      <c r="CU88" s="1059"/>
      <c r="CV88" s="1059"/>
      <c r="CW88" s="1059"/>
      <c r="CX88" s="1049"/>
      <c r="CY88" s="1059"/>
      <c r="CZ88" s="1059"/>
      <c r="DA88" s="1059"/>
      <c r="DB88" s="1059"/>
      <c r="DC88" s="1059"/>
      <c r="DD88" s="1049"/>
      <c r="DE88" s="1059"/>
      <c r="DF88" s="1059"/>
      <c r="DG88" s="1059"/>
      <c r="DH88" s="1059"/>
      <c r="DI88" s="1059"/>
      <c r="DJ88"/>
      <c r="DK88"/>
      <c r="DL88"/>
      <c r="DM88"/>
      <c r="DN88"/>
      <c r="DO88"/>
      <c r="DP88" s="543"/>
    </row>
    <row r="89" spans="1:120" s="278" customFormat="1" ht="11.25" customHeight="1">
      <c r="A89" s="1056" t="s">
        <v>262</v>
      </c>
      <c r="B89" s="1057"/>
      <c r="C89" s="1058">
        <v>36160</v>
      </c>
      <c r="D89" s="1057"/>
      <c r="E89" s="1058">
        <v>36525</v>
      </c>
      <c r="F89" s="1057"/>
      <c r="G89" s="1058">
        <v>36891</v>
      </c>
      <c r="H89" s="1057"/>
      <c r="I89" s="1058">
        <v>37256</v>
      </c>
      <c r="J89" s="1057"/>
      <c r="K89" s="1058">
        <v>37621</v>
      </c>
      <c r="L89" s="1057"/>
      <c r="M89" s="1058">
        <v>37986</v>
      </c>
      <c r="N89" s="1057"/>
      <c r="O89" s="1058">
        <v>38352</v>
      </c>
      <c r="P89" s="1057"/>
      <c r="Q89" s="1058">
        <v>38717</v>
      </c>
      <c r="R89" s="1057"/>
      <c r="S89" s="1058">
        <v>38807</v>
      </c>
      <c r="T89" s="1058">
        <v>38898</v>
      </c>
      <c r="U89" s="1058">
        <v>38990</v>
      </c>
      <c r="V89" s="1058">
        <v>39082</v>
      </c>
      <c r="W89" s="1058">
        <v>39082</v>
      </c>
      <c r="X89" s="1057"/>
      <c r="Y89" s="1058">
        <v>39172</v>
      </c>
      <c r="Z89" s="1058">
        <v>39263</v>
      </c>
      <c r="AA89" s="1058">
        <v>39355</v>
      </c>
      <c r="AB89" s="1058">
        <v>39447</v>
      </c>
      <c r="AC89" s="1058">
        <v>39447</v>
      </c>
      <c r="AD89" s="1057"/>
      <c r="AE89" s="1058">
        <v>39538</v>
      </c>
      <c r="AF89" s="1058">
        <v>39629</v>
      </c>
      <c r="AG89" s="1058">
        <v>39721</v>
      </c>
      <c r="AH89" s="1058">
        <v>39813</v>
      </c>
      <c r="AI89" s="1058">
        <v>39813</v>
      </c>
      <c r="AJ89" s="1057"/>
      <c r="AK89" s="1058">
        <v>39903</v>
      </c>
      <c r="AL89" s="1058">
        <v>39994</v>
      </c>
      <c r="AM89" s="1058">
        <v>40086</v>
      </c>
      <c r="AN89" s="1058">
        <v>40178</v>
      </c>
      <c r="AO89" s="1058">
        <f>AN89</f>
        <v>40178</v>
      </c>
      <c r="AP89" s="1057"/>
      <c r="AQ89" s="1058">
        <v>40268</v>
      </c>
      <c r="AR89" s="1058">
        <v>40359</v>
      </c>
      <c r="AS89" s="1058">
        <v>40451</v>
      </c>
      <c r="AT89" s="1058">
        <v>40543</v>
      </c>
      <c r="AU89" s="1058">
        <f>AT89</f>
        <v>40543</v>
      </c>
      <c r="AV89" s="1057"/>
      <c r="AW89" s="1058">
        <v>40633</v>
      </c>
      <c r="AX89" s="1058">
        <v>40724</v>
      </c>
      <c r="AY89" s="1058">
        <v>40816</v>
      </c>
      <c r="AZ89" s="1058">
        <v>40908</v>
      </c>
      <c r="BA89" s="1058">
        <f>AZ89</f>
        <v>40908</v>
      </c>
      <c r="BB89" s="1057"/>
      <c r="BC89" s="1058">
        <v>40999</v>
      </c>
      <c r="BD89" s="1058">
        <v>41090</v>
      </c>
      <c r="BE89" s="1058">
        <v>41182</v>
      </c>
      <c r="BF89" s="1058">
        <v>41274</v>
      </c>
      <c r="BG89" s="1058">
        <f>+BF89</f>
        <v>41274</v>
      </c>
      <c r="BH89" s="1058"/>
      <c r="BI89" s="1058">
        <v>41364</v>
      </c>
      <c r="BJ89" s="1058">
        <v>41455</v>
      </c>
      <c r="BK89" s="1058">
        <v>41547</v>
      </c>
      <c r="BL89" s="1058">
        <v>41639</v>
      </c>
      <c r="BM89" s="1058">
        <f>+BL89</f>
        <v>41639</v>
      </c>
      <c r="BN89" s="1060"/>
      <c r="BO89" s="1445">
        <f>EOMONTH(BO88,2)</f>
        <v>41729</v>
      </c>
      <c r="BP89" s="1445">
        <f>EOMONTH(BP88,2)</f>
        <v>41820</v>
      </c>
      <c r="BQ89" s="1445">
        <f>EOMONTH(BQ88,2)</f>
        <v>41912</v>
      </c>
      <c r="BR89" s="1445">
        <f>EOMONTH(BR88,2)</f>
        <v>42004</v>
      </c>
      <c r="BS89" s="1445">
        <f>BR89</f>
        <v>42004</v>
      </c>
      <c r="BT89" s="1060"/>
      <c r="BU89" s="1445">
        <f>EOMONTH(BU88,2)</f>
        <v>42094</v>
      </c>
      <c r="BV89" s="1445">
        <f>EOMONTH(BV88,2)</f>
        <v>42185</v>
      </c>
      <c r="BW89" s="1445">
        <f>EOMONTH(BW88,2)</f>
        <v>42277</v>
      </c>
      <c r="BX89" s="1445">
        <f>EOMONTH(BX88,2)</f>
        <v>42369</v>
      </c>
      <c r="BY89" s="1059"/>
      <c r="BZ89" s="1060"/>
      <c r="CA89" s="1445">
        <f>EOMONTH(CA88,2)</f>
        <v>42460</v>
      </c>
      <c r="CB89" s="1445">
        <f>EOMONTH(CB88,2)</f>
        <v>42551</v>
      </c>
      <c r="CC89" s="1445">
        <f>EOMONTH(CC88,2)</f>
        <v>42643</v>
      </c>
      <c r="CD89" s="1445">
        <f>EOMONTH(CD88,2)</f>
        <v>42735</v>
      </c>
      <c r="CE89" s="1059"/>
      <c r="CF89" s="1060"/>
      <c r="CG89" s="1445">
        <f>EOMONTH(CG88,2)</f>
        <v>42825</v>
      </c>
      <c r="CH89" s="1445">
        <f>EOMONTH(CH88,2)</f>
        <v>42916</v>
      </c>
      <c r="CI89" s="1445">
        <f>EOMONTH(CI88,2)</f>
        <v>43008</v>
      </c>
      <c r="CJ89" s="1060"/>
      <c r="CK89" s="1059"/>
      <c r="CL89" s="1060"/>
      <c r="CM89" s="1060"/>
      <c r="CN89" s="1060"/>
      <c r="CO89" s="1060"/>
      <c r="CP89" s="1060"/>
      <c r="CQ89" s="1059"/>
      <c r="CR89" s="1049"/>
      <c r="CS89" s="1060"/>
      <c r="CT89" s="1060"/>
      <c r="CU89" s="1060"/>
      <c r="CV89" s="1060"/>
      <c r="CW89" s="1059"/>
      <c r="CX89" s="1049"/>
      <c r="CY89" s="1060"/>
      <c r="CZ89" s="1060"/>
      <c r="DA89" s="1060"/>
      <c r="DB89" s="1060"/>
      <c r="DC89" s="1059"/>
      <c r="DD89" s="1049"/>
      <c r="DE89" s="1060"/>
      <c r="DF89" s="1060"/>
      <c r="DG89" s="1060"/>
      <c r="DH89" s="1060"/>
      <c r="DI89" s="1059"/>
      <c r="DJ89"/>
      <c r="DK89"/>
      <c r="DL89"/>
      <c r="DM89"/>
      <c r="DN89"/>
      <c r="DO89"/>
      <c r="DP89" s="543"/>
    </row>
    <row r="90" spans="1:120" ht="11.25" customHeight="1" collapsed="1">
      <c r="A90" s="487"/>
      <c r="B90" s="487"/>
      <c r="C90" s="487"/>
      <c r="D90" s="487"/>
      <c r="E90" s="487"/>
      <c r="F90" s="487"/>
      <c r="G90" s="487"/>
      <c r="H90" s="487"/>
      <c r="I90" s="487"/>
      <c r="J90" s="487"/>
      <c r="K90" s="487"/>
      <c r="L90" s="487"/>
      <c r="M90" s="487"/>
      <c r="N90" s="487"/>
      <c r="O90" s="487"/>
      <c r="P90" s="487"/>
      <c r="Q90" s="487"/>
      <c r="R90" s="487"/>
      <c r="S90" s="487"/>
      <c r="T90" s="487"/>
      <c r="U90" s="487"/>
      <c r="V90" s="487"/>
      <c r="W90" s="487"/>
      <c r="X90" s="487"/>
      <c r="Y90" s="487"/>
      <c r="Z90" s="487"/>
      <c r="AA90" s="487"/>
      <c r="AB90" s="487"/>
      <c r="AC90" s="487"/>
      <c r="AD90" s="487"/>
      <c r="AE90" s="487"/>
      <c r="AF90" s="487"/>
      <c r="AG90" s="487"/>
      <c r="AH90" s="487"/>
      <c r="AI90" s="729"/>
      <c r="AJ90" s="487"/>
      <c r="AK90" s="487"/>
      <c r="AL90" s="487"/>
      <c r="AM90" s="487"/>
      <c r="AN90" s="487"/>
      <c r="AO90" s="729"/>
      <c r="AP90" s="487"/>
      <c r="AQ90" s="487"/>
      <c r="AR90" s="487"/>
      <c r="AS90" s="487"/>
      <c r="AT90" s="487"/>
      <c r="AU90" s="729"/>
      <c r="AV90" s="487"/>
      <c r="AW90" s="487"/>
      <c r="AX90" s="729"/>
      <c r="AY90" s="729"/>
      <c r="AZ90" s="729"/>
      <c r="BA90" s="729"/>
      <c r="BB90" s="487"/>
      <c r="BC90" s="729"/>
      <c r="BD90" s="729"/>
      <c r="BE90" s="487"/>
      <c r="BF90" s="487"/>
      <c r="BG90" s="487"/>
      <c r="BH90" s="487"/>
      <c r="BI90" s="487"/>
      <c r="BJ90" s="487"/>
      <c r="BK90" s="487"/>
      <c r="BL90" s="487"/>
      <c r="BM90" s="487"/>
      <c r="BN90" s="487"/>
      <c r="BO90" s="487"/>
      <c r="BP90" s="487"/>
      <c r="BQ90" s="487"/>
      <c r="BR90" s="487"/>
      <c r="BS90" s="487"/>
      <c r="BT90" s="487"/>
      <c r="BU90" s="487"/>
      <c r="BV90" s="487"/>
      <c r="BW90" s="487"/>
      <c r="BX90" s="487"/>
      <c r="BY90" s="487"/>
      <c r="BZ90" s="487"/>
      <c r="CA90" s="487"/>
      <c r="CB90" s="487"/>
      <c r="CC90" s="487"/>
      <c r="CD90" s="487"/>
      <c r="CE90" s="586"/>
      <c r="CF90" s="487"/>
      <c r="CG90" s="487"/>
      <c r="CH90" s="487"/>
      <c r="CI90" s="487"/>
      <c r="CJ90" s="487"/>
      <c r="CK90" s="586"/>
      <c r="CL90" s="487"/>
      <c r="CM90" s="487"/>
      <c r="CN90" s="487"/>
      <c r="CO90" s="487"/>
      <c r="CP90" s="487"/>
      <c r="CQ90" s="586"/>
      <c r="CR90" s="210"/>
      <c r="CS90" s="487"/>
      <c r="CT90" s="487"/>
      <c r="CU90" s="487"/>
      <c r="CV90" s="487"/>
      <c r="CW90" s="586"/>
      <c r="CX90" s="210"/>
      <c r="CY90" s="487"/>
      <c r="CZ90" s="487"/>
      <c r="DA90" s="487"/>
      <c r="DB90" s="487"/>
      <c r="DC90" s="586"/>
      <c r="DD90" s="210"/>
      <c r="DE90" s="487"/>
      <c r="DF90" s="487"/>
      <c r="DG90" s="487"/>
      <c r="DH90" s="487"/>
      <c r="DI90" s="586"/>
      <c r="DP90" s="210"/>
    </row>
    <row r="91" spans="1:120" ht="11.25" customHeight="1">
      <c r="A91" s="210"/>
      <c r="B91" s="210"/>
      <c r="C91" s="210"/>
      <c r="D91" s="210"/>
      <c r="E91" s="210"/>
      <c r="F91" s="210"/>
      <c r="G91" s="210"/>
      <c r="H91" s="210"/>
      <c r="I91" s="210"/>
      <c r="J91" s="210"/>
      <c r="K91" s="210"/>
      <c r="L91" s="210"/>
      <c r="M91" s="210"/>
      <c r="N91" s="210"/>
      <c r="O91" s="210"/>
      <c r="P91" s="210"/>
      <c r="Q91" s="210"/>
      <c r="R91" s="210"/>
      <c r="S91" s="210"/>
      <c r="T91" s="210"/>
      <c r="U91" s="210"/>
      <c r="V91" s="210"/>
      <c r="W91" s="210"/>
      <c r="X91" s="210"/>
      <c r="Y91" s="210"/>
      <c r="Z91" s="210"/>
      <c r="AA91" s="210"/>
      <c r="AB91" s="210"/>
      <c r="AC91" s="210"/>
      <c r="AD91" s="210"/>
      <c r="AE91" s="210"/>
      <c r="AF91" s="210"/>
      <c r="AG91" s="210"/>
      <c r="AH91" s="210"/>
      <c r="AI91" s="210"/>
      <c r="AJ91" s="210"/>
      <c r="AK91" s="210"/>
      <c r="AL91" s="210"/>
      <c r="AM91" s="210"/>
      <c r="AN91" s="210"/>
      <c r="AO91" s="210"/>
      <c r="AP91" s="210"/>
      <c r="AQ91" s="210"/>
      <c r="AR91" s="210"/>
      <c r="AS91" s="210"/>
      <c r="AT91" s="210"/>
      <c r="AU91" s="210"/>
      <c r="AV91" s="210"/>
      <c r="AW91" s="210"/>
      <c r="AX91" s="210"/>
      <c r="AY91" s="210"/>
      <c r="AZ91" s="210"/>
      <c r="BA91" s="210"/>
      <c r="BB91" s="210"/>
      <c r="BC91" s="210"/>
      <c r="BD91" s="210"/>
      <c r="BE91" s="594"/>
      <c r="BF91" s="210"/>
      <c r="BG91" s="210"/>
      <c r="BH91" s="210"/>
      <c r="BI91" s="210"/>
      <c r="BJ91" s="210"/>
      <c r="BK91" s="210"/>
      <c r="BL91" s="210"/>
      <c r="BM91" s="210"/>
      <c r="BN91" s="210"/>
      <c r="BO91" s="210"/>
      <c r="BP91" s="210"/>
      <c r="BQ91" s="210"/>
      <c r="BR91" s="210"/>
      <c r="BS91" s="210"/>
      <c r="BT91" s="210"/>
      <c r="BU91" s="210"/>
      <c r="BV91" s="210"/>
      <c r="BW91" s="210"/>
      <c r="BX91" s="210"/>
      <c r="BY91" s="210"/>
      <c r="BZ91" s="210"/>
      <c r="CA91" s="210"/>
      <c r="CB91" s="210"/>
      <c r="CC91" s="210"/>
      <c r="CD91" s="210"/>
      <c r="CE91" s="210"/>
      <c r="CF91" s="210"/>
      <c r="CG91" s="210"/>
      <c r="CH91" s="210"/>
      <c r="CI91" s="210"/>
      <c r="CJ91" s="210"/>
      <c r="CK91" s="210"/>
      <c r="CL91" s="210"/>
      <c r="CM91" s="210"/>
      <c r="CN91" s="210"/>
      <c r="CO91" s="210"/>
      <c r="CP91" s="210"/>
      <c r="CQ91" s="210"/>
      <c r="CR91" s="210"/>
      <c r="CS91" s="210"/>
      <c r="CT91" s="210"/>
      <c r="CU91" s="210"/>
      <c r="CV91" s="210"/>
      <c r="CW91" s="210"/>
      <c r="CX91" s="210"/>
      <c r="CY91" s="210"/>
      <c r="CZ91" s="210"/>
      <c r="DA91" s="210"/>
      <c r="DB91" s="210"/>
      <c r="DC91" s="210"/>
      <c r="DD91" s="210"/>
      <c r="DE91" s="210"/>
      <c r="DF91" s="210"/>
      <c r="DG91" s="210"/>
      <c r="DH91" s="210"/>
      <c r="DI91" s="210"/>
      <c r="DP91" s="210"/>
    </row>
    <row r="92" spans="1:120" ht="11.25" customHeight="1">
      <c r="A92" s="210"/>
      <c r="B92" s="210"/>
      <c r="C92" s="210"/>
      <c r="D92" s="210"/>
      <c r="E92" s="210"/>
      <c r="F92" s="210"/>
      <c r="G92" s="210"/>
      <c r="H92" s="210"/>
      <c r="I92" s="210"/>
      <c r="J92" s="210"/>
      <c r="K92" s="210"/>
      <c r="L92" s="210"/>
      <c r="M92" s="210"/>
      <c r="N92" s="210"/>
      <c r="O92" s="210"/>
      <c r="P92" s="210"/>
      <c r="Q92" s="210"/>
      <c r="R92" s="210"/>
      <c r="S92" s="210"/>
      <c r="T92" s="210"/>
      <c r="U92" s="210"/>
      <c r="V92" s="210"/>
      <c r="W92" s="210"/>
      <c r="X92" s="210"/>
      <c r="Y92" s="210"/>
      <c r="Z92" s="210"/>
      <c r="AA92" s="210"/>
      <c r="AB92" s="210"/>
      <c r="AC92" s="210"/>
      <c r="AD92" s="210"/>
      <c r="AE92" s="210"/>
      <c r="AF92" s="210"/>
      <c r="AG92" s="210"/>
      <c r="AH92" s="210"/>
      <c r="AI92" s="210"/>
      <c r="AJ92" s="210"/>
      <c r="AK92" s="210"/>
      <c r="AL92" s="210"/>
      <c r="AM92" s="210"/>
      <c r="AN92" s="210"/>
      <c r="AO92" s="210"/>
      <c r="AP92" s="210"/>
      <c r="AQ92" s="210"/>
      <c r="AR92" s="210"/>
      <c r="AS92" s="210"/>
      <c r="AT92" s="210"/>
      <c r="AU92" s="210"/>
      <c r="AV92" s="210"/>
      <c r="AW92" s="210"/>
      <c r="AX92" s="210"/>
      <c r="AY92" s="210"/>
      <c r="AZ92" s="210"/>
      <c r="BA92" s="210"/>
      <c r="BB92" s="210"/>
      <c r="BC92" s="210"/>
      <c r="BD92" s="210"/>
      <c r="BE92" s="210"/>
      <c r="BF92" s="210"/>
      <c r="BG92" s="210"/>
      <c r="BH92" s="210"/>
      <c r="BI92" s="210"/>
      <c r="BJ92" s="210"/>
      <c r="BK92" s="210"/>
      <c r="BL92" s="210"/>
      <c r="BM92" s="210"/>
      <c r="BN92" s="210"/>
      <c r="BO92" s="210"/>
      <c r="BP92" s="210"/>
      <c r="BQ92" s="210"/>
      <c r="BR92" s="210"/>
      <c r="BS92" s="210"/>
      <c r="BT92" s="210"/>
      <c r="BU92" s="210"/>
      <c r="BV92" s="210"/>
      <c r="BW92" s="210"/>
      <c r="BX92" s="210"/>
      <c r="BY92" s="210"/>
      <c r="BZ92" s="210"/>
      <c r="CA92" s="210"/>
      <c r="CB92" s="210"/>
      <c r="CC92" s="210"/>
      <c r="CD92" s="210"/>
      <c r="CE92" s="210"/>
      <c r="CF92" s="210"/>
      <c r="CG92" s="210"/>
      <c r="CH92" s="210"/>
      <c r="CI92" s="210"/>
      <c r="CJ92" s="210"/>
      <c r="CK92" s="210"/>
      <c r="CL92" s="210"/>
      <c r="CM92" s="210"/>
      <c r="CN92" s="210"/>
      <c r="CO92" s="210"/>
      <c r="CP92" s="210"/>
      <c r="CQ92" s="210"/>
      <c r="CR92" s="210"/>
      <c r="CS92" s="210"/>
      <c r="CT92" s="210"/>
      <c r="CU92" s="210"/>
      <c r="CV92" s="210"/>
      <c r="CW92" s="210"/>
      <c r="CX92" s="210"/>
      <c r="CY92" s="210"/>
      <c r="CZ92" s="210"/>
      <c r="DA92" s="210"/>
      <c r="DB92" s="210"/>
      <c r="DC92" s="210"/>
      <c r="DD92" s="210"/>
      <c r="DE92" s="210"/>
      <c r="DF92" s="210"/>
      <c r="DG92" s="210"/>
      <c r="DH92" s="210"/>
      <c r="DI92" s="210"/>
      <c r="DP92" s="210"/>
    </row>
    <row r="93" spans="1:120" ht="11.25" customHeight="1">
      <c r="A93" s="210"/>
      <c r="B93" s="210"/>
      <c r="C93" s="210"/>
      <c r="D93" s="210"/>
      <c r="E93" s="210"/>
      <c r="F93" s="210"/>
      <c r="G93" s="210"/>
      <c r="H93" s="210"/>
      <c r="I93" s="210"/>
      <c r="J93" s="210"/>
      <c r="K93" s="210"/>
      <c r="L93" s="210"/>
      <c r="M93" s="210"/>
      <c r="N93" s="210"/>
      <c r="O93" s="210"/>
      <c r="P93" s="210"/>
      <c r="Q93" s="210"/>
      <c r="R93" s="210"/>
      <c r="S93" s="210"/>
      <c r="T93" s="210"/>
      <c r="U93" s="210"/>
      <c r="V93" s="210"/>
      <c r="W93" s="210"/>
      <c r="X93" s="210"/>
      <c r="Y93" s="210"/>
      <c r="Z93" s="210"/>
      <c r="AA93" s="210"/>
      <c r="AB93" s="210"/>
      <c r="AC93" s="210"/>
      <c r="AD93" s="210"/>
      <c r="AE93" s="210"/>
      <c r="AF93" s="210"/>
      <c r="AG93" s="210"/>
      <c r="AH93" s="210"/>
      <c r="AI93" s="210"/>
      <c r="AJ93" s="210"/>
      <c r="AK93" s="210"/>
      <c r="AL93" s="210"/>
      <c r="AM93" s="210"/>
      <c r="AN93" s="210"/>
      <c r="AO93" s="210"/>
      <c r="AP93" s="210"/>
      <c r="AQ93" s="210"/>
      <c r="AR93" s="210"/>
      <c r="AS93" s="210"/>
      <c r="AT93" s="210"/>
      <c r="AU93" s="210"/>
      <c r="AV93" s="210"/>
      <c r="AW93" s="210"/>
      <c r="AX93" s="210"/>
      <c r="AY93" s="210"/>
      <c r="AZ93" s="210"/>
      <c r="BA93" s="210"/>
      <c r="BB93" s="210"/>
      <c r="BC93" s="210"/>
      <c r="BD93" s="210"/>
      <c r="BE93" s="210"/>
      <c r="BF93" s="210"/>
      <c r="BG93" s="210"/>
      <c r="BH93" s="210"/>
      <c r="BI93" s="210"/>
      <c r="BJ93" s="210"/>
      <c r="BK93" s="210"/>
      <c r="BL93" s="210"/>
      <c r="BM93" s="210"/>
      <c r="BN93" s="210"/>
      <c r="BO93" s="210"/>
      <c r="BP93" s="210"/>
      <c r="BQ93" s="210"/>
      <c r="BR93" s="210"/>
      <c r="BS93" s="210"/>
      <c r="BT93" s="210"/>
      <c r="BU93" s="210"/>
      <c r="BV93" s="210"/>
      <c r="BW93" s="210"/>
      <c r="BX93" s="210"/>
      <c r="BY93" s="210"/>
      <c r="BZ93" s="210"/>
      <c r="CA93" s="210"/>
      <c r="CB93" s="210"/>
      <c r="CC93" s="210"/>
      <c r="CD93" s="210"/>
      <c r="CE93" s="210"/>
      <c r="CF93" s="210"/>
      <c r="CG93" s="210"/>
      <c r="CH93" s="210"/>
      <c r="CI93" s="210"/>
      <c r="CJ93" s="210"/>
      <c r="CK93" s="210"/>
      <c r="CL93" s="210"/>
      <c r="CM93" s="210"/>
      <c r="CN93" s="210"/>
      <c r="CO93" s="210"/>
      <c r="CP93" s="210"/>
      <c r="CQ93" s="210"/>
      <c r="CR93" s="210"/>
      <c r="CS93" s="210"/>
      <c r="CT93" s="210"/>
      <c r="CU93" s="210"/>
      <c r="CV93" s="210"/>
      <c r="CW93" s="210"/>
      <c r="CX93" s="210"/>
      <c r="CY93" s="210"/>
      <c r="CZ93" s="210"/>
      <c r="DA93" s="210"/>
      <c r="DB93" s="210"/>
      <c r="DC93" s="210"/>
      <c r="DD93" s="210"/>
      <c r="DE93" s="210"/>
      <c r="DF93" s="210"/>
      <c r="DG93" s="210"/>
      <c r="DH93" s="210"/>
      <c r="DI93" s="210"/>
      <c r="DP93" s="210"/>
    </row>
    <row r="94" spans="1:120" ht="11.25" customHeight="1">
      <c r="A94" s="210"/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0"/>
      <c r="P94" s="210"/>
      <c r="Q94" s="210"/>
      <c r="R94" s="210"/>
      <c r="S94" s="210"/>
      <c r="T94" s="210"/>
      <c r="U94" s="210"/>
      <c r="V94" s="210"/>
      <c r="W94" s="210"/>
      <c r="X94" s="210"/>
      <c r="Y94" s="210"/>
      <c r="Z94" s="210"/>
      <c r="AA94" s="210"/>
      <c r="AB94" s="210"/>
      <c r="AC94" s="210"/>
      <c r="AD94" s="210"/>
      <c r="AE94" s="210"/>
      <c r="AF94" s="210"/>
      <c r="AG94" s="210"/>
      <c r="AH94" s="210"/>
      <c r="AI94" s="210"/>
      <c r="AJ94" s="210"/>
      <c r="AK94" s="210"/>
      <c r="AL94" s="210"/>
      <c r="AM94" s="210"/>
      <c r="AN94" s="210"/>
      <c r="AO94" s="210"/>
      <c r="AP94" s="210"/>
      <c r="AQ94" s="210"/>
      <c r="AR94" s="210"/>
      <c r="AS94" s="210"/>
      <c r="AT94" s="210"/>
      <c r="AU94" s="210"/>
      <c r="AV94" s="210"/>
      <c r="AW94" s="210"/>
      <c r="AX94" s="210"/>
      <c r="AY94" s="210"/>
      <c r="AZ94" s="210"/>
      <c r="BA94" s="210"/>
      <c r="BB94" s="210"/>
      <c r="BC94" s="210"/>
      <c r="BD94" s="210"/>
      <c r="BE94" s="210"/>
      <c r="BF94" s="210"/>
      <c r="BG94" s="210"/>
      <c r="BH94" s="210"/>
      <c r="BI94" s="210"/>
      <c r="BJ94" s="210"/>
      <c r="BK94" s="210"/>
      <c r="BL94" s="210"/>
      <c r="BM94" s="210"/>
      <c r="BN94" s="210"/>
      <c r="BO94" s="210"/>
      <c r="BP94" s="210"/>
      <c r="BQ94" s="210"/>
      <c r="BR94" s="210"/>
      <c r="BS94" s="210"/>
      <c r="BT94" s="210"/>
      <c r="BU94" s="210"/>
      <c r="BV94" s="210"/>
      <c r="BW94" s="210"/>
      <c r="BX94" s="210"/>
      <c r="BY94" s="210"/>
      <c r="BZ94" s="210"/>
      <c r="CA94" s="210"/>
      <c r="CB94" s="210"/>
      <c r="CC94" s="210"/>
      <c r="CD94" s="210"/>
      <c r="CE94" s="210"/>
      <c r="CF94" s="210"/>
      <c r="CG94" s="210"/>
      <c r="CH94" s="210"/>
      <c r="CI94" s="210"/>
      <c r="CJ94" s="210"/>
      <c r="CK94" s="210"/>
      <c r="CL94" s="210"/>
      <c r="CM94" s="210"/>
      <c r="CN94" s="210"/>
      <c r="CO94" s="210"/>
      <c r="CP94" s="210"/>
      <c r="CQ94" s="210"/>
      <c r="CR94" s="210"/>
      <c r="CS94" s="210"/>
      <c r="CT94" s="210"/>
      <c r="CU94" s="210"/>
      <c r="CV94" s="210"/>
      <c r="CW94" s="210"/>
      <c r="CX94" s="210"/>
      <c r="CY94" s="210"/>
      <c r="CZ94" s="210"/>
      <c r="DA94" s="210"/>
      <c r="DB94" s="210"/>
      <c r="DC94" s="210"/>
      <c r="DD94" s="210"/>
      <c r="DE94" s="210"/>
      <c r="DF94" s="210"/>
      <c r="DG94" s="210"/>
      <c r="DH94" s="210"/>
      <c r="DI94" s="210"/>
      <c r="DP94" s="210"/>
    </row>
    <row r="95" spans="1:120" ht="11.25" customHeight="1">
      <c r="A95" s="210"/>
      <c r="B95" s="210"/>
      <c r="C95" s="210"/>
      <c r="D95" s="210"/>
      <c r="E95" s="210"/>
      <c r="F95" s="210"/>
      <c r="G95" s="210"/>
      <c r="H95" s="210"/>
      <c r="I95" s="210"/>
      <c r="J95" s="210"/>
      <c r="K95" s="210"/>
      <c r="L95" s="210"/>
      <c r="M95" s="210"/>
      <c r="N95" s="210"/>
      <c r="O95" s="210"/>
      <c r="P95" s="210"/>
      <c r="Q95" s="210"/>
      <c r="R95" s="210"/>
      <c r="S95" s="210"/>
      <c r="T95" s="210"/>
      <c r="U95" s="210"/>
      <c r="V95" s="210"/>
      <c r="W95" s="210"/>
      <c r="X95" s="210"/>
      <c r="Y95" s="210"/>
      <c r="Z95" s="210"/>
      <c r="AA95" s="210"/>
      <c r="AB95" s="210"/>
      <c r="AC95" s="210"/>
      <c r="AD95" s="210"/>
      <c r="AE95" s="210"/>
      <c r="AF95" s="210"/>
      <c r="AG95" s="210"/>
      <c r="AH95" s="210"/>
      <c r="AI95" s="210"/>
      <c r="AJ95" s="210"/>
      <c r="AK95" s="210"/>
      <c r="AL95" s="210"/>
      <c r="AM95" s="210"/>
      <c r="AN95" s="210"/>
      <c r="AO95" s="210"/>
      <c r="AP95" s="210"/>
      <c r="AQ95" s="210"/>
      <c r="AR95" s="210"/>
      <c r="AS95" s="210"/>
      <c r="AT95" s="210"/>
      <c r="AU95" s="210"/>
      <c r="AV95" s="210"/>
      <c r="AW95" s="210"/>
      <c r="AX95" s="210"/>
      <c r="AY95" s="210"/>
      <c r="AZ95" s="210"/>
      <c r="BA95" s="210"/>
      <c r="BB95" s="210"/>
      <c r="BC95" s="210"/>
      <c r="BD95" s="210"/>
      <c r="BE95" s="210"/>
      <c r="BF95" s="210"/>
      <c r="BG95" s="210"/>
      <c r="BH95" s="210"/>
      <c r="BI95" s="210"/>
      <c r="BJ95" s="210"/>
      <c r="BK95" s="210"/>
      <c r="BL95" s="210"/>
      <c r="BM95" s="210"/>
      <c r="BN95" s="210"/>
      <c r="BO95" s="210"/>
      <c r="BP95" s="210"/>
      <c r="BQ95" s="210"/>
      <c r="BR95" s="210"/>
      <c r="BS95" s="210"/>
      <c r="BT95" s="210"/>
      <c r="BU95" s="210"/>
      <c r="BV95" s="210"/>
      <c r="BW95" s="210"/>
      <c r="BX95" s="210"/>
      <c r="BY95" s="210"/>
      <c r="BZ95" s="210"/>
      <c r="CA95" s="210"/>
      <c r="CB95" s="210"/>
      <c r="CC95" s="210"/>
      <c r="CD95" s="210"/>
      <c r="CE95" s="210"/>
      <c r="CF95" s="210"/>
      <c r="CG95" s="210"/>
      <c r="CH95" s="210"/>
      <c r="CI95" s="210"/>
      <c r="CJ95" s="210"/>
      <c r="CK95" s="210"/>
      <c r="CL95" s="210"/>
      <c r="CM95" s="210"/>
      <c r="CN95" s="210"/>
      <c r="CO95" s="210"/>
      <c r="CP95" s="210"/>
      <c r="CQ95" s="210"/>
      <c r="CR95" s="210"/>
      <c r="CS95" s="210"/>
      <c r="CT95" s="210"/>
      <c r="CU95" s="210"/>
      <c r="CV95" s="210"/>
      <c r="CW95" s="210"/>
      <c r="CX95" s="210"/>
      <c r="CY95" s="210"/>
      <c r="CZ95" s="210"/>
      <c r="DA95" s="210"/>
      <c r="DB95" s="210"/>
      <c r="DC95" s="210"/>
      <c r="DD95" s="210"/>
      <c r="DE95" s="210"/>
      <c r="DF95" s="210"/>
      <c r="DG95" s="210"/>
      <c r="DH95" s="210"/>
      <c r="DI95" s="210"/>
      <c r="DP95" s="210"/>
    </row>
    <row r="96" spans="1:120" ht="11.25" customHeight="1">
      <c r="A96" s="210"/>
      <c r="B96" s="210"/>
      <c r="C96" s="210"/>
      <c r="D96" s="210"/>
      <c r="E96" s="210"/>
      <c r="F96" s="210"/>
      <c r="G96" s="210"/>
      <c r="H96" s="210"/>
      <c r="I96" s="210"/>
      <c r="J96" s="210"/>
      <c r="K96" s="210"/>
      <c r="L96" s="210"/>
      <c r="M96" s="210"/>
      <c r="N96" s="210"/>
      <c r="O96" s="210"/>
      <c r="P96" s="210"/>
      <c r="Q96" s="210"/>
      <c r="R96" s="210"/>
      <c r="S96" s="210"/>
      <c r="T96" s="210"/>
      <c r="U96" s="210"/>
      <c r="V96" s="210"/>
      <c r="W96" s="210"/>
      <c r="X96" s="210"/>
      <c r="Y96" s="210"/>
      <c r="Z96" s="210"/>
      <c r="AA96" s="210"/>
      <c r="AB96" s="210"/>
      <c r="AC96" s="210"/>
      <c r="AD96" s="210"/>
      <c r="AE96" s="210"/>
      <c r="AF96" s="210"/>
      <c r="AG96" s="210"/>
      <c r="AH96" s="210"/>
      <c r="AI96" s="210"/>
      <c r="AJ96" s="210"/>
      <c r="AK96" s="210"/>
      <c r="AL96" s="210"/>
      <c r="AM96" s="210"/>
      <c r="AN96" s="210"/>
      <c r="AO96" s="210"/>
      <c r="AP96" s="210"/>
      <c r="AQ96" s="210"/>
      <c r="AR96" s="210"/>
      <c r="AS96" s="210"/>
      <c r="AT96" s="210"/>
      <c r="AU96" s="210"/>
      <c r="AV96" s="210"/>
      <c r="AW96" s="210"/>
      <c r="AX96" s="210"/>
      <c r="AY96" s="210"/>
      <c r="AZ96" s="210"/>
      <c r="BA96" s="210"/>
      <c r="BB96" s="210"/>
      <c r="BC96" s="210"/>
      <c r="BD96" s="210"/>
      <c r="BE96" s="210"/>
      <c r="BF96" s="210"/>
      <c r="BG96" s="210"/>
      <c r="BH96" s="210"/>
      <c r="BI96" s="210"/>
      <c r="BJ96" s="210"/>
      <c r="BK96" s="210"/>
      <c r="BL96" s="210"/>
      <c r="BM96" s="210"/>
      <c r="BN96" s="210"/>
      <c r="BO96" s="210"/>
      <c r="BP96" s="210"/>
      <c r="BQ96" s="210"/>
      <c r="BR96" s="210"/>
      <c r="BS96" s="210"/>
      <c r="BT96" s="210"/>
      <c r="BU96" s="210"/>
      <c r="BV96" s="210"/>
      <c r="BW96" s="210"/>
      <c r="BX96" s="210"/>
      <c r="BY96" s="210"/>
      <c r="BZ96" s="210"/>
      <c r="CA96" s="210"/>
      <c r="CB96" s="210"/>
      <c r="CC96" s="210"/>
      <c r="CD96" s="210"/>
      <c r="CE96" s="210"/>
      <c r="CF96" s="210"/>
      <c r="CG96" s="210"/>
      <c r="CH96" s="210"/>
      <c r="CI96" s="210"/>
      <c r="CJ96" s="210"/>
      <c r="CK96" s="210"/>
      <c r="CL96" s="210"/>
      <c r="CM96" s="210"/>
      <c r="CN96" s="210"/>
      <c r="CO96" s="210"/>
      <c r="CP96" s="210"/>
      <c r="CQ96" s="210"/>
      <c r="CR96" s="210"/>
      <c r="CS96" s="210"/>
      <c r="CT96" s="210"/>
      <c r="CU96" s="210"/>
      <c r="CV96" s="210"/>
      <c r="CW96" s="210"/>
      <c r="CX96" s="210"/>
      <c r="CY96" s="210"/>
      <c r="CZ96" s="210"/>
      <c r="DA96" s="210"/>
      <c r="DB96" s="210"/>
      <c r="DC96" s="210"/>
      <c r="DD96" s="210"/>
      <c r="DE96" s="210"/>
      <c r="DF96" s="210"/>
      <c r="DG96" s="210"/>
      <c r="DH96" s="210"/>
      <c r="DI96" s="210"/>
      <c r="DP96" s="210"/>
    </row>
    <row r="97" spans="1:120" ht="11.25" customHeight="1">
      <c r="A97" s="210"/>
      <c r="B97" s="210"/>
      <c r="C97" s="210"/>
      <c r="D97" s="210"/>
      <c r="E97" s="210"/>
      <c r="F97" s="210"/>
      <c r="G97" s="210"/>
      <c r="H97" s="210"/>
      <c r="I97" s="210"/>
      <c r="J97" s="210"/>
      <c r="K97" s="210"/>
      <c r="L97" s="210"/>
      <c r="M97" s="210"/>
      <c r="N97" s="210"/>
      <c r="O97" s="210"/>
      <c r="P97" s="210"/>
      <c r="Q97" s="210"/>
      <c r="R97" s="210"/>
      <c r="S97" s="210"/>
      <c r="T97" s="210"/>
      <c r="U97" s="210"/>
      <c r="V97" s="210"/>
      <c r="W97" s="210"/>
      <c r="X97" s="210"/>
      <c r="Y97" s="210"/>
      <c r="Z97" s="210"/>
      <c r="AA97" s="210"/>
      <c r="AB97" s="210"/>
      <c r="AC97" s="210"/>
      <c r="AD97" s="210"/>
      <c r="AE97" s="210"/>
      <c r="AF97" s="210"/>
      <c r="AG97" s="210"/>
      <c r="AH97" s="210"/>
      <c r="AI97" s="210"/>
      <c r="AJ97" s="210"/>
      <c r="AK97" s="210"/>
      <c r="AL97" s="210"/>
      <c r="AM97" s="210"/>
      <c r="AN97" s="210"/>
      <c r="AO97" s="210"/>
      <c r="AP97" s="210"/>
      <c r="AQ97" s="210"/>
      <c r="AR97" s="210"/>
      <c r="AS97" s="210"/>
      <c r="AT97" s="210"/>
      <c r="AU97" s="210"/>
      <c r="AV97" s="210"/>
      <c r="AW97" s="210"/>
      <c r="AX97" s="210"/>
      <c r="AY97" s="210"/>
      <c r="AZ97" s="210"/>
      <c r="BA97" s="210"/>
      <c r="BB97" s="210"/>
      <c r="BC97" s="210"/>
      <c r="BD97" s="210"/>
      <c r="BE97" s="210"/>
      <c r="BF97" s="210"/>
      <c r="BG97" s="210"/>
      <c r="BH97" s="210"/>
      <c r="BI97" s="210"/>
      <c r="BJ97" s="210"/>
      <c r="BK97" s="210"/>
      <c r="BL97" s="210"/>
      <c r="BM97" s="210"/>
      <c r="BN97" s="210"/>
      <c r="BO97" s="210"/>
      <c r="BP97" s="210"/>
      <c r="BQ97" s="210"/>
      <c r="BR97" s="210"/>
      <c r="BS97" s="210"/>
      <c r="BT97" s="210"/>
      <c r="BU97" s="210"/>
      <c r="BV97" s="210"/>
      <c r="BW97" s="210"/>
      <c r="BX97" s="210"/>
      <c r="BY97" s="210"/>
      <c r="BZ97" s="210"/>
      <c r="CA97" s="210"/>
      <c r="CB97" s="210"/>
      <c r="CC97" s="210"/>
      <c r="CD97" s="210"/>
      <c r="CE97" s="210"/>
      <c r="CF97" s="210"/>
      <c r="CG97" s="210"/>
      <c r="CH97" s="210"/>
      <c r="CI97" s="210"/>
      <c r="CJ97" s="210"/>
      <c r="CK97" s="210"/>
      <c r="CL97" s="210"/>
      <c r="CM97" s="210"/>
      <c r="CN97" s="210"/>
      <c r="CO97" s="210"/>
      <c r="CP97" s="210"/>
      <c r="CQ97" s="210"/>
      <c r="CR97" s="210"/>
      <c r="CS97" s="210"/>
      <c r="CT97" s="210"/>
      <c r="CU97" s="210"/>
      <c r="CV97" s="210"/>
      <c r="CW97" s="210"/>
      <c r="CX97" s="210"/>
      <c r="CY97" s="210"/>
      <c r="CZ97" s="210"/>
      <c r="DA97" s="210"/>
      <c r="DB97" s="210"/>
      <c r="DC97" s="210"/>
      <c r="DD97" s="210"/>
      <c r="DE97" s="210"/>
      <c r="DF97" s="210"/>
      <c r="DG97" s="210"/>
      <c r="DH97" s="210"/>
      <c r="DI97" s="210"/>
      <c r="DP97" s="210"/>
    </row>
    <row r="98" spans="1:120" ht="11.25" customHeight="1">
      <c r="A98" s="210"/>
      <c r="B98" s="210"/>
      <c r="C98" s="210"/>
      <c r="D98" s="210"/>
      <c r="E98" s="210"/>
      <c r="F98" s="210"/>
      <c r="G98" s="210"/>
      <c r="H98" s="210"/>
      <c r="I98" s="210"/>
      <c r="J98" s="210"/>
      <c r="K98" s="210"/>
      <c r="L98" s="210"/>
      <c r="M98" s="210"/>
      <c r="N98" s="210"/>
      <c r="O98" s="210"/>
      <c r="P98" s="210"/>
      <c r="Q98" s="210"/>
      <c r="R98" s="210"/>
      <c r="S98" s="210"/>
      <c r="T98" s="210"/>
      <c r="U98" s="210"/>
      <c r="V98" s="210"/>
      <c r="W98" s="210"/>
      <c r="X98" s="210"/>
      <c r="Y98" s="210"/>
      <c r="Z98" s="210"/>
      <c r="AA98" s="210"/>
      <c r="AB98" s="210"/>
      <c r="AC98" s="210"/>
      <c r="AD98" s="210"/>
      <c r="AE98" s="210"/>
      <c r="AF98" s="210"/>
      <c r="AG98" s="210"/>
      <c r="AH98" s="210"/>
      <c r="AI98" s="210"/>
      <c r="AJ98" s="210"/>
      <c r="AK98" s="210"/>
      <c r="AL98" s="210"/>
      <c r="AM98" s="210"/>
      <c r="AN98" s="210"/>
      <c r="AO98" s="210"/>
      <c r="AP98" s="210"/>
      <c r="AQ98" s="210"/>
      <c r="AR98" s="210"/>
      <c r="AS98" s="210"/>
      <c r="AT98" s="210"/>
      <c r="AU98" s="210"/>
      <c r="AV98" s="210"/>
      <c r="AW98" s="210"/>
      <c r="AX98" s="210"/>
      <c r="AY98" s="210"/>
      <c r="AZ98" s="210"/>
      <c r="BA98" s="210"/>
      <c r="BB98" s="210"/>
      <c r="BC98" s="210"/>
      <c r="BD98" s="210"/>
      <c r="BE98" s="210"/>
      <c r="BF98" s="210"/>
      <c r="BG98" s="210"/>
      <c r="BH98" s="210"/>
      <c r="BI98" s="210"/>
      <c r="BJ98" s="210"/>
      <c r="BK98" s="210"/>
      <c r="BL98" s="210"/>
      <c r="BM98" s="210"/>
      <c r="BN98" s="210"/>
      <c r="BO98" s="210"/>
      <c r="BP98" s="210"/>
      <c r="BQ98" s="210"/>
      <c r="BR98" s="210"/>
      <c r="BS98" s="210"/>
      <c r="BT98" s="210"/>
      <c r="BU98" s="210"/>
      <c r="BV98" s="210"/>
      <c r="BW98" s="210"/>
      <c r="BX98" s="210"/>
      <c r="BY98" s="210"/>
      <c r="BZ98" s="210"/>
      <c r="CA98" s="210"/>
      <c r="CB98" s="210"/>
      <c r="CC98" s="210"/>
      <c r="CD98" s="210"/>
      <c r="CE98" s="210"/>
      <c r="CF98" s="210"/>
      <c r="CG98" s="210"/>
      <c r="CH98" s="210"/>
      <c r="CI98" s="210"/>
      <c r="CJ98" s="210"/>
      <c r="CK98" s="210"/>
      <c r="CL98" s="210"/>
      <c r="CM98" s="210"/>
      <c r="CN98" s="210"/>
      <c r="CO98" s="210"/>
      <c r="CP98" s="210"/>
      <c r="CQ98" s="210"/>
      <c r="CR98" s="210"/>
      <c r="CS98" s="210"/>
      <c r="CT98" s="210"/>
      <c r="CU98" s="210"/>
      <c r="CV98" s="210"/>
      <c r="CW98" s="210"/>
      <c r="CX98" s="210"/>
      <c r="CY98" s="210"/>
      <c r="CZ98" s="210"/>
      <c r="DA98" s="210"/>
      <c r="DB98" s="210"/>
      <c r="DC98" s="210"/>
      <c r="DD98" s="210"/>
      <c r="DE98" s="210"/>
      <c r="DF98" s="210"/>
      <c r="DG98" s="210"/>
      <c r="DH98" s="210"/>
      <c r="DI98" s="210"/>
      <c r="DP98" s="210"/>
    </row>
    <row r="99" spans="1:120" ht="11.25" customHeight="1">
      <c r="A99" s="210"/>
      <c r="B99" s="210"/>
      <c r="C99" s="210"/>
      <c r="D99" s="210"/>
      <c r="E99" s="210"/>
      <c r="F99" s="210"/>
      <c r="G99" s="210"/>
      <c r="H99" s="210"/>
      <c r="I99" s="210"/>
      <c r="J99" s="210"/>
      <c r="K99" s="210"/>
      <c r="L99" s="210"/>
      <c r="M99" s="210"/>
      <c r="N99" s="210"/>
      <c r="O99" s="210"/>
      <c r="P99" s="210"/>
      <c r="Q99" s="210"/>
      <c r="R99" s="210"/>
      <c r="S99" s="210"/>
      <c r="T99" s="210"/>
      <c r="U99" s="210"/>
      <c r="V99" s="210"/>
      <c r="W99" s="210"/>
      <c r="X99" s="210"/>
      <c r="Y99" s="210"/>
      <c r="Z99" s="210"/>
      <c r="AA99" s="210"/>
      <c r="AB99" s="210"/>
      <c r="AC99" s="210"/>
      <c r="AD99" s="210"/>
      <c r="AE99" s="210"/>
      <c r="AF99" s="210"/>
      <c r="AG99" s="210"/>
      <c r="AH99" s="210"/>
      <c r="AI99" s="210"/>
      <c r="AJ99" s="210"/>
      <c r="AK99" s="210"/>
      <c r="AL99" s="210"/>
      <c r="AM99" s="210"/>
      <c r="AN99" s="210"/>
      <c r="AO99" s="210"/>
      <c r="AP99" s="210"/>
      <c r="AQ99" s="210"/>
      <c r="AR99" s="210"/>
      <c r="AS99" s="210"/>
      <c r="AT99" s="210"/>
      <c r="AU99" s="210"/>
      <c r="AV99" s="210"/>
      <c r="AW99" s="210"/>
      <c r="AX99" s="210"/>
      <c r="AY99" s="210"/>
      <c r="AZ99" s="210"/>
      <c r="BA99" s="210"/>
      <c r="BB99" s="210"/>
      <c r="BC99" s="210"/>
      <c r="BD99" s="210"/>
      <c r="BE99" s="210"/>
      <c r="BF99" s="210"/>
      <c r="BG99" s="210"/>
      <c r="BH99" s="210"/>
      <c r="BI99" s="210"/>
      <c r="BJ99" s="210"/>
      <c r="BK99" s="210"/>
      <c r="BL99" s="210"/>
      <c r="BM99" s="210"/>
      <c r="BN99" s="210"/>
      <c r="BO99" s="210"/>
      <c r="BP99" s="210"/>
      <c r="BQ99" s="210"/>
      <c r="BR99" s="210"/>
      <c r="BS99" s="210"/>
      <c r="BT99" s="210"/>
      <c r="BU99" s="210"/>
      <c r="BV99" s="210"/>
      <c r="BW99" s="210"/>
      <c r="BX99" s="210"/>
      <c r="BY99" s="210"/>
      <c r="BZ99" s="210"/>
      <c r="CA99" s="210"/>
      <c r="CB99" s="210"/>
      <c r="CC99" s="210"/>
      <c r="CD99" s="210"/>
      <c r="CE99" s="210"/>
      <c r="CF99" s="210"/>
      <c r="CG99" s="210"/>
      <c r="CH99" s="210"/>
      <c r="CI99" s="210"/>
      <c r="CJ99" s="210"/>
      <c r="CK99" s="210"/>
      <c r="CL99" s="210"/>
      <c r="CM99" s="210"/>
      <c r="CN99" s="210"/>
      <c r="CO99" s="210"/>
      <c r="CP99" s="210"/>
      <c r="CQ99" s="210"/>
      <c r="CR99" s="210"/>
      <c r="CS99" s="210"/>
      <c r="CT99" s="210"/>
      <c r="CU99" s="210"/>
      <c r="CV99" s="210"/>
      <c r="CW99" s="210"/>
      <c r="CX99" s="210"/>
      <c r="CY99" s="210"/>
      <c r="CZ99" s="210"/>
      <c r="DA99" s="210"/>
      <c r="DB99" s="210"/>
      <c r="DC99" s="210"/>
      <c r="DD99" s="210"/>
      <c r="DE99" s="210"/>
      <c r="DF99" s="210"/>
      <c r="DG99" s="210"/>
      <c r="DH99" s="210"/>
      <c r="DI99" s="210"/>
      <c r="DP99" s="210"/>
    </row>
    <row r="100" spans="1:120" ht="11.25" customHeight="1">
      <c r="A100" s="210"/>
      <c r="B100" s="210"/>
      <c r="C100" s="210"/>
      <c r="D100" s="210"/>
      <c r="E100" s="210"/>
      <c r="F100" s="210"/>
      <c r="G100" s="210"/>
      <c r="H100" s="210"/>
      <c r="I100" s="210"/>
      <c r="J100" s="210"/>
      <c r="K100" s="210"/>
      <c r="L100" s="210"/>
      <c r="M100" s="210"/>
      <c r="N100" s="210"/>
      <c r="O100" s="210"/>
      <c r="P100" s="210"/>
      <c r="Q100" s="210"/>
      <c r="R100" s="210"/>
      <c r="S100" s="210"/>
      <c r="T100" s="210"/>
      <c r="U100" s="210"/>
      <c r="V100" s="210"/>
      <c r="W100" s="210"/>
      <c r="X100" s="210"/>
      <c r="Y100" s="210"/>
      <c r="Z100" s="210"/>
      <c r="AA100" s="210"/>
      <c r="AB100" s="210"/>
      <c r="AC100" s="210"/>
      <c r="AD100" s="210"/>
      <c r="AE100" s="210"/>
      <c r="AF100" s="210"/>
      <c r="AG100" s="210"/>
      <c r="AH100" s="210"/>
      <c r="AI100" s="210"/>
      <c r="AJ100" s="210"/>
      <c r="AK100" s="210"/>
      <c r="AL100" s="210"/>
      <c r="AM100" s="210"/>
      <c r="AN100" s="210"/>
      <c r="AO100" s="210"/>
      <c r="AP100" s="210"/>
      <c r="AQ100" s="210"/>
      <c r="AR100" s="210"/>
      <c r="AS100" s="210"/>
      <c r="AT100" s="210"/>
      <c r="AU100" s="210"/>
      <c r="AV100" s="210"/>
      <c r="AW100" s="210"/>
      <c r="AX100" s="210"/>
      <c r="AY100" s="210"/>
      <c r="AZ100" s="210"/>
      <c r="BA100" s="210"/>
      <c r="BB100" s="210"/>
      <c r="BC100" s="210"/>
      <c r="BD100" s="210"/>
      <c r="BE100" s="210"/>
      <c r="BF100" s="210"/>
      <c r="BG100" s="210"/>
      <c r="BH100" s="210"/>
      <c r="BI100" s="210"/>
      <c r="BJ100" s="210"/>
      <c r="BK100" s="210"/>
      <c r="BL100" s="210"/>
      <c r="BM100" s="210"/>
      <c r="BN100" s="210"/>
      <c r="BO100" s="210"/>
      <c r="BP100" s="210"/>
      <c r="BQ100" s="210"/>
      <c r="BR100" s="210"/>
      <c r="BS100" s="210"/>
      <c r="BT100" s="210"/>
      <c r="BU100" s="210"/>
      <c r="BV100" s="210"/>
      <c r="BW100" s="210"/>
      <c r="BX100" s="210"/>
      <c r="BY100" s="210"/>
      <c r="BZ100" s="210"/>
      <c r="CA100" s="210"/>
      <c r="CB100" s="210"/>
      <c r="CC100" s="210"/>
      <c r="CD100" s="210"/>
      <c r="CE100" s="210"/>
      <c r="CF100" s="210"/>
      <c r="CG100" s="210"/>
      <c r="CH100" s="210"/>
      <c r="CI100" s="210"/>
      <c r="CJ100" s="210"/>
      <c r="CK100" s="210"/>
      <c r="CL100" s="210"/>
      <c r="CM100" s="210"/>
      <c r="CN100" s="210"/>
      <c r="CO100" s="210"/>
      <c r="CP100" s="210"/>
      <c r="CQ100" s="210"/>
      <c r="CR100" s="69"/>
      <c r="CS100" s="210"/>
      <c r="CT100" s="210"/>
      <c r="CU100" s="210"/>
      <c r="CV100" s="210"/>
      <c r="CW100" s="210"/>
      <c r="CX100" s="69"/>
      <c r="CY100" s="210"/>
      <c r="CZ100" s="210"/>
      <c r="DA100" s="210"/>
      <c r="DB100" s="210"/>
      <c r="DC100" s="210"/>
      <c r="DD100" s="69"/>
      <c r="DE100" s="210"/>
      <c r="DF100" s="210"/>
      <c r="DG100" s="210"/>
      <c r="DH100" s="210"/>
      <c r="DI100" s="210"/>
      <c r="DP100" s="69"/>
    </row>
    <row r="101" spans="1:120" ht="11.25" customHeight="1">
      <c r="A101" s="210"/>
      <c r="B101" s="210"/>
      <c r="C101" s="210"/>
      <c r="D101" s="210"/>
      <c r="E101" s="210"/>
      <c r="F101" s="210"/>
      <c r="G101" s="210"/>
      <c r="H101" s="210"/>
      <c r="I101" s="210"/>
      <c r="J101" s="210"/>
      <c r="K101" s="210"/>
      <c r="L101" s="210"/>
      <c r="M101" s="210"/>
      <c r="N101" s="210"/>
      <c r="O101" s="210"/>
      <c r="P101" s="210"/>
      <c r="Q101" s="210"/>
      <c r="R101" s="210"/>
      <c r="S101" s="210"/>
      <c r="T101" s="210"/>
      <c r="U101" s="210"/>
      <c r="V101" s="210"/>
      <c r="W101" s="210"/>
      <c r="X101" s="210"/>
      <c r="Y101" s="210"/>
      <c r="Z101" s="210"/>
      <c r="AA101" s="210"/>
      <c r="AB101" s="210"/>
      <c r="AC101" s="210"/>
      <c r="AD101" s="210"/>
      <c r="AE101" s="210"/>
      <c r="AF101" s="210"/>
      <c r="AG101" s="210"/>
      <c r="AH101" s="210"/>
      <c r="AI101" s="210"/>
      <c r="AJ101" s="210"/>
      <c r="AK101" s="210"/>
      <c r="AL101" s="210"/>
      <c r="AM101" s="210"/>
      <c r="AN101" s="210"/>
      <c r="AO101" s="210"/>
      <c r="AP101" s="210"/>
      <c r="AQ101" s="210"/>
      <c r="AR101" s="210"/>
      <c r="AS101" s="210"/>
      <c r="AT101" s="210"/>
      <c r="AU101" s="210"/>
      <c r="AV101" s="210"/>
      <c r="AW101" s="210"/>
      <c r="AX101" s="210"/>
      <c r="AY101" s="210"/>
      <c r="AZ101" s="210"/>
      <c r="BA101" s="210"/>
      <c r="BB101" s="210"/>
      <c r="BC101" s="210"/>
      <c r="BD101" s="210"/>
      <c r="BE101" s="210"/>
      <c r="BF101" s="210"/>
      <c r="BG101" s="210"/>
      <c r="BH101" s="210"/>
      <c r="BI101" s="210"/>
      <c r="BJ101" s="210"/>
      <c r="BK101" s="210"/>
      <c r="BL101" s="210"/>
      <c r="BM101" s="210"/>
      <c r="BN101" s="210"/>
      <c r="BO101" s="210"/>
      <c r="BP101" s="210"/>
      <c r="BQ101" s="210"/>
      <c r="BR101" s="210"/>
      <c r="BS101" s="210"/>
      <c r="BT101" s="210"/>
      <c r="BU101" s="210"/>
      <c r="BV101" s="210"/>
      <c r="BW101" s="210"/>
      <c r="BX101" s="210"/>
      <c r="BY101" s="210"/>
      <c r="BZ101" s="210"/>
      <c r="CA101" s="210"/>
      <c r="CB101" s="210"/>
      <c r="CC101" s="210"/>
      <c r="CD101" s="210"/>
      <c r="CE101" s="210"/>
      <c r="CF101" s="210"/>
      <c r="CG101" s="210"/>
      <c r="CH101" s="210"/>
      <c r="CI101" s="210"/>
      <c r="CJ101" s="210"/>
      <c r="CK101" s="210"/>
      <c r="CL101" s="210"/>
      <c r="CM101" s="210"/>
      <c r="CN101" s="210"/>
      <c r="CO101" s="210"/>
      <c r="CP101" s="210"/>
      <c r="CQ101" s="210"/>
      <c r="CR101" s="210"/>
      <c r="CS101" s="210"/>
      <c r="CT101" s="210"/>
      <c r="CU101" s="210"/>
      <c r="CV101" s="210"/>
      <c r="CW101" s="210"/>
      <c r="CX101" s="210"/>
      <c r="CY101" s="210"/>
      <c r="CZ101" s="210"/>
      <c r="DA101" s="210"/>
      <c r="DB101" s="210"/>
      <c r="DC101" s="210"/>
      <c r="DD101" s="210"/>
      <c r="DE101" s="210"/>
      <c r="DF101" s="210"/>
      <c r="DG101" s="210"/>
      <c r="DH101" s="210"/>
      <c r="DI101" s="210"/>
      <c r="DP101" s="210"/>
    </row>
    <row r="102" spans="1:120" ht="11.25" customHeight="1">
      <c r="A102" s="210"/>
      <c r="B102" s="210"/>
      <c r="C102" s="210"/>
      <c r="D102" s="210"/>
      <c r="E102" s="210"/>
      <c r="F102" s="210"/>
      <c r="G102" s="210"/>
      <c r="H102" s="210"/>
      <c r="I102" s="210"/>
      <c r="J102" s="210"/>
      <c r="K102" s="210"/>
      <c r="L102" s="210"/>
      <c r="M102" s="210"/>
      <c r="N102" s="210"/>
      <c r="O102" s="210"/>
      <c r="P102" s="210"/>
      <c r="Q102" s="210"/>
      <c r="R102" s="210"/>
      <c r="S102" s="210"/>
      <c r="T102" s="210"/>
      <c r="U102" s="210"/>
      <c r="V102" s="210"/>
      <c r="W102" s="210"/>
      <c r="X102" s="210"/>
      <c r="Y102" s="210"/>
      <c r="Z102" s="210"/>
      <c r="AA102" s="210"/>
      <c r="AB102" s="210"/>
      <c r="AC102" s="210"/>
      <c r="AD102" s="210"/>
      <c r="AE102" s="210"/>
      <c r="AF102" s="210"/>
      <c r="AG102" s="210"/>
      <c r="AH102" s="210"/>
      <c r="AI102" s="210"/>
      <c r="AJ102" s="210"/>
      <c r="AK102" s="210"/>
      <c r="AL102" s="210"/>
      <c r="AM102" s="210"/>
      <c r="AN102" s="210"/>
      <c r="AO102" s="210"/>
      <c r="AP102" s="210"/>
      <c r="AQ102" s="210"/>
      <c r="AR102" s="210"/>
      <c r="AS102" s="210"/>
      <c r="AT102" s="210"/>
      <c r="AU102" s="210"/>
      <c r="AV102" s="210"/>
      <c r="AW102" s="210"/>
      <c r="AX102" s="210"/>
      <c r="AY102" s="210"/>
      <c r="AZ102" s="210"/>
      <c r="BA102" s="210"/>
      <c r="BB102" s="210"/>
      <c r="BC102" s="210"/>
      <c r="BD102" s="210"/>
      <c r="BE102" s="210"/>
      <c r="BF102" s="210"/>
      <c r="BG102" s="210"/>
      <c r="BH102" s="210"/>
      <c r="BI102" s="210"/>
      <c r="BJ102" s="210"/>
      <c r="BK102" s="210"/>
      <c r="BL102" s="210"/>
      <c r="BM102" s="210"/>
      <c r="BN102" s="210"/>
      <c r="BO102" s="210"/>
      <c r="BP102" s="210"/>
      <c r="BQ102" s="210"/>
      <c r="BR102" s="210"/>
      <c r="BS102" s="210"/>
      <c r="BT102" s="210"/>
      <c r="BU102" s="210"/>
      <c r="BV102" s="210"/>
      <c r="BW102" s="210"/>
      <c r="BX102" s="210"/>
      <c r="BY102" s="210"/>
      <c r="BZ102" s="210"/>
      <c r="CA102" s="210"/>
      <c r="CB102" s="210"/>
      <c r="CC102" s="210"/>
      <c r="CD102" s="210"/>
      <c r="CE102" s="210"/>
      <c r="CF102" s="210"/>
      <c r="CG102" s="210"/>
      <c r="CH102" s="210"/>
      <c r="CI102" s="210"/>
      <c r="CJ102" s="210"/>
      <c r="CK102" s="210"/>
      <c r="CL102" s="210"/>
      <c r="CM102" s="210"/>
      <c r="CN102" s="210"/>
      <c r="CO102" s="210"/>
      <c r="CP102" s="210"/>
      <c r="CQ102" s="210"/>
      <c r="CR102" s="210"/>
      <c r="CS102" s="210"/>
      <c r="CT102" s="210"/>
      <c r="CU102" s="210"/>
      <c r="CV102" s="210"/>
      <c r="CW102" s="210"/>
      <c r="CX102" s="210"/>
      <c r="CY102" s="210"/>
      <c r="CZ102" s="210"/>
      <c r="DA102" s="210"/>
      <c r="DB102" s="210"/>
      <c r="DC102" s="210"/>
      <c r="DD102" s="210"/>
      <c r="DE102" s="210"/>
      <c r="DF102" s="210"/>
      <c r="DG102" s="210"/>
      <c r="DH102" s="210"/>
      <c r="DI102" s="210"/>
      <c r="DP102" s="210"/>
    </row>
    <row r="103" spans="1:120" ht="11.25" customHeight="1"/>
    <row r="104" spans="1:120" ht="11.25" customHeight="1"/>
    <row r="105" spans="1:120" ht="11.25" customHeight="1"/>
    <row r="106" spans="1:120" ht="11.25" customHeight="1"/>
    <row r="107" spans="1:120" ht="11.25" customHeight="1"/>
    <row r="108" spans="1:120" ht="11.25" customHeight="1"/>
    <row r="109" spans="1:120" ht="11.25" customHeight="1"/>
    <row r="110" spans="1:120" ht="11.25" customHeight="1"/>
    <row r="111" spans="1:120" ht="11.25" customHeight="1"/>
    <row r="112" spans="1:120" ht="11.25" customHeight="1"/>
    <row r="113" ht="11.25" customHeight="1"/>
    <row r="114" ht="11.25" customHeight="1"/>
    <row r="115" ht="11.25" customHeight="1"/>
    <row r="116" ht="11.25" customHeight="1"/>
    <row r="117" ht="11.25" customHeight="1"/>
    <row r="118" ht="11.25" customHeight="1"/>
    <row r="119" ht="11.25" customHeight="1"/>
    <row r="120" ht="11.25" customHeight="1"/>
    <row r="121" ht="11.25" customHeight="1"/>
    <row r="122" ht="11.25" customHeight="1"/>
    <row r="123" ht="11.25" customHeight="1"/>
    <row r="124" ht="11.25" customHeight="1"/>
    <row r="125" ht="11.25" customHeight="1"/>
    <row r="126" ht="11.25" customHeight="1"/>
    <row r="127" ht="11.25" customHeight="1"/>
    <row r="128" ht="11.25" customHeight="1"/>
    <row r="129" ht="11.25" customHeight="1"/>
    <row r="130" ht="11.25" customHeight="1"/>
    <row r="131" ht="11.25" customHeight="1"/>
    <row r="132" ht="11.25" customHeight="1"/>
  </sheetData>
  <phoneticPr fontId="6" type="noConversion"/>
  <pageMargins left="0" right="0" top="0" bottom="0" header="0" footer="0"/>
  <pageSetup scale="77" orientation="portrait" r:id="rId1"/>
  <headerFooter alignWithMargins="0"/>
  <ignoredErrors>
    <ignoredError sqref="BJ43:BJ44 BK26:BQ26 BJ23:BJ26 BI20:BM20 BK23:BO25 BK33:BQ35 BK29:BO32 BK43:BO43 BW16 BW30 BV39:BW41 BW85 BK36:BO37 BX13:BZ19 CB20:CC20 CO13:CQ18 CF13 BJ39:BO41 CF18 CF14 CF20:CM20 BX20 BZ20 CD13:CD20 CK14:CM14 CK13:CM13 CF19 CK19:CL19 CO20:CQ20 CQ19 CF15 CK15:CM15 CF16 CK16:CM16 CF17 CK17:CM17 CK18:CM18 CH85 BK28:BQ28 BJ28:BJ37" formula="1"/>
    <ignoredError sqref="BW65" numberStoredAsText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EA100"/>
  <sheetViews>
    <sheetView showGridLines="0" zoomScaleNormal="100" workbookViewId="0">
      <pane xSplit="3" ySplit="7" topLeftCell="D8" activePane="bottomRight" state="frozen"/>
      <selection activeCell="B7" sqref="B7"/>
      <selection pane="topRight" activeCell="B7" sqref="B7"/>
      <selection pane="bottomLeft" activeCell="B7" sqref="B7"/>
      <selection pane="bottomRight"/>
    </sheetView>
  </sheetViews>
  <sheetFormatPr defaultColWidth="9.42578125" defaultRowHeight="12.75" outlineLevelRow="1" outlineLevelCol="1"/>
  <cols>
    <col min="1" max="1" width="56.42578125" customWidth="1"/>
    <col min="2" max="3" width="10.7109375" hidden="1" customWidth="1" outlineLevel="1"/>
    <col min="4" max="4" width="0.85546875" customWidth="1" collapsed="1"/>
    <col min="5" max="5" width="8.7109375" hidden="1" customWidth="1" outlineLevel="1"/>
    <col min="6" max="6" width="0.85546875" hidden="1" customWidth="1" outlineLevel="1"/>
    <col min="7" max="7" width="8.7109375" hidden="1" customWidth="1" outlineLevel="1"/>
    <col min="8" max="8" width="0.85546875" hidden="1" customWidth="1" outlineLevel="1"/>
    <col min="9" max="9" width="8.7109375" hidden="1" customWidth="1" outlineLevel="1"/>
    <col min="10" max="10" width="0.85546875" hidden="1" customWidth="1" outlineLevel="1"/>
    <col min="11" max="11" width="8.7109375" hidden="1" customWidth="1" outlineLevel="1"/>
    <col min="12" max="12" width="0.85546875" hidden="1" customWidth="1" outlineLevel="1"/>
    <col min="13" max="13" width="8.7109375" hidden="1" customWidth="1" outlineLevel="1"/>
    <col min="14" max="14" width="0.85546875" hidden="1" customWidth="1" outlineLevel="1"/>
    <col min="15" max="15" width="8.7109375" hidden="1" customWidth="1" outlineLevel="1"/>
    <col min="16" max="16" width="0.85546875" hidden="1" customWidth="1" outlineLevel="1"/>
    <col min="17" max="17" width="8.7109375" hidden="1" customWidth="1" outlineLevel="1"/>
    <col min="18" max="18" width="0.85546875" hidden="1" customWidth="1" outlineLevel="1"/>
    <col min="19" max="22" width="8.7109375" hidden="1" customWidth="1" outlineLevel="1"/>
    <col min="23" max="23" width="8.7109375" hidden="1" customWidth="1" outlineLevel="1" collapsed="1"/>
    <col min="24" max="24" width="0.85546875" hidden="1" customWidth="1" outlineLevel="1"/>
    <col min="25" max="28" width="8.7109375" hidden="1" customWidth="1" outlineLevel="1"/>
    <col min="29" max="29" width="8.7109375" hidden="1" customWidth="1" outlineLevel="1" collapsed="1"/>
    <col min="30" max="30" width="0.85546875" hidden="1" customWidth="1" outlineLevel="1"/>
    <col min="31" max="34" width="8.7109375" hidden="1" customWidth="1" outlineLevel="1"/>
    <col min="35" max="35" width="8.7109375" hidden="1" customWidth="1" outlineLevel="1" collapsed="1"/>
    <col min="36" max="36" width="0.85546875" hidden="1" customWidth="1" outlineLevel="1"/>
    <col min="37" max="40" width="8.7109375" hidden="1" customWidth="1" outlineLevel="1"/>
    <col min="41" max="41" width="8.7109375" customWidth="1" collapsed="1"/>
    <col min="42" max="42" width="0.85546875" customWidth="1"/>
    <col min="43" max="46" width="8.7109375" hidden="1" customWidth="1" outlineLevel="1"/>
    <col min="47" max="47" width="8.7109375" customWidth="1" collapsed="1"/>
    <col min="48" max="48" width="0.85546875" customWidth="1"/>
    <col min="49" max="52" width="8.7109375" hidden="1" customWidth="1" outlineLevel="1"/>
    <col min="53" max="53" width="8.7109375" customWidth="1" collapsed="1"/>
    <col min="54" max="54" width="0.85546875" customWidth="1"/>
    <col min="55" max="58" width="8.7109375" hidden="1" customWidth="1" outlineLevel="1"/>
    <col min="59" max="59" width="8.7109375" customWidth="1" collapsed="1"/>
    <col min="60" max="60" width="0.85546875" customWidth="1"/>
    <col min="61" max="64" width="8.7109375" hidden="1" customWidth="1" outlineLevel="1"/>
    <col min="65" max="65" width="8.7109375" customWidth="1" collapsed="1"/>
    <col min="66" max="66" width="0.85546875" customWidth="1"/>
    <col min="67" max="70" width="8.7109375" hidden="1" customWidth="1" outlineLevel="1"/>
    <col min="71" max="71" width="8.7109375" customWidth="1" collapsed="1"/>
    <col min="72" max="72" width="0.85546875" customWidth="1"/>
    <col min="73" max="76" width="8.7109375" customWidth="1" outlineLevel="1"/>
    <col min="77" max="77" width="8.7109375" customWidth="1"/>
    <col min="78" max="78" width="0.85546875" customWidth="1"/>
    <col min="79" max="82" width="8.7109375" customWidth="1" outlineLevel="1"/>
    <col min="83" max="83" width="8.7109375" customWidth="1"/>
    <col min="84" max="84" width="0.85546875" customWidth="1"/>
    <col min="85" max="88" width="8.7109375" hidden="1" customWidth="1" outlineLevel="1"/>
    <col min="89" max="89" width="8.7109375" customWidth="1" collapsed="1"/>
    <col min="90" max="90" width="0.85546875" customWidth="1"/>
    <col min="91" max="94" width="8.7109375" hidden="1" customWidth="1" outlineLevel="1"/>
    <col min="95" max="95" width="8.7109375" customWidth="1" collapsed="1"/>
  </cols>
  <sheetData>
    <row r="1" spans="1:95" ht="11.25" customHeight="1"/>
    <row r="2" spans="1:95" ht="11.25" customHeight="1">
      <c r="A2" s="1063" t="s">
        <v>265</v>
      </c>
      <c r="B2" s="3"/>
      <c r="C2" s="3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33"/>
      <c r="R2" s="27"/>
      <c r="S2" s="27"/>
      <c r="T2" s="27"/>
      <c r="U2" s="27"/>
      <c r="V2" s="27"/>
      <c r="W2" s="33"/>
      <c r="X2" s="27"/>
      <c r="Y2" s="27"/>
      <c r="Z2" s="27"/>
      <c r="AA2" s="27"/>
      <c r="AB2" s="27"/>
      <c r="AC2" s="33"/>
      <c r="AD2" s="27"/>
      <c r="AE2" s="27"/>
      <c r="AF2" s="27"/>
      <c r="AG2" s="27"/>
      <c r="AH2" s="27"/>
      <c r="AI2" s="33"/>
      <c r="AJ2" s="27"/>
      <c r="AK2" s="213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CA2" s="27"/>
      <c r="CB2" s="27"/>
      <c r="CC2" s="27"/>
      <c r="CD2" s="27"/>
      <c r="CE2" s="27"/>
      <c r="CG2" s="27"/>
      <c r="CH2" s="27"/>
      <c r="CI2" s="27"/>
      <c r="CJ2" s="27"/>
      <c r="CK2" s="27"/>
      <c r="CM2" s="27"/>
      <c r="CN2" s="27"/>
      <c r="CO2" s="27"/>
      <c r="CP2" s="27"/>
      <c r="CQ2" s="27"/>
    </row>
    <row r="3" spans="1:95" ht="11.25" customHeight="1">
      <c r="A3" s="1064" t="s">
        <v>272</v>
      </c>
      <c r="B3" s="4"/>
      <c r="C3" s="4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9"/>
      <c r="BB3" s="28"/>
      <c r="BC3" s="28"/>
      <c r="BD3" s="28"/>
      <c r="BE3" s="28"/>
      <c r="BF3" s="28"/>
      <c r="BG3" s="214"/>
      <c r="BH3" s="28"/>
      <c r="BI3" s="28"/>
      <c r="BJ3" s="28"/>
      <c r="BK3" s="28"/>
      <c r="BL3" s="28"/>
      <c r="BM3" s="214"/>
      <c r="BN3" s="28"/>
      <c r="BO3" s="28"/>
      <c r="BP3" s="28"/>
      <c r="BQ3" s="28"/>
      <c r="BR3" s="28"/>
      <c r="BS3" s="214"/>
      <c r="BT3" s="28"/>
      <c r="BU3" s="28"/>
      <c r="BV3" s="28"/>
      <c r="BW3" s="28"/>
      <c r="BX3" s="28"/>
      <c r="BY3" s="214"/>
      <c r="CA3" s="28"/>
      <c r="CB3" s="28"/>
      <c r="CC3" s="28"/>
      <c r="CD3" s="28"/>
      <c r="CE3" s="214"/>
      <c r="CG3" s="28"/>
      <c r="CH3" s="28"/>
      <c r="CI3" s="28"/>
      <c r="CJ3" s="28"/>
      <c r="CK3" s="214"/>
      <c r="CM3" s="28"/>
      <c r="CN3" s="28"/>
      <c r="CO3" s="28"/>
      <c r="CP3" s="28"/>
      <c r="CQ3" s="214"/>
    </row>
    <row r="4" spans="1:95" ht="11.25" customHeight="1">
      <c r="A4" s="1010" t="s">
        <v>71</v>
      </c>
      <c r="B4" s="5"/>
      <c r="C4" s="5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215"/>
      <c r="AD4" s="30"/>
      <c r="AE4" s="30"/>
      <c r="AF4" s="30"/>
      <c r="AG4" s="216"/>
      <c r="AH4" s="216"/>
      <c r="AI4" s="215"/>
      <c r="AJ4" s="30"/>
      <c r="AK4" s="216"/>
      <c r="AL4" s="216"/>
      <c r="AM4" s="216"/>
      <c r="AN4" s="216"/>
      <c r="AO4" s="216"/>
      <c r="AP4" s="30"/>
      <c r="AQ4" s="216"/>
      <c r="AR4" s="216"/>
      <c r="AS4" s="216"/>
      <c r="AT4" s="216"/>
      <c r="AU4" s="216"/>
      <c r="AV4" s="30"/>
      <c r="AW4" s="216"/>
      <c r="AX4" s="216"/>
      <c r="AY4" s="216"/>
      <c r="AZ4" s="216"/>
      <c r="BA4" s="216"/>
      <c r="BB4" s="30"/>
      <c r="BC4" s="216"/>
      <c r="BD4" s="216"/>
      <c r="BE4" s="216"/>
      <c r="BF4" s="216"/>
      <c r="BG4" s="216"/>
      <c r="BH4" s="30"/>
      <c r="BI4" s="216"/>
      <c r="BJ4" s="216"/>
      <c r="BK4" s="216"/>
      <c r="BL4" s="216"/>
      <c r="BM4" s="216"/>
      <c r="BN4" s="30"/>
      <c r="BO4" s="216"/>
      <c r="BP4" s="216"/>
      <c r="BQ4" s="216"/>
      <c r="BR4" s="216"/>
      <c r="BS4" s="216"/>
      <c r="BT4" s="30"/>
      <c r="BU4" s="216"/>
      <c r="BV4" s="216"/>
      <c r="BW4" s="216"/>
      <c r="BX4" s="216"/>
      <c r="BY4" s="216"/>
      <c r="CA4" s="216"/>
      <c r="CB4" s="216"/>
      <c r="CC4" s="216"/>
      <c r="CD4" s="216"/>
      <c r="CE4" s="216"/>
      <c r="CG4" s="216"/>
      <c r="CH4" s="216"/>
      <c r="CI4" s="216"/>
      <c r="CJ4" s="216"/>
      <c r="CK4" s="216"/>
      <c r="CM4" s="216"/>
      <c r="CN4" s="216"/>
      <c r="CO4" s="216"/>
      <c r="CP4" s="216"/>
      <c r="CQ4" s="216"/>
    </row>
    <row r="5" spans="1:95" ht="11.25" customHeight="1">
      <c r="A5" s="788" t="s">
        <v>2</v>
      </c>
      <c r="B5" s="6"/>
      <c r="C5" s="6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8"/>
      <c r="T5" s="28"/>
      <c r="U5" s="28"/>
      <c r="V5" s="28"/>
      <c r="W5" s="28"/>
      <c r="X5" s="28"/>
      <c r="Y5" s="28"/>
      <c r="Z5" s="28"/>
      <c r="AA5" s="28"/>
      <c r="AB5" s="28"/>
      <c r="AC5" s="1062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  <c r="BV5" s="28"/>
      <c r="BW5" s="28"/>
      <c r="BX5" s="28"/>
      <c r="BY5" s="28"/>
      <c r="BZ5" s="21"/>
      <c r="CA5" s="28"/>
      <c r="CB5" s="28"/>
      <c r="CC5" s="28"/>
      <c r="CD5" s="28"/>
      <c r="CE5" s="28"/>
      <c r="CF5" s="21"/>
      <c r="CG5" s="28"/>
      <c r="CH5" s="28"/>
      <c r="CI5" s="28"/>
      <c r="CJ5" s="28"/>
      <c r="CK5" s="28"/>
      <c r="CM5" s="28"/>
      <c r="CN5" s="28"/>
      <c r="CO5" s="28"/>
      <c r="CP5" s="28"/>
      <c r="CQ5" s="28"/>
    </row>
    <row r="6" spans="1:95" ht="11.25" customHeight="1">
      <c r="A6" s="1011"/>
      <c r="B6" s="1011"/>
      <c r="C6" s="1011"/>
      <c r="D6" s="217"/>
      <c r="E6" s="789">
        <v>2002</v>
      </c>
      <c r="F6" s="794"/>
      <c r="G6" s="789">
        <f>E6+1</f>
        <v>2003</v>
      </c>
      <c r="H6" s="794"/>
      <c r="I6" s="789">
        <f>G6+1</f>
        <v>2004</v>
      </c>
      <c r="J6" s="794"/>
      <c r="K6" s="789">
        <f>I6+1</f>
        <v>2005</v>
      </c>
      <c r="L6" s="217"/>
      <c r="M6" s="789">
        <f>K6+1</f>
        <v>2006</v>
      </c>
      <c r="N6" s="217"/>
      <c r="O6" s="789">
        <f>M6+1</f>
        <v>2007</v>
      </c>
      <c r="P6" s="217"/>
      <c r="Q6" s="789">
        <f>O6+1</f>
        <v>2008</v>
      </c>
      <c r="R6" s="217"/>
      <c r="S6" s="796">
        <v>2009</v>
      </c>
      <c r="T6" s="797"/>
      <c r="U6" s="797"/>
      <c r="V6" s="797"/>
      <c r="W6" s="789">
        <v>2009</v>
      </c>
      <c r="X6" s="791"/>
      <c r="Y6" s="796">
        <f>S6+1</f>
        <v>2010</v>
      </c>
      <c r="Z6" s="797"/>
      <c r="AA6" s="797"/>
      <c r="AB6" s="797"/>
      <c r="AC6" s="789">
        <f>W6+1</f>
        <v>2010</v>
      </c>
      <c r="AD6" s="791"/>
      <c r="AE6" s="796">
        <f>Y6+1</f>
        <v>2011</v>
      </c>
      <c r="AF6" s="797"/>
      <c r="AG6" s="797"/>
      <c r="AH6" s="797"/>
      <c r="AI6" s="789">
        <f>AC6+1</f>
        <v>2011</v>
      </c>
      <c r="AJ6" s="791"/>
      <c r="AK6" s="796">
        <f>AE6+1</f>
        <v>2012</v>
      </c>
      <c r="AL6" s="797"/>
      <c r="AM6" s="797"/>
      <c r="AN6" s="797"/>
      <c r="AO6" s="789">
        <f>AI6+1</f>
        <v>2012</v>
      </c>
      <c r="AP6" s="791"/>
      <c r="AQ6" s="796">
        <f>AK6+1</f>
        <v>2013</v>
      </c>
      <c r="AR6" s="797"/>
      <c r="AS6" s="797"/>
      <c r="AT6" s="797"/>
      <c r="AU6" s="789">
        <f>AO6+1</f>
        <v>2013</v>
      </c>
      <c r="AV6" s="791"/>
      <c r="AW6" s="796">
        <f>AQ6+1</f>
        <v>2014</v>
      </c>
      <c r="AX6" s="797"/>
      <c r="AY6" s="797"/>
      <c r="AZ6" s="797"/>
      <c r="BA6" s="789">
        <f>AU6+1</f>
        <v>2014</v>
      </c>
      <c r="BB6" s="791"/>
      <c r="BC6" s="796">
        <f>AW6+1</f>
        <v>2015</v>
      </c>
      <c r="BD6" s="797"/>
      <c r="BE6" s="797"/>
      <c r="BF6" s="797"/>
      <c r="BG6" s="789">
        <f>BA6+1</f>
        <v>2015</v>
      </c>
      <c r="BH6" s="791"/>
      <c r="BI6" s="796">
        <f>BC6+1</f>
        <v>2016</v>
      </c>
      <c r="BJ6" s="797"/>
      <c r="BK6" s="797"/>
      <c r="BL6" s="797"/>
      <c r="BM6" s="789">
        <f>BG6+1</f>
        <v>2016</v>
      </c>
      <c r="BN6" s="791"/>
      <c r="BO6" s="796" t="s">
        <v>314</v>
      </c>
      <c r="BP6" s="797"/>
      <c r="BQ6" s="797"/>
      <c r="BR6" s="797"/>
      <c r="BS6" s="789">
        <f>BM6+1</f>
        <v>2017</v>
      </c>
      <c r="BT6" s="791"/>
      <c r="BU6" s="1133" t="s">
        <v>315</v>
      </c>
      <c r="BV6" s="797"/>
      <c r="BW6" s="797"/>
      <c r="BX6" s="799"/>
      <c r="BY6" s="792">
        <f>BS6+1</f>
        <v>2018</v>
      </c>
      <c r="CA6" s="1133" t="s">
        <v>316</v>
      </c>
      <c r="CB6" s="797"/>
      <c r="CC6" s="797"/>
      <c r="CD6" s="799"/>
      <c r="CE6" s="792">
        <f>BY6+1</f>
        <v>2019</v>
      </c>
      <c r="CG6" s="1133" t="s">
        <v>317</v>
      </c>
      <c r="CH6" s="797"/>
      <c r="CI6" s="797"/>
      <c r="CJ6" s="799"/>
      <c r="CK6" s="792">
        <f>CE6+1</f>
        <v>2020</v>
      </c>
      <c r="CM6" s="1133" t="s">
        <v>367</v>
      </c>
      <c r="CN6" s="797"/>
      <c r="CO6" s="797"/>
      <c r="CP6" s="799"/>
      <c r="CQ6" s="792">
        <f>CK6+1</f>
        <v>2021</v>
      </c>
    </row>
    <row r="7" spans="1:95" ht="11.25" customHeight="1">
      <c r="A7" s="37"/>
      <c r="B7" s="37"/>
      <c r="C7" s="37"/>
      <c r="D7" s="38"/>
      <c r="E7" s="581"/>
      <c r="F7" s="582"/>
      <c r="G7" s="581"/>
      <c r="H7" s="582"/>
      <c r="I7" s="581"/>
      <c r="J7" s="582"/>
      <c r="K7" s="581"/>
      <c r="L7" s="38"/>
      <c r="M7" s="581"/>
      <c r="N7" s="38"/>
      <c r="O7" s="581"/>
      <c r="P7" s="38"/>
      <c r="Q7" s="581"/>
      <c r="R7" s="38"/>
      <c r="S7" s="801">
        <v>39903</v>
      </c>
      <c r="T7" s="801">
        <v>39994</v>
      </c>
      <c r="U7" s="801">
        <v>40086</v>
      </c>
      <c r="V7" s="801">
        <v>40178</v>
      </c>
      <c r="W7" s="581"/>
      <c r="X7" s="802"/>
      <c r="Y7" s="801">
        <v>40268</v>
      </c>
      <c r="Z7" s="801">
        <v>40359</v>
      </c>
      <c r="AA7" s="801">
        <v>40451</v>
      </c>
      <c r="AB7" s="801">
        <v>40543</v>
      </c>
      <c r="AC7" s="581"/>
      <c r="AD7" s="802"/>
      <c r="AE7" s="801">
        <v>40633</v>
      </c>
      <c r="AF7" s="801">
        <v>40724</v>
      </c>
      <c r="AG7" s="801">
        <v>40816</v>
      </c>
      <c r="AH7" s="801">
        <v>40908</v>
      </c>
      <c r="AI7" s="581"/>
      <c r="AJ7" s="802"/>
      <c r="AK7" s="808">
        <v>40999</v>
      </c>
      <c r="AL7" s="808">
        <v>41090</v>
      </c>
      <c r="AM7" s="808">
        <f>AG7+365</f>
        <v>41181</v>
      </c>
      <c r="AN7" s="809">
        <f>AH7+365</f>
        <v>41273</v>
      </c>
      <c r="AO7" s="581"/>
      <c r="AP7" s="802"/>
      <c r="AQ7" s="808">
        <f>AK7+365</f>
        <v>41364</v>
      </c>
      <c r="AR7" s="808">
        <f>AL7+365</f>
        <v>41455</v>
      </c>
      <c r="AS7" s="808">
        <f>AM7+365</f>
        <v>41546</v>
      </c>
      <c r="AT7" s="809">
        <f>AN7+365</f>
        <v>41638</v>
      </c>
      <c r="AU7" s="581"/>
      <c r="AV7" s="802"/>
      <c r="AW7" s="808">
        <f>AQ7+365</f>
        <v>41729</v>
      </c>
      <c r="AX7" s="808">
        <f>AR7+365</f>
        <v>41820</v>
      </c>
      <c r="AY7" s="808">
        <f>AS7+365</f>
        <v>41911</v>
      </c>
      <c r="AZ7" s="809">
        <f>AT7+365</f>
        <v>42003</v>
      </c>
      <c r="BA7" s="581"/>
      <c r="BB7" s="803"/>
      <c r="BC7" s="808">
        <f>AW7+365</f>
        <v>42094</v>
      </c>
      <c r="BD7" s="808">
        <f>AX7+365</f>
        <v>42185</v>
      </c>
      <c r="BE7" s="808">
        <f>AY7+365</f>
        <v>42276</v>
      </c>
      <c r="BF7" s="809">
        <f>AZ7+365</f>
        <v>42368</v>
      </c>
      <c r="BG7" s="581"/>
      <c r="BH7" s="803"/>
      <c r="BI7" s="808">
        <f>BC7+365</f>
        <v>42459</v>
      </c>
      <c r="BJ7" s="808">
        <f>BD7+365</f>
        <v>42550</v>
      </c>
      <c r="BK7" s="808">
        <f>BE7+365</f>
        <v>42641</v>
      </c>
      <c r="BL7" s="809">
        <f>BF7+365</f>
        <v>42733</v>
      </c>
      <c r="BM7" s="581"/>
      <c r="BN7" s="803"/>
      <c r="BO7" s="808">
        <f>BI7+365</f>
        <v>42824</v>
      </c>
      <c r="BP7" s="808">
        <f>BJ7+365</f>
        <v>42915</v>
      </c>
      <c r="BQ7" s="808">
        <f>BK7+365</f>
        <v>43006</v>
      </c>
      <c r="BR7" s="809">
        <f>BL7+365</f>
        <v>43098</v>
      </c>
      <c r="BS7" s="581"/>
      <c r="BT7" s="803"/>
      <c r="BU7" s="805">
        <f>BO7+365</f>
        <v>43189</v>
      </c>
      <c r="BV7" s="806">
        <f>BP7+365</f>
        <v>43280</v>
      </c>
      <c r="BW7" s="806">
        <f>BQ7+365</f>
        <v>43371</v>
      </c>
      <c r="BX7" s="807">
        <f>BR7+365</f>
        <v>43463</v>
      </c>
      <c r="BY7" s="581"/>
      <c r="CA7" s="805">
        <f>BU7+365</f>
        <v>43554</v>
      </c>
      <c r="CB7" s="806">
        <f>BV7+365</f>
        <v>43645</v>
      </c>
      <c r="CC7" s="806">
        <f>BW7+365</f>
        <v>43736</v>
      </c>
      <c r="CD7" s="807">
        <f>BX7+365</f>
        <v>43828</v>
      </c>
      <c r="CE7" s="581"/>
      <c r="CG7" s="805">
        <f>CA7+365</f>
        <v>43919</v>
      </c>
      <c r="CH7" s="806">
        <f>CB7+365</f>
        <v>44010</v>
      </c>
      <c r="CI7" s="806">
        <f>CC7+365</f>
        <v>44101</v>
      </c>
      <c r="CJ7" s="807">
        <f>CD7+365</f>
        <v>44193</v>
      </c>
      <c r="CK7" s="581"/>
      <c r="CM7" s="805">
        <f>CG7+365</f>
        <v>44284</v>
      </c>
      <c r="CN7" s="806">
        <f>CH7+365</f>
        <v>44375</v>
      </c>
      <c r="CO7" s="806">
        <f>CI7+365</f>
        <v>44466</v>
      </c>
      <c r="CP7" s="807">
        <f>CJ7+365</f>
        <v>44558</v>
      </c>
      <c r="CQ7" s="581"/>
    </row>
    <row r="8" spans="1:95" s="278" customFormat="1" ht="11.25" customHeight="1">
      <c r="A8" s="515" t="s">
        <v>279</v>
      </c>
      <c r="B8" s="522" t="s">
        <v>285</v>
      </c>
      <c r="C8" s="522" t="s">
        <v>286</v>
      </c>
      <c r="D8" s="516"/>
      <c r="E8" s="517"/>
      <c r="F8" s="516"/>
      <c r="G8" s="517"/>
      <c r="H8" s="516"/>
      <c r="I8" s="517"/>
      <c r="J8" s="516"/>
      <c r="K8" s="517"/>
      <c r="L8" s="516"/>
      <c r="M8" s="517"/>
      <c r="N8" s="516"/>
      <c r="O8" s="517"/>
      <c r="P8" s="517"/>
      <c r="Q8" s="1065"/>
      <c r="R8" s="516"/>
      <c r="S8" s="1061"/>
      <c r="T8" s="519"/>
      <c r="U8" s="519"/>
      <c r="V8" s="519"/>
      <c r="W8" s="517"/>
      <c r="X8" s="516"/>
      <c r="Y8" s="518"/>
      <c r="Z8" s="519"/>
      <c r="AA8" s="519"/>
      <c r="AB8" s="519"/>
      <c r="AC8" s="520"/>
      <c r="AD8" s="516"/>
      <c r="AE8" s="518"/>
      <c r="AF8" s="519"/>
      <c r="AG8" s="519"/>
      <c r="AH8" s="519"/>
      <c r="AI8" s="517"/>
      <c r="AJ8" s="516"/>
      <c r="AK8" s="518"/>
      <c r="AL8" s="519"/>
      <c r="AM8" s="521"/>
      <c r="AN8" s="521"/>
      <c r="AO8" s="517"/>
      <c r="AP8" s="516"/>
      <c r="AQ8" s="518"/>
      <c r="AR8" s="519"/>
      <c r="AS8" s="519"/>
      <c r="AT8" s="519"/>
      <c r="AU8" s="517"/>
      <c r="AV8" s="516"/>
      <c r="AW8" s="518"/>
      <c r="AX8" s="519"/>
      <c r="AY8" s="519"/>
      <c r="AZ8" s="519"/>
      <c r="BA8" s="517"/>
      <c r="BB8" s="516"/>
      <c r="BC8" s="518"/>
      <c r="BD8" s="519"/>
      <c r="BE8" s="519"/>
      <c r="BF8" s="519"/>
      <c r="BG8" s="517"/>
      <c r="BH8" s="516"/>
      <c r="BI8" s="518"/>
      <c r="BJ8" s="519"/>
      <c r="BK8" s="519"/>
      <c r="BL8" s="519"/>
      <c r="BM8" s="517"/>
      <c r="BN8" s="516"/>
      <c r="BO8" s="518"/>
      <c r="BP8" s="519"/>
      <c r="BQ8" s="519"/>
      <c r="BR8" s="519"/>
      <c r="BS8" s="517"/>
      <c r="BT8" s="516"/>
      <c r="BU8" s="518"/>
      <c r="BV8" s="519"/>
      <c r="BW8" s="519"/>
      <c r="BX8" s="519"/>
      <c r="BY8" s="517"/>
      <c r="CA8" s="518"/>
      <c r="CB8" s="519"/>
      <c r="CC8" s="519"/>
      <c r="CD8" s="519"/>
      <c r="CE8" s="517"/>
      <c r="CG8" s="518"/>
      <c r="CH8" s="519"/>
      <c r="CI8" s="519"/>
      <c r="CJ8" s="519"/>
      <c r="CK8" s="517"/>
      <c r="CM8" s="518"/>
      <c r="CN8" s="519"/>
      <c r="CO8" s="519"/>
      <c r="CP8" s="519"/>
      <c r="CQ8" s="517"/>
    </row>
    <row r="9" spans="1:95" ht="11.25" customHeight="1">
      <c r="A9" s="512" t="s">
        <v>275</v>
      </c>
      <c r="B9" s="524">
        <v>2.7E-2</v>
      </c>
      <c r="C9" s="523">
        <v>41274</v>
      </c>
      <c r="D9" s="54"/>
      <c r="E9" s="141">
        <v>0</v>
      </c>
      <c r="F9" s="54"/>
      <c r="G9" s="141">
        <v>0</v>
      </c>
      <c r="H9" s="54"/>
      <c r="I9" s="141">
        <v>0</v>
      </c>
      <c r="J9" s="54"/>
      <c r="K9" s="141">
        <v>0</v>
      </c>
      <c r="L9" s="54"/>
      <c r="M9" s="141">
        <v>0</v>
      </c>
      <c r="N9" s="54"/>
      <c r="O9" s="141">
        <v>0</v>
      </c>
      <c r="P9" s="54"/>
      <c r="Q9" s="141">
        <v>144.4</v>
      </c>
      <c r="R9" s="54"/>
      <c r="S9" s="310">
        <v>142.5</v>
      </c>
      <c r="T9" s="140">
        <v>138.80000000000001</v>
      </c>
      <c r="U9" s="140">
        <v>135</v>
      </c>
      <c r="V9" s="140">
        <v>131.30000000000001</v>
      </c>
      <c r="W9" s="53">
        <f>V9</f>
        <v>131.30000000000001</v>
      </c>
      <c r="X9" s="54"/>
      <c r="Y9" s="310">
        <v>127.5</v>
      </c>
      <c r="Z9" s="140">
        <v>121.9</v>
      </c>
      <c r="AA9" s="140">
        <v>116.3</v>
      </c>
      <c r="AB9" s="140">
        <v>110.6</v>
      </c>
      <c r="AC9" s="53">
        <f>AB9</f>
        <v>110.6</v>
      </c>
      <c r="AD9" s="54"/>
      <c r="AE9" s="310">
        <v>105</v>
      </c>
      <c r="AF9" s="140">
        <v>97.5</v>
      </c>
      <c r="AG9" s="140">
        <v>90</v>
      </c>
      <c r="AH9" s="140">
        <v>82.5</v>
      </c>
      <c r="AI9" s="53">
        <f>AH9</f>
        <v>82.5</v>
      </c>
      <c r="AJ9" s="54"/>
      <c r="AK9" s="310">
        <v>75</v>
      </c>
      <c r="AL9" s="140">
        <v>56.3</v>
      </c>
      <c r="AM9" s="140">
        <v>37.5</v>
      </c>
      <c r="AN9" s="761">
        <v>93</v>
      </c>
      <c r="AO9" s="53">
        <f>AN9</f>
        <v>93</v>
      </c>
      <c r="AP9" s="54"/>
      <c r="AQ9" s="762">
        <v>93</v>
      </c>
      <c r="AR9" s="199">
        <v>93</v>
      </c>
      <c r="AS9" s="199">
        <v>112.5</v>
      </c>
      <c r="AT9" s="50">
        <v>112.5</v>
      </c>
      <c r="AU9" s="53">
        <f>AT9</f>
        <v>112.5</v>
      </c>
      <c r="AV9" s="54"/>
      <c r="AW9" s="1221">
        <v>112.5</v>
      </c>
      <c r="AX9" s="199">
        <v>112.5</v>
      </c>
      <c r="AY9" s="199">
        <v>112.5</v>
      </c>
      <c r="AZ9" s="199">
        <v>112.5</v>
      </c>
      <c r="BA9" s="53">
        <f>AZ9</f>
        <v>112.5</v>
      </c>
      <c r="BB9" s="54"/>
      <c r="BC9" s="281">
        <v>112.5</v>
      </c>
      <c r="BD9" s="199">
        <v>122.5</v>
      </c>
      <c r="BE9" s="140">
        <v>129.5</v>
      </c>
      <c r="BF9" s="140">
        <v>25</v>
      </c>
      <c r="BG9" s="53">
        <f>BF9</f>
        <v>25</v>
      </c>
      <c r="BH9" s="54"/>
      <c r="BI9" s="281">
        <v>61</v>
      </c>
      <c r="BJ9" s="199">
        <v>102</v>
      </c>
      <c r="BK9" s="140">
        <v>124</v>
      </c>
      <c r="BL9" s="140">
        <v>171</v>
      </c>
      <c r="BM9" s="53">
        <f>BL9</f>
        <v>171</v>
      </c>
      <c r="BN9" s="54"/>
      <c r="BO9" s="281">
        <v>164</v>
      </c>
      <c r="BP9" s="199">
        <v>210</v>
      </c>
      <c r="BQ9" s="199">
        <v>260</v>
      </c>
      <c r="BR9" s="140">
        <v>195</v>
      </c>
      <c r="BS9" s="53">
        <f>BR9</f>
        <v>195</v>
      </c>
      <c r="BT9" s="54"/>
      <c r="BU9" s="532">
        <f t="shared" ref="BU9:BU31" si="0">BS9+BU41</f>
        <v>195</v>
      </c>
      <c r="BV9" s="54">
        <f t="shared" ref="BV9:BX24" si="1">BU9+BV41</f>
        <v>195</v>
      </c>
      <c r="BW9" s="54">
        <f t="shared" ref="BW9:BX15" si="2">BV9+BW41</f>
        <v>195</v>
      </c>
      <c r="BX9" s="54">
        <f t="shared" si="2"/>
        <v>195</v>
      </c>
      <c r="BY9" s="53">
        <f>BX9</f>
        <v>195</v>
      </c>
      <c r="CA9" s="532">
        <f t="shared" ref="CA9:CA31" si="3">BY9+CA41</f>
        <v>195</v>
      </c>
      <c r="CB9" s="54">
        <f t="shared" ref="CB9:CB31" si="4">CA9+CB41</f>
        <v>195</v>
      </c>
      <c r="CC9" s="54">
        <f t="shared" ref="CC9:CC31" si="5">CB9+CC41</f>
        <v>195</v>
      </c>
      <c r="CD9" s="54">
        <f t="shared" ref="CD9:CD31" si="6">CC9+CD41</f>
        <v>195</v>
      </c>
      <c r="CE9" s="53">
        <f>CD9</f>
        <v>195</v>
      </c>
      <c r="CG9" s="532">
        <f t="shared" ref="CG9:CG31" si="7">CE9+CG41</f>
        <v>195</v>
      </c>
      <c r="CH9" s="54">
        <f t="shared" ref="CH9:CH31" si="8">CG9+CH41</f>
        <v>195</v>
      </c>
      <c r="CI9" s="54">
        <f t="shared" ref="CI9:CI31" si="9">CH9+CI41</f>
        <v>195</v>
      </c>
      <c r="CJ9" s="54">
        <f t="shared" ref="CJ9:CJ31" si="10">CI9+CJ41</f>
        <v>195</v>
      </c>
      <c r="CK9" s="53">
        <f>CJ9</f>
        <v>195</v>
      </c>
      <c r="CM9" s="532">
        <f t="shared" ref="CM9:CM31" si="11">CK9+CM41</f>
        <v>195</v>
      </c>
      <c r="CN9" s="54">
        <f t="shared" ref="CN9:CN31" si="12">CM9+CN41</f>
        <v>195</v>
      </c>
      <c r="CO9" s="54">
        <f t="shared" ref="CO9:CO31" si="13">CN9+CO41</f>
        <v>195</v>
      </c>
      <c r="CP9" s="54">
        <f t="shared" ref="CP9:CP31" si="14">CO9+CP41</f>
        <v>195</v>
      </c>
      <c r="CQ9" s="53">
        <f>CP9</f>
        <v>195</v>
      </c>
    </row>
    <row r="10" spans="1:95" ht="11.25" customHeight="1">
      <c r="A10" s="507" t="s">
        <v>276</v>
      </c>
      <c r="B10" s="524">
        <v>1.4999999999999999E-2</v>
      </c>
      <c r="C10" s="523">
        <v>42521</v>
      </c>
      <c r="D10" s="54"/>
      <c r="E10" s="141">
        <v>0</v>
      </c>
      <c r="F10" s="54"/>
      <c r="G10" s="141">
        <v>0</v>
      </c>
      <c r="H10" s="54"/>
      <c r="I10" s="141">
        <v>0</v>
      </c>
      <c r="J10" s="54"/>
      <c r="K10" s="141">
        <v>0</v>
      </c>
      <c r="L10" s="54"/>
      <c r="M10" s="141">
        <v>0</v>
      </c>
      <c r="N10" s="54"/>
      <c r="O10" s="141">
        <v>0</v>
      </c>
      <c r="P10" s="54"/>
      <c r="Q10" s="141">
        <v>35.6</v>
      </c>
      <c r="R10" s="54"/>
      <c r="S10" s="310">
        <v>35.6</v>
      </c>
      <c r="T10" s="140">
        <v>22.3</v>
      </c>
      <c r="U10" s="140">
        <v>8.5</v>
      </c>
      <c r="V10" s="140">
        <v>0</v>
      </c>
      <c r="W10" s="53">
        <f t="shared" ref="W10:W31" si="15">V10</f>
        <v>0</v>
      </c>
      <c r="X10" s="54"/>
      <c r="Y10" s="310">
        <v>0</v>
      </c>
      <c r="Z10" s="140">
        <v>0</v>
      </c>
      <c r="AA10" s="140">
        <v>0</v>
      </c>
      <c r="AB10" s="140">
        <v>0</v>
      </c>
      <c r="AC10" s="53">
        <f t="shared" ref="AC10:AC31" si="16">AB10</f>
        <v>0</v>
      </c>
      <c r="AD10" s="54"/>
      <c r="AE10" s="310">
        <v>0</v>
      </c>
      <c r="AF10" s="140">
        <v>0</v>
      </c>
      <c r="AG10" s="140">
        <v>0</v>
      </c>
      <c r="AH10" s="140">
        <v>216.5</v>
      </c>
      <c r="AI10" s="53">
        <f t="shared" ref="AI10:AI31" si="17">AH10</f>
        <v>216.5</v>
      </c>
      <c r="AJ10" s="54"/>
      <c r="AK10" s="310">
        <v>0</v>
      </c>
      <c r="AL10" s="140">
        <v>20</v>
      </c>
      <c r="AM10" s="140">
        <v>55</v>
      </c>
      <c r="AN10" s="761">
        <v>0</v>
      </c>
      <c r="AO10" s="53">
        <f t="shared" ref="AO10:AO31" si="18">AN10</f>
        <v>0</v>
      </c>
      <c r="AP10" s="54"/>
      <c r="AQ10" s="762">
        <v>0</v>
      </c>
      <c r="AR10" s="199">
        <v>0</v>
      </c>
      <c r="AS10" s="199">
        <v>0</v>
      </c>
      <c r="AT10" s="50">
        <v>0</v>
      </c>
      <c r="AU10" s="53">
        <f t="shared" ref="AU10:AU31" si="19">AT10</f>
        <v>0</v>
      </c>
      <c r="AV10" s="54"/>
      <c r="AW10" s="1221">
        <v>0</v>
      </c>
      <c r="AX10" s="199">
        <v>0</v>
      </c>
      <c r="AY10" s="199">
        <v>0</v>
      </c>
      <c r="AZ10" s="199">
        <v>0</v>
      </c>
      <c r="BA10" s="53">
        <f t="shared" ref="BA10:BA31" si="20">AZ10</f>
        <v>0</v>
      </c>
      <c r="BB10" s="54"/>
      <c r="BC10" s="281">
        <v>0</v>
      </c>
      <c r="BD10" s="199">
        <v>0</v>
      </c>
      <c r="BE10" s="140">
        <v>0</v>
      </c>
      <c r="BF10" s="140">
        <v>0</v>
      </c>
      <c r="BG10" s="53">
        <f t="shared" ref="BG10:BG31" si="21">BF10</f>
        <v>0</v>
      </c>
      <c r="BH10" s="54"/>
      <c r="BI10" s="281">
        <v>0</v>
      </c>
      <c r="BJ10" s="199">
        <v>0</v>
      </c>
      <c r="BK10" s="140">
        <v>0</v>
      </c>
      <c r="BL10" s="140">
        <v>0</v>
      </c>
      <c r="BM10" s="53">
        <f t="shared" ref="BM10:BM31" si="22">BL10</f>
        <v>0</v>
      </c>
      <c r="BN10" s="54"/>
      <c r="BO10" s="281">
        <v>0</v>
      </c>
      <c r="BP10" s="199">
        <v>0</v>
      </c>
      <c r="BQ10" s="199">
        <v>0</v>
      </c>
      <c r="BR10" s="140">
        <v>0</v>
      </c>
      <c r="BS10" s="53">
        <f t="shared" ref="BS10:BS31" si="23">BR10</f>
        <v>0</v>
      </c>
      <c r="BT10" s="54"/>
      <c r="BU10" s="532">
        <f t="shared" si="0"/>
        <v>0</v>
      </c>
      <c r="BV10" s="54">
        <f t="shared" si="1"/>
        <v>0</v>
      </c>
      <c r="BW10" s="54">
        <f t="shared" si="2"/>
        <v>0</v>
      </c>
      <c r="BX10" s="54">
        <f t="shared" si="2"/>
        <v>0</v>
      </c>
      <c r="BY10" s="53">
        <f t="shared" ref="BY10:BY31" si="24">BX10</f>
        <v>0</v>
      </c>
      <c r="CA10" s="532">
        <f t="shared" si="3"/>
        <v>0</v>
      </c>
      <c r="CB10" s="54">
        <f t="shared" si="4"/>
        <v>0</v>
      </c>
      <c r="CC10" s="54">
        <f t="shared" si="5"/>
        <v>0</v>
      </c>
      <c r="CD10" s="54">
        <f t="shared" si="6"/>
        <v>0</v>
      </c>
      <c r="CE10" s="53">
        <f t="shared" ref="CE10:CE31" si="25">CD10</f>
        <v>0</v>
      </c>
      <c r="CG10" s="532">
        <f t="shared" si="7"/>
        <v>0</v>
      </c>
      <c r="CH10" s="54">
        <f t="shared" si="8"/>
        <v>0</v>
      </c>
      <c r="CI10" s="54">
        <f t="shared" si="9"/>
        <v>0</v>
      </c>
      <c r="CJ10" s="54">
        <f t="shared" si="10"/>
        <v>0</v>
      </c>
      <c r="CK10" s="53">
        <f t="shared" ref="CK10:CK31" si="26">CJ10</f>
        <v>0</v>
      </c>
      <c r="CM10" s="532">
        <f t="shared" si="11"/>
        <v>0</v>
      </c>
      <c r="CN10" s="54">
        <f t="shared" si="12"/>
        <v>0</v>
      </c>
      <c r="CO10" s="54">
        <f t="shared" si="13"/>
        <v>0</v>
      </c>
      <c r="CP10" s="54">
        <f t="shared" si="14"/>
        <v>0</v>
      </c>
      <c r="CQ10" s="53">
        <f t="shared" ref="CQ10:CQ31" si="27">CP10</f>
        <v>0</v>
      </c>
    </row>
    <row r="11" spans="1:95" ht="11.25" customHeight="1">
      <c r="A11" s="509" t="s">
        <v>281</v>
      </c>
      <c r="B11" s="524">
        <v>3.1600000000000003E-2</v>
      </c>
      <c r="C11" s="523">
        <v>42753</v>
      </c>
      <c r="D11" s="54"/>
      <c r="E11" s="141">
        <v>0</v>
      </c>
      <c r="F11" s="54"/>
      <c r="G11" s="141">
        <v>0</v>
      </c>
      <c r="H11" s="54"/>
      <c r="I11" s="141">
        <v>0</v>
      </c>
      <c r="J11" s="54"/>
      <c r="K11" s="141">
        <v>0</v>
      </c>
      <c r="L11" s="54"/>
      <c r="M11" s="141">
        <v>0</v>
      </c>
      <c r="N11" s="54"/>
      <c r="O11" s="141">
        <v>0</v>
      </c>
      <c r="P11" s="54"/>
      <c r="Q11" s="141">
        <v>0</v>
      </c>
      <c r="R11" s="54"/>
      <c r="S11" s="310">
        <v>0</v>
      </c>
      <c r="T11" s="140">
        <v>0</v>
      </c>
      <c r="U11" s="140">
        <v>0</v>
      </c>
      <c r="V11" s="140">
        <v>0</v>
      </c>
      <c r="W11" s="53">
        <f t="shared" si="15"/>
        <v>0</v>
      </c>
      <c r="X11" s="54"/>
      <c r="Y11" s="310">
        <v>0</v>
      </c>
      <c r="Z11" s="140">
        <v>0</v>
      </c>
      <c r="AA11" s="140">
        <v>0</v>
      </c>
      <c r="AB11" s="140">
        <v>0</v>
      </c>
      <c r="AC11" s="53">
        <f t="shared" si="16"/>
        <v>0</v>
      </c>
      <c r="AD11" s="54"/>
      <c r="AE11" s="310">
        <v>0</v>
      </c>
      <c r="AF11" s="140">
        <v>0</v>
      </c>
      <c r="AG11" s="140">
        <v>0</v>
      </c>
      <c r="AH11" s="140">
        <v>0</v>
      </c>
      <c r="AI11" s="53">
        <f t="shared" si="17"/>
        <v>0</v>
      </c>
      <c r="AJ11" s="54"/>
      <c r="AK11" s="310">
        <v>20</v>
      </c>
      <c r="AL11" s="140">
        <v>20</v>
      </c>
      <c r="AM11" s="140">
        <v>20</v>
      </c>
      <c r="AN11" s="761">
        <v>20</v>
      </c>
      <c r="AO11" s="53">
        <f t="shared" si="18"/>
        <v>20</v>
      </c>
      <c r="AP11" s="54"/>
      <c r="AQ11" s="762">
        <v>20</v>
      </c>
      <c r="AR11" s="199">
        <v>20</v>
      </c>
      <c r="AS11" s="199">
        <v>20</v>
      </c>
      <c r="AT11" s="50">
        <v>20</v>
      </c>
      <c r="AU11" s="53">
        <f t="shared" si="19"/>
        <v>20</v>
      </c>
      <c r="AV11" s="54"/>
      <c r="AW11" s="1221">
        <v>20</v>
      </c>
      <c r="AX11" s="199">
        <v>20</v>
      </c>
      <c r="AY11" s="199">
        <v>20</v>
      </c>
      <c r="AZ11" s="199">
        <v>20</v>
      </c>
      <c r="BA11" s="53">
        <f t="shared" si="20"/>
        <v>20</v>
      </c>
      <c r="BB11" s="54"/>
      <c r="BC11" s="281">
        <v>20</v>
      </c>
      <c r="BD11" s="199">
        <v>20</v>
      </c>
      <c r="BE11" s="140">
        <v>20</v>
      </c>
      <c r="BF11" s="140">
        <v>20</v>
      </c>
      <c r="BG11" s="53">
        <f t="shared" si="21"/>
        <v>20</v>
      </c>
      <c r="BH11" s="54"/>
      <c r="BI11" s="281">
        <v>20</v>
      </c>
      <c r="BJ11" s="199">
        <v>20</v>
      </c>
      <c r="BK11" s="140">
        <v>20</v>
      </c>
      <c r="BL11" s="140">
        <v>20</v>
      </c>
      <c r="BM11" s="53">
        <f t="shared" si="22"/>
        <v>20</v>
      </c>
      <c r="BN11" s="54"/>
      <c r="BO11" s="281">
        <v>0</v>
      </c>
      <c r="BP11" s="199">
        <v>0</v>
      </c>
      <c r="BQ11" s="199">
        <v>0</v>
      </c>
      <c r="BR11" s="140">
        <v>0</v>
      </c>
      <c r="BS11" s="53">
        <f t="shared" si="23"/>
        <v>0</v>
      </c>
      <c r="BT11" s="54"/>
      <c r="BU11" s="532">
        <f t="shared" si="0"/>
        <v>0</v>
      </c>
      <c r="BV11" s="54">
        <f t="shared" si="1"/>
        <v>0</v>
      </c>
      <c r="BW11" s="54">
        <f t="shared" si="2"/>
        <v>0</v>
      </c>
      <c r="BX11" s="54">
        <f t="shared" si="2"/>
        <v>0</v>
      </c>
      <c r="BY11" s="53">
        <f t="shared" si="24"/>
        <v>0</v>
      </c>
      <c r="CA11" s="532">
        <f t="shared" si="3"/>
        <v>0</v>
      </c>
      <c r="CB11" s="54">
        <f t="shared" si="4"/>
        <v>0</v>
      </c>
      <c r="CC11" s="54">
        <f t="shared" si="5"/>
        <v>0</v>
      </c>
      <c r="CD11" s="54">
        <f t="shared" si="6"/>
        <v>0</v>
      </c>
      <c r="CE11" s="53">
        <f t="shared" si="25"/>
        <v>0</v>
      </c>
      <c r="CG11" s="532">
        <f t="shared" si="7"/>
        <v>0</v>
      </c>
      <c r="CH11" s="54">
        <f t="shared" si="8"/>
        <v>0</v>
      </c>
      <c r="CI11" s="54">
        <f t="shared" si="9"/>
        <v>0</v>
      </c>
      <c r="CJ11" s="54">
        <f t="shared" si="10"/>
        <v>0</v>
      </c>
      <c r="CK11" s="53">
        <f t="shared" si="26"/>
        <v>0</v>
      </c>
      <c r="CM11" s="532">
        <f t="shared" si="11"/>
        <v>0</v>
      </c>
      <c r="CN11" s="54">
        <f t="shared" si="12"/>
        <v>0</v>
      </c>
      <c r="CO11" s="54">
        <f t="shared" si="13"/>
        <v>0</v>
      </c>
      <c r="CP11" s="54">
        <f t="shared" si="14"/>
        <v>0</v>
      </c>
      <c r="CQ11" s="53">
        <f t="shared" si="27"/>
        <v>0</v>
      </c>
    </row>
    <row r="12" spans="1:95" ht="11.25" customHeight="1">
      <c r="A12" s="509" t="s">
        <v>282</v>
      </c>
      <c r="B12" s="524">
        <v>3.7400000000000003E-2</v>
      </c>
      <c r="C12" s="523">
        <v>43483</v>
      </c>
      <c r="D12" s="54"/>
      <c r="E12" s="141">
        <v>0</v>
      </c>
      <c r="F12" s="54"/>
      <c r="G12" s="141">
        <v>0</v>
      </c>
      <c r="H12" s="54"/>
      <c r="I12" s="141">
        <v>0</v>
      </c>
      <c r="J12" s="54"/>
      <c r="K12" s="141">
        <v>0</v>
      </c>
      <c r="L12" s="54"/>
      <c r="M12" s="141">
        <v>0</v>
      </c>
      <c r="N12" s="54"/>
      <c r="O12" s="141">
        <v>0</v>
      </c>
      <c r="P12" s="54"/>
      <c r="Q12" s="141">
        <v>0</v>
      </c>
      <c r="R12" s="54"/>
      <c r="S12" s="310">
        <v>0</v>
      </c>
      <c r="T12" s="140">
        <v>0</v>
      </c>
      <c r="U12" s="140">
        <v>0</v>
      </c>
      <c r="V12" s="140">
        <v>0</v>
      </c>
      <c r="W12" s="53">
        <f t="shared" si="15"/>
        <v>0</v>
      </c>
      <c r="X12" s="54"/>
      <c r="Y12" s="310">
        <v>0</v>
      </c>
      <c r="Z12" s="140">
        <v>0</v>
      </c>
      <c r="AA12" s="140">
        <v>0</v>
      </c>
      <c r="AB12" s="140">
        <v>0</v>
      </c>
      <c r="AC12" s="53">
        <f t="shared" si="16"/>
        <v>0</v>
      </c>
      <c r="AD12" s="54"/>
      <c r="AE12" s="310">
        <v>0</v>
      </c>
      <c r="AF12" s="140">
        <v>0</v>
      </c>
      <c r="AG12" s="140">
        <v>0</v>
      </c>
      <c r="AH12" s="140">
        <v>0</v>
      </c>
      <c r="AI12" s="53">
        <f t="shared" si="17"/>
        <v>0</v>
      </c>
      <c r="AJ12" s="54"/>
      <c r="AK12" s="310">
        <v>15</v>
      </c>
      <c r="AL12" s="140">
        <v>15</v>
      </c>
      <c r="AM12" s="140">
        <v>15</v>
      </c>
      <c r="AN12" s="761">
        <v>15</v>
      </c>
      <c r="AO12" s="53">
        <f t="shared" si="18"/>
        <v>15</v>
      </c>
      <c r="AP12" s="54"/>
      <c r="AQ12" s="762">
        <v>15</v>
      </c>
      <c r="AR12" s="199">
        <v>15</v>
      </c>
      <c r="AS12" s="199">
        <v>15</v>
      </c>
      <c r="AT12" s="50">
        <v>15</v>
      </c>
      <c r="AU12" s="53">
        <f t="shared" si="19"/>
        <v>15</v>
      </c>
      <c r="AV12" s="54"/>
      <c r="AW12" s="1221">
        <v>15</v>
      </c>
      <c r="AX12" s="199">
        <v>15</v>
      </c>
      <c r="AY12" s="199">
        <v>15</v>
      </c>
      <c r="AZ12" s="199">
        <v>15</v>
      </c>
      <c r="BA12" s="53">
        <f t="shared" si="20"/>
        <v>15</v>
      </c>
      <c r="BB12" s="54"/>
      <c r="BC12" s="281">
        <v>15</v>
      </c>
      <c r="BD12" s="199">
        <v>15</v>
      </c>
      <c r="BE12" s="140">
        <v>15</v>
      </c>
      <c r="BF12" s="140">
        <v>15</v>
      </c>
      <c r="BG12" s="53">
        <f t="shared" si="21"/>
        <v>15</v>
      </c>
      <c r="BH12" s="54"/>
      <c r="BI12" s="281">
        <v>15</v>
      </c>
      <c r="BJ12" s="199">
        <v>15</v>
      </c>
      <c r="BK12" s="140">
        <v>15</v>
      </c>
      <c r="BL12" s="140">
        <v>15</v>
      </c>
      <c r="BM12" s="53">
        <f t="shared" si="22"/>
        <v>15</v>
      </c>
      <c r="BN12" s="54"/>
      <c r="BO12" s="281">
        <v>15</v>
      </c>
      <c r="BP12" s="199">
        <v>15</v>
      </c>
      <c r="BQ12" s="199">
        <v>15</v>
      </c>
      <c r="BR12" s="140">
        <v>15</v>
      </c>
      <c r="BS12" s="53">
        <f t="shared" si="23"/>
        <v>15</v>
      </c>
      <c r="BT12" s="54"/>
      <c r="BU12" s="532">
        <f t="shared" si="0"/>
        <v>15</v>
      </c>
      <c r="BV12" s="54">
        <f t="shared" si="1"/>
        <v>15</v>
      </c>
      <c r="BW12" s="54">
        <f t="shared" si="2"/>
        <v>15</v>
      </c>
      <c r="BX12" s="54">
        <f t="shared" si="2"/>
        <v>15</v>
      </c>
      <c r="BY12" s="53">
        <f t="shared" si="24"/>
        <v>15</v>
      </c>
      <c r="CA12" s="532">
        <f t="shared" si="3"/>
        <v>15</v>
      </c>
      <c r="CB12" s="54">
        <f t="shared" si="4"/>
        <v>15</v>
      </c>
      <c r="CC12" s="54">
        <f t="shared" si="5"/>
        <v>15</v>
      </c>
      <c r="CD12" s="54">
        <f t="shared" si="6"/>
        <v>15</v>
      </c>
      <c r="CE12" s="53">
        <f t="shared" si="25"/>
        <v>15</v>
      </c>
      <c r="CG12" s="532">
        <f t="shared" si="7"/>
        <v>15</v>
      </c>
      <c r="CH12" s="54">
        <f t="shared" si="8"/>
        <v>15</v>
      </c>
      <c r="CI12" s="54">
        <f t="shared" si="9"/>
        <v>15</v>
      </c>
      <c r="CJ12" s="54">
        <f t="shared" si="10"/>
        <v>15</v>
      </c>
      <c r="CK12" s="53">
        <f t="shared" si="26"/>
        <v>15</v>
      </c>
      <c r="CM12" s="532">
        <f t="shared" si="11"/>
        <v>15</v>
      </c>
      <c r="CN12" s="54">
        <f t="shared" si="12"/>
        <v>15</v>
      </c>
      <c r="CO12" s="54">
        <f t="shared" si="13"/>
        <v>15</v>
      </c>
      <c r="CP12" s="54">
        <f t="shared" si="14"/>
        <v>15</v>
      </c>
      <c r="CQ12" s="53">
        <f t="shared" si="27"/>
        <v>15</v>
      </c>
    </row>
    <row r="13" spans="1:95" ht="11.25" customHeight="1">
      <c r="A13" s="509" t="s">
        <v>283</v>
      </c>
      <c r="B13" s="524">
        <v>4.3099999999999999E-2</v>
      </c>
      <c r="C13" s="523">
        <v>44579</v>
      </c>
      <c r="D13" s="54"/>
      <c r="E13" s="141">
        <v>0</v>
      </c>
      <c r="F13" s="54"/>
      <c r="G13" s="141">
        <v>0</v>
      </c>
      <c r="H13" s="54"/>
      <c r="I13" s="141">
        <v>0</v>
      </c>
      <c r="J13" s="54"/>
      <c r="K13" s="141">
        <v>0</v>
      </c>
      <c r="L13" s="54"/>
      <c r="M13" s="141">
        <v>0</v>
      </c>
      <c r="N13" s="54"/>
      <c r="O13" s="141">
        <v>0</v>
      </c>
      <c r="P13" s="54"/>
      <c r="Q13" s="141">
        <v>0</v>
      </c>
      <c r="R13" s="54"/>
      <c r="S13" s="310">
        <v>0</v>
      </c>
      <c r="T13" s="140">
        <v>0</v>
      </c>
      <c r="U13" s="140">
        <v>0</v>
      </c>
      <c r="V13" s="140">
        <v>0</v>
      </c>
      <c r="W13" s="53">
        <f t="shared" si="15"/>
        <v>0</v>
      </c>
      <c r="X13" s="54"/>
      <c r="Y13" s="310">
        <v>0</v>
      </c>
      <c r="Z13" s="140">
        <v>0</v>
      </c>
      <c r="AA13" s="140">
        <v>0</v>
      </c>
      <c r="AB13" s="140">
        <v>0</v>
      </c>
      <c r="AC13" s="53">
        <f t="shared" si="16"/>
        <v>0</v>
      </c>
      <c r="AD13" s="54"/>
      <c r="AE13" s="310">
        <v>0</v>
      </c>
      <c r="AF13" s="140">
        <v>0</v>
      </c>
      <c r="AG13" s="140">
        <v>0</v>
      </c>
      <c r="AH13" s="140">
        <v>0</v>
      </c>
      <c r="AI13" s="53">
        <f t="shared" si="17"/>
        <v>0</v>
      </c>
      <c r="AJ13" s="54"/>
      <c r="AK13" s="310">
        <v>105</v>
      </c>
      <c r="AL13" s="140">
        <v>105</v>
      </c>
      <c r="AM13" s="140">
        <v>105</v>
      </c>
      <c r="AN13" s="761">
        <v>105</v>
      </c>
      <c r="AO13" s="53">
        <f t="shared" si="18"/>
        <v>105</v>
      </c>
      <c r="AP13" s="54"/>
      <c r="AQ13" s="762">
        <v>105</v>
      </c>
      <c r="AR13" s="199">
        <v>105</v>
      </c>
      <c r="AS13" s="199">
        <v>105</v>
      </c>
      <c r="AT13" s="50">
        <v>105</v>
      </c>
      <c r="AU13" s="53">
        <f t="shared" si="19"/>
        <v>105</v>
      </c>
      <c r="AV13" s="54"/>
      <c r="AW13" s="1221">
        <v>105</v>
      </c>
      <c r="AX13" s="199">
        <v>105</v>
      </c>
      <c r="AY13" s="199">
        <v>105</v>
      </c>
      <c r="AZ13" s="199">
        <v>105</v>
      </c>
      <c r="BA13" s="53">
        <f t="shared" si="20"/>
        <v>105</v>
      </c>
      <c r="BB13" s="54"/>
      <c r="BC13" s="281">
        <v>105</v>
      </c>
      <c r="BD13" s="199">
        <v>105</v>
      </c>
      <c r="BE13" s="140">
        <v>105</v>
      </c>
      <c r="BF13" s="140">
        <v>105</v>
      </c>
      <c r="BG13" s="53">
        <f t="shared" si="21"/>
        <v>105</v>
      </c>
      <c r="BH13" s="54"/>
      <c r="BI13" s="281">
        <v>105</v>
      </c>
      <c r="BJ13" s="199">
        <v>105</v>
      </c>
      <c r="BK13" s="140">
        <v>105</v>
      </c>
      <c r="BL13" s="140">
        <v>105</v>
      </c>
      <c r="BM13" s="53">
        <f t="shared" si="22"/>
        <v>105</v>
      </c>
      <c r="BN13" s="54"/>
      <c r="BO13" s="281">
        <v>105</v>
      </c>
      <c r="BP13" s="199">
        <v>105</v>
      </c>
      <c r="BQ13" s="199">
        <v>105</v>
      </c>
      <c r="BR13" s="140">
        <v>105</v>
      </c>
      <c r="BS13" s="53">
        <f t="shared" si="23"/>
        <v>105</v>
      </c>
      <c r="BT13" s="54"/>
      <c r="BU13" s="532">
        <f t="shared" si="0"/>
        <v>105</v>
      </c>
      <c r="BV13" s="54">
        <f t="shared" si="1"/>
        <v>105</v>
      </c>
      <c r="BW13" s="54">
        <f t="shared" si="2"/>
        <v>105</v>
      </c>
      <c r="BX13" s="54">
        <f t="shared" si="2"/>
        <v>105</v>
      </c>
      <c r="BY13" s="53">
        <f t="shared" si="24"/>
        <v>105</v>
      </c>
      <c r="CA13" s="532">
        <f t="shared" si="3"/>
        <v>105</v>
      </c>
      <c r="CB13" s="54">
        <f t="shared" si="4"/>
        <v>105</v>
      </c>
      <c r="CC13" s="54">
        <f t="shared" si="5"/>
        <v>105</v>
      </c>
      <c r="CD13" s="54">
        <f t="shared" si="6"/>
        <v>105</v>
      </c>
      <c r="CE13" s="53">
        <f t="shared" si="25"/>
        <v>105</v>
      </c>
      <c r="CG13" s="532">
        <f t="shared" si="7"/>
        <v>105</v>
      </c>
      <c r="CH13" s="54">
        <f t="shared" si="8"/>
        <v>105</v>
      </c>
      <c r="CI13" s="54">
        <f t="shared" si="9"/>
        <v>105</v>
      </c>
      <c r="CJ13" s="54">
        <f t="shared" si="10"/>
        <v>105</v>
      </c>
      <c r="CK13" s="53">
        <f t="shared" si="26"/>
        <v>105</v>
      </c>
      <c r="CM13" s="532">
        <f t="shared" si="11"/>
        <v>105</v>
      </c>
      <c r="CN13" s="54">
        <f t="shared" si="12"/>
        <v>105</v>
      </c>
      <c r="CO13" s="54">
        <f t="shared" si="13"/>
        <v>105</v>
      </c>
      <c r="CP13" s="54">
        <f t="shared" si="14"/>
        <v>105</v>
      </c>
      <c r="CQ13" s="53">
        <f t="shared" si="27"/>
        <v>105</v>
      </c>
    </row>
    <row r="14" spans="1:95" ht="11.25" customHeight="1">
      <c r="A14" s="509" t="s">
        <v>284</v>
      </c>
      <c r="B14" s="524">
        <v>4.4600000000000001E-2</v>
      </c>
      <c r="C14" s="523">
        <v>45309</v>
      </c>
      <c r="D14" s="54"/>
      <c r="E14" s="141">
        <v>0</v>
      </c>
      <c r="F14" s="54"/>
      <c r="G14" s="141">
        <v>0</v>
      </c>
      <c r="H14" s="54"/>
      <c r="I14" s="141">
        <v>0</v>
      </c>
      <c r="J14" s="54"/>
      <c r="K14" s="141">
        <v>0</v>
      </c>
      <c r="L14" s="54"/>
      <c r="M14" s="141">
        <v>0</v>
      </c>
      <c r="N14" s="54"/>
      <c r="O14" s="141">
        <v>0</v>
      </c>
      <c r="P14" s="54"/>
      <c r="Q14" s="141">
        <v>0</v>
      </c>
      <c r="R14" s="54"/>
      <c r="S14" s="310">
        <v>0</v>
      </c>
      <c r="T14" s="140">
        <v>0</v>
      </c>
      <c r="U14" s="140">
        <v>0</v>
      </c>
      <c r="V14" s="140">
        <v>0</v>
      </c>
      <c r="W14" s="53">
        <f t="shared" si="15"/>
        <v>0</v>
      </c>
      <c r="X14" s="54"/>
      <c r="Y14" s="310">
        <v>0</v>
      </c>
      <c r="Z14" s="140">
        <v>0</v>
      </c>
      <c r="AA14" s="140">
        <v>0</v>
      </c>
      <c r="AB14" s="140">
        <v>0</v>
      </c>
      <c r="AC14" s="53">
        <f t="shared" si="16"/>
        <v>0</v>
      </c>
      <c r="AD14" s="54"/>
      <c r="AE14" s="310">
        <v>0</v>
      </c>
      <c r="AF14" s="140">
        <v>0</v>
      </c>
      <c r="AG14" s="140">
        <v>0</v>
      </c>
      <c r="AH14" s="140">
        <v>0</v>
      </c>
      <c r="AI14" s="53">
        <f t="shared" si="17"/>
        <v>0</v>
      </c>
      <c r="AJ14" s="54"/>
      <c r="AK14" s="310">
        <v>100</v>
      </c>
      <c r="AL14" s="140">
        <v>100</v>
      </c>
      <c r="AM14" s="140">
        <v>100</v>
      </c>
      <c r="AN14" s="761">
        <v>100</v>
      </c>
      <c r="AO14" s="53">
        <f t="shared" si="18"/>
        <v>100</v>
      </c>
      <c r="AP14" s="54"/>
      <c r="AQ14" s="762">
        <v>100</v>
      </c>
      <c r="AR14" s="199">
        <v>100</v>
      </c>
      <c r="AS14" s="199">
        <v>100</v>
      </c>
      <c r="AT14" s="50">
        <v>100</v>
      </c>
      <c r="AU14" s="53">
        <f t="shared" si="19"/>
        <v>100</v>
      </c>
      <c r="AV14" s="54"/>
      <c r="AW14" s="1221">
        <v>100</v>
      </c>
      <c r="AX14" s="199">
        <v>100</v>
      </c>
      <c r="AY14" s="199">
        <v>100</v>
      </c>
      <c r="AZ14" s="199">
        <v>100</v>
      </c>
      <c r="BA14" s="53">
        <f t="shared" si="20"/>
        <v>100</v>
      </c>
      <c r="BB14" s="54"/>
      <c r="BC14" s="281">
        <v>100</v>
      </c>
      <c r="BD14" s="199">
        <v>100</v>
      </c>
      <c r="BE14" s="140">
        <v>100</v>
      </c>
      <c r="BF14" s="140">
        <v>100</v>
      </c>
      <c r="BG14" s="53">
        <f t="shared" si="21"/>
        <v>100</v>
      </c>
      <c r="BH14" s="54"/>
      <c r="BI14" s="281">
        <v>100</v>
      </c>
      <c r="BJ14" s="199">
        <v>100</v>
      </c>
      <c r="BK14" s="140">
        <v>100</v>
      </c>
      <c r="BL14" s="140">
        <v>100</v>
      </c>
      <c r="BM14" s="53">
        <f t="shared" si="22"/>
        <v>100</v>
      </c>
      <c r="BN14" s="54"/>
      <c r="BO14" s="281">
        <v>100</v>
      </c>
      <c r="BP14" s="199">
        <v>100</v>
      </c>
      <c r="BQ14" s="199">
        <v>100</v>
      </c>
      <c r="BR14" s="140">
        <v>100</v>
      </c>
      <c r="BS14" s="53">
        <f t="shared" si="23"/>
        <v>100</v>
      </c>
      <c r="BT14" s="54"/>
      <c r="BU14" s="532">
        <f t="shared" si="0"/>
        <v>100</v>
      </c>
      <c r="BV14" s="54">
        <f t="shared" si="1"/>
        <v>100</v>
      </c>
      <c r="BW14" s="54">
        <f t="shared" si="2"/>
        <v>100</v>
      </c>
      <c r="BX14" s="54">
        <f t="shared" si="2"/>
        <v>100</v>
      </c>
      <c r="BY14" s="53">
        <f t="shared" si="24"/>
        <v>100</v>
      </c>
      <c r="CA14" s="532">
        <f t="shared" si="3"/>
        <v>100</v>
      </c>
      <c r="CB14" s="54">
        <f t="shared" si="4"/>
        <v>100</v>
      </c>
      <c r="CC14" s="54">
        <f t="shared" si="5"/>
        <v>100</v>
      </c>
      <c r="CD14" s="54">
        <f t="shared" si="6"/>
        <v>100</v>
      </c>
      <c r="CE14" s="53">
        <f t="shared" si="25"/>
        <v>100</v>
      </c>
      <c r="CG14" s="532">
        <f t="shared" si="7"/>
        <v>100</v>
      </c>
      <c r="CH14" s="54">
        <f t="shared" si="8"/>
        <v>100</v>
      </c>
      <c r="CI14" s="54">
        <f t="shared" si="9"/>
        <v>100</v>
      </c>
      <c r="CJ14" s="54">
        <f t="shared" si="10"/>
        <v>100</v>
      </c>
      <c r="CK14" s="53">
        <f t="shared" si="26"/>
        <v>100</v>
      </c>
      <c r="CM14" s="532">
        <f t="shared" si="11"/>
        <v>100</v>
      </c>
      <c r="CN14" s="54">
        <f t="shared" si="12"/>
        <v>100</v>
      </c>
      <c r="CO14" s="54">
        <f t="shared" si="13"/>
        <v>100</v>
      </c>
      <c r="CP14" s="54">
        <f t="shared" si="14"/>
        <v>100</v>
      </c>
      <c r="CQ14" s="53">
        <f t="shared" si="27"/>
        <v>100</v>
      </c>
    </row>
    <row r="15" spans="1:95" ht="11.25" customHeight="1">
      <c r="A15" s="514" t="s">
        <v>277</v>
      </c>
      <c r="B15" s="524">
        <v>0.03</v>
      </c>
      <c r="C15" s="523">
        <v>42735</v>
      </c>
      <c r="D15" s="54"/>
      <c r="E15" s="141">
        <v>0</v>
      </c>
      <c r="F15" s="54"/>
      <c r="G15" s="141">
        <v>0</v>
      </c>
      <c r="H15" s="54"/>
      <c r="I15" s="141">
        <v>0</v>
      </c>
      <c r="J15" s="54"/>
      <c r="K15" s="141">
        <v>0</v>
      </c>
      <c r="L15" s="54"/>
      <c r="M15" s="141">
        <v>0</v>
      </c>
      <c r="N15" s="54"/>
      <c r="O15" s="141">
        <v>3</v>
      </c>
      <c r="P15" s="54"/>
      <c r="Q15" s="141">
        <v>5.3</v>
      </c>
      <c r="R15" s="54"/>
      <c r="S15" s="310">
        <v>4.8</v>
      </c>
      <c r="T15" s="140">
        <v>4.9000000000000004</v>
      </c>
      <c r="U15" s="140">
        <v>4.9000000000000004</v>
      </c>
      <c r="V15" s="140">
        <v>6</v>
      </c>
      <c r="W15" s="53">
        <f t="shared" si="15"/>
        <v>6</v>
      </c>
      <c r="X15" s="54"/>
      <c r="Y15" s="310">
        <v>5.5</v>
      </c>
      <c r="Z15" s="140">
        <v>4.8</v>
      </c>
      <c r="AA15" s="140">
        <v>5.0999999999999996</v>
      </c>
      <c r="AB15" s="140">
        <v>4.9000000000000004</v>
      </c>
      <c r="AC15" s="53">
        <f t="shared" si="16"/>
        <v>4.9000000000000004</v>
      </c>
      <c r="AD15" s="54"/>
      <c r="AE15" s="310">
        <v>4.9000000000000004</v>
      </c>
      <c r="AF15" s="140">
        <v>4.8</v>
      </c>
      <c r="AG15" s="140">
        <v>4.4000000000000004</v>
      </c>
      <c r="AH15" s="140">
        <v>4.0999999999999996</v>
      </c>
      <c r="AI15" s="53">
        <f t="shared" si="17"/>
        <v>4.0999999999999996</v>
      </c>
      <c r="AJ15" s="54"/>
      <c r="AK15" s="310">
        <v>4.5999999999999996</v>
      </c>
      <c r="AL15" s="140">
        <v>4.5999999999999996</v>
      </c>
      <c r="AM15" s="140">
        <v>4.4000000000000004</v>
      </c>
      <c r="AN15" s="761">
        <v>4.2</v>
      </c>
      <c r="AO15" s="53">
        <f t="shared" si="18"/>
        <v>4.2</v>
      </c>
      <c r="AP15" s="54"/>
      <c r="AQ15" s="762">
        <v>3.6</v>
      </c>
      <c r="AR15" s="199">
        <v>3.5</v>
      </c>
      <c r="AS15" s="199">
        <v>3.2</v>
      </c>
      <c r="AT15" s="50">
        <v>2.5</v>
      </c>
      <c r="AU15" s="53">
        <f t="shared" si="19"/>
        <v>2.5</v>
      </c>
      <c r="AV15" s="54"/>
      <c r="AW15" s="1221">
        <v>2.2999999999999998</v>
      </c>
      <c r="AX15" s="199">
        <v>3.2</v>
      </c>
      <c r="AY15" s="199">
        <v>2.7</v>
      </c>
      <c r="AZ15" s="199">
        <v>2.5</v>
      </c>
      <c r="BA15" s="53">
        <f t="shared" si="20"/>
        <v>2.5</v>
      </c>
      <c r="BB15" s="54"/>
      <c r="BC15" s="1221">
        <v>2.1</v>
      </c>
      <c r="BD15" s="199">
        <v>2.1</v>
      </c>
      <c r="BE15" s="140">
        <v>1.9</v>
      </c>
      <c r="BF15" s="140">
        <v>1.7</v>
      </c>
      <c r="BG15" s="53">
        <f t="shared" si="21"/>
        <v>1.7</v>
      </c>
      <c r="BH15" s="54"/>
      <c r="BI15" s="1221">
        <f>2.1-0.9</f>
        <v>1.2000000000000002</v>
      </c>
      <c r="BJ15" s="199">
        <f>1.9-0.9</f>
        <v>0.99999999999999989</v>
      </c>
      <c r="BK15" s="140">
        <f>1.7-0.8</f>
        <v>0.89999999999999991</v>
      </c>
      <c r="BL15" s="140">
        <f>1.5-0.8</f>
        <v>0.7</v>
      </c>
      <c r="BM15" s="53">
        <f t="shared" si="22"/>
        <v>0.7</v>
      </c>
      <c r="BN15" s="54"/>
      <c r="BO15" s="1221">
        <f>-0.8+1.6</f>
        <v>0.8</v>
      </c>
      <c r="BP15" s="199">
        <f>1.5-0.7</f>
        <v>0.8</v>
      </c>
      <c r="BQ15" s="199">
        <f>1.2-0.7</f>
        <v>0.5</v>
      </c>
      <c r="BR15" s="140">
        <f>1.3-0.7</f>
        <v>0.60000000000000009</v>
      </c>
      <c r="BS15" s="53">
        <f t="shared" si="23"/>
        <v>0.60000000000000009</v>
      </c>
      <c r="BT15" s="54"/>
      <c r="BU15" s="532">
        <f t="shared" si="0"/>
        <v>0.60000000000000009</v>
      </c>
      <c r="BV15" s="54">
        <f t="shared" si="1"/>
        <v>0.60000000000000009</v>
      </c>
      <c r="BW15" s="54">
        <f t="shared" si="2"/>
        <v>0.60000000000000009</v>
      </c>
      <c r="BX15" s="54">
        <f t="shared" si="2"/>
        <v>0.60000000000000009</v>
      </c>
      <c r="BY15" s="53">
        <f t="shared" si="24"/>
        <v>0.60000000000000009</v>
      </c>
      <c r="CA15" s="532">
        <f t="shared" si="3"/>
        <v>0.60000000000000009</v>
      </c>
      <c r="CB15" s="54">
        <f t="shared" si="4"/>
        <v>0.60000000000000009</v>
      </c>
      <c r="CC15" s="54">
        <f t="shared" si="5"/>
        <v>0.60000000000000009</v>
      </c>
      <c r="CD15" s="54">
        <f t="shared" si="6"/>
        <v>0.60000000000000009</v>
      </c>
      <c r="CE15" s="53">
        <f t="shared" si="25"/>
        <v>0.60000000000000009</v>
      </c>
      <c r="CG15" s="532">
        <f t="shared" si="7"/>
        <v>0.60000000000000009</v>
      </c>
      <c r="CH15" s="54">
        <f t="shared" si="8"/>
        <v>0.60000000000000009</v>
      </c>
      <c r="CI15" s="54">
        <f t="shared" si="9"/>
        <v>0.60000000000000009</v>
      </c>
      <c r="CJ15" s="54">
        <f t="shared" si="10"/>
        <v>0.60000000000000009</v>
      </c>
      <c r="CK15" s="53">
        <f t="shared" si="26"/>
        <v>0.60000000000000009</v>
      </c>
      <c r="CM15" s="532">
        <f t="shared" si="11"/>
        <v>0.60000000000000009</v>
      </c>
      <c r="CN15" s="54">
        <f t="shared" si="12"/>
        <v>0.60000000000000009</v>
      </c>
      <c r="CO15" s="54">
        <f t="shared" si="13"/>
        <v>0.60000000000000009</v>
      </c>
      <c r="CP15" s="54">
        <f t="shared" si="14"/>
        <v>0.60000000000000009</v>
      </c>
      <c r="CQ15" s="53">
        <f t="shared" si="27"/>
        <v>0.60000000000000009</v>
      </c>
    </row>
    <row r="16" spans="1:95" ht="11.25" hidden="1" customHeight="1" outlineLevel="1">
      <c r="A16" s="514" t="s">
        <v>288</v>
      </c>
      <c r="B16" s="524">
        <v>2.9499999999999998E-2</v>
      </c>
      <c r="C16" s="523">
        <v>40543</v>
      </c>
      <c r="D16" s="54"/>
      <c r="E16" s="141">
        <v>0</v>
      </c>
      <c r="F16" s="54"/>
      <c r="G16" s="141">
        <v>4.0759999999999996</v>
      </c>
      <c r="H16" s="54"/>
      <c r="I16" s="141">
        <v>3.7389999999999999</v>
      </c>
      <c r="J16" s="54"/>
      <c r="K16" s="141">
        <v>2.6469999999999998</v>
      </c>
      <c r="L16" s="54"/>
      <c r="M16" s="141">
        <v>2.282</v>
      </c>
      <c r="N16" s="54"/>
      <c r="O16" s="141">
        <v>1.8</v>
      </c>
      <c r="P16" s="54"/>
      <c r="Q16" s="141">
        <v>1</v>
      </c>
      <c r="R16" s="54"/>
      <c r="S16" s="310">
        <v>0.8</v>
      </c>
      <c r="T16" s="140">
        <v>0.6</v>
      </c>
      <c r="U16" s="140">
        <v>0.5</v>
      </c>
      <c r="V16" s="140">
        <v>0.3</v>
      </c>
      <c r="W16" s="53">
        <f t="shared" si="15"/>
        <v>0.3</v>
      </c>
      <c r="X16" s="54"/>
      <c r="Y16" s="310">
        <v>0.1</v>
      </c>
      <c r="Z16" s="140">
        <v>0</v>
      </c>
      <c r="AA16" s="140">
        <v>0</v>
      </c>
      <c r="AB16" s="140">
        <v>0</v>
      </c>
      <c r="AC16" s="53">
        <f t="shared" si="16"/>
        <v>0</v>
      </c>
      <c r="AD16" s="54"/>
      <c r="AE16" s="310">
        <v>0</v>
      </c>
      <c r="AF16" s="140">
        <v>0</v>
      </c>
      <c r="AG16" s="140">
        <v>0</v>
      </c>
      <c r="AH16" s="140">
        <v>0</v>
      </c>
      <c r="AI16" s="53">
        <f t="shared" si="17"/>
        <v>0</v>
      </c>
      <c r="AJ16" s="54"/>
      <c r="AK16" s="310">
        <v>0</v>
      </c>
      <c r="AL16" s="140">
        <v>0</v>
      </c>
      <c r="AM16" s="140">
        <v>0</v>
      </c>
      <c r="AN16" s="761">
        <v>0</v>
      </c>
      <c r="AO16" s="53">
        <f t="shared" si="18"/>
        <v>0</v>
      </c>
      <c r="AP16" s="54"/>
      <c r="AQ16" s="310">
        <v>0</v>
      </c>
      <c r="AR16" s="199">
        <v>0</v>
      </c>
      <c r="AS16" s="199">
        <v>0</v>
      </c>
      <c r="AT16" s="199">
        <v>0</v>
      </c>
      <c r="AU16" s="53">
        <f t="shared" si="19"/>
        <v>0</v>
      </c>
      <c r="AV16" s="54"/>
      <c r="AW16" s="310">
        <v>0</v>
      </c>
      <c r="AX16" s="199">
        <v>0</v>
      </c>
      <c r="AY16" s="199">
        <v>0</v>
      </c>
      <c r="AZ16" s="199">
        <v>0</v>
      </c>
      <c r="BA16" s="53">
        <f t="shared" si="20"/>
        <v>0</v>
      </c>
      <c r="BB16" s="54"/>
      <c r="BC16" s="310">
        <v>0</v>
      </c>
      <c r="BD16" s="199">
        <v>0</v>
      </c>
      <c r="BE16" s="140">
        <v>0</v>
      </c>
      <c r="BF16" s="140">
        <v>0</v>
      </c>
      <c r="BG16" s="53">
        <f t="shared" si="21"/>
        <v>0</v>
      </c>
      <c r="BH16" s="54"/>
      <c r="BI16" s="310">
        <v>0</v>
      </c>
      <c r="BJ16" s="199">
        <v>0</v>
      </c>
      <c r="BK16" s="140">
        <v>0</v>
      </c>
      <c r="BL16" s="140">
        <v>0</v>
      </c>
      <c r="BM16" s="53">
        <f t="shared" si="22"/>
        <v>0</v>
      </c>
      <c r="BN16" s="54"/>
      <c r="BO16" s="310">
        <v>0</v>
      </c>
      <c r="BP16" s="199">
        <v>0</v>
      </c>
      <c r="BQ16" s="199">
        <v>0</v>
      </c>
      <c r="BR16" s="140">
        <v>0</v>
      </c>
      <c r="BS16" s="53">
        <f t="shared" si="23"/>
        <v>0</v>
      </c>
      <c r="BT16" s="54"/>
      <c r="BU16" s="532">
        <f t="shared" si="0"/>
        <v>0</v>
      </c>
      <c r="BV16" s="54">
        <f t="shared" si="1"/>
        <v>0</v>
      </c>
      <c r="BW16" s="54">
        <f t="shared" si="1"/>
        <v>0</v>
      </c>
      <c r="BX16" s="54">
        <f t="shared" si="1"/>
        <v>0</v>
      </c>
      <c r="BY16" s="53">
        <f t="shared" si="24"/>
        <v>0</v>
      </c>
      <c r="CA16" s="532">
        <f t="shared" si="3"/>
        <v>0</v>
      </c>
      <c r="CB16" s="54">
        <f t="shared" si="4"/>
        <v>0</v>
      </c>
      <c r="CC16" s="54">
        <f t="shared" si="5"/>
        <v>0</v>
      </c>
      <c r="CD16" s="54">
        <f t="shared" si="6"/>
        <v>0</v>
      </c>
      <c r="CE16" s="53">
        <f t="shared" si="25"/>
        <v>0</v>
      </c>
      <c r="CG16" s="532">
        <f t="shared" si="7"/>
        <v>0</v>
      </c>
      <c r="CH16" s="54">
        <f t="shared" si="8"/>
        <v>0</v>
      </c>
      <c r="CI16" s="54">
        <f t="shared" si="9"/>
        <v>0</v>
      </c>
      <c r="CJ16" s="54">
        <f t="shared" si="10"/>
        <v>0</v>
      </c>
      <c r="CK16" s="53">
        <f t="shared" si="26"/>
        <v>0</v>
      </c>
      <c r="CM16" s="532">
        <f t="shared" si="11"/>
        <v>0</v>
      </c>
      <c r="CN16" s="54">
        <f t="shared" si="12"/>
        <v>0</v>
      </c>
      <c r="CO16" s="54">
        <f t="shared" si="13"/>
        <v>0</v>
      </c>
      <c r="CP16" s="54">
        <f t="shared" si="14"/>
        <v>0</v>
      </c>
      <c r="CQ16" s="53">
        <f t="shared" si="27"/>
        <v>0</v>
      </c>
    </row>
    <row r="17" spans="1:122" ht="11.25" hidden="1" customHeight="1" outlineLevel="1">
      <c r="A17" s="514" t="s">
        <v>289</v>
      </c>
      <c r="B17" s="524">
        <v>2.7E-2</v>
      </c>
      <c r="C17" s="523">
        <v>39903</v>
      </c>
      <c r="D17" s="54"/>
      <c r="E17" s="141">
        <v>0</v>
      </c>
      <c r="F17" s="54"/>
      <c r="G17" s="141">
        <v>0</v>
      </c>
      <c r="H17" s="54"/>
      <c r="I17" s="141">
        <v>0</v>
      </c>
      <c r="J17" s="54"/>
      <c r="K17" s="141">
        <v>0</v>
      </c>
      <c r="L17" s="54"/>
      <c r="M17" s="141">
        <v>0</v>
      </c>
      <c r="N17" s="54"/>
      <c r="O17" s="141">
        <v>2.9</v>
      </c>
      <c r="P17" s="54"/>
      <c r="Q17" s="141">
        <v>2.2000000000000002</v>
      </c>
      <c r="R17" s="54"/>
      <c r="S17" s="310">
        <v>2.1</v>
      </c>
      <c r="T17" s="140">
        <v>2</v>
      </c>
      <c r="U17" s="140">
        <v>2</v>
      </c>
      <c r="V17" s="140">
        <v>0</v>
      </c>
      <c r="W17" s="53">
        <f t="shared" si="15"/>
        <v>0</v>
      </c>
      <c r="X17" s="54"/>
      <c r="Y17" s="310">
        <v>0</v>
      </c>
      <c r="Z17" s="140">
        <v>0</v>
      </c>
      <c r="AA17" s="140">
        <v>0</v>
      </c>
      <c r="AB17" s="140">
        <v>0</v>
      </c>
      <c r="AC17" s="53">
        <f t="shared" si="16"/>
        <v>0</v>
      </c>
      <c r="AD17" s="54"/>
      <c r="AE17" s="310">
        <v>0</v>
      </c>
      <c r="AF17" s="140">
        <v>0</v>
      </c>
      <c r="AG17" s="140">
        <v>0</v>
      </c>
      <c r="AH17" s="140">
        <v>0</v>
      </c>
      <c r="AI17" s="53">
        <f t="shared" si="17"/>
        <v>0</v>
      </c>
      <c r="AJ17" s="54"/>
      <c r="AK17" s="310">
        <v>0</v>
      </c>
      <c r="AL17" s="140">
        <v>0</v>
      </c>
      <c r="AM17" s="140">
        <v>0</v>
      </c>
      <c r="AN17" s="761">
        <v>0</v>
      </c>
      <c r="AO17" s="53">
        <f t="shared" si="18"/>
        <v>0</v>
      </c>
      <c r="AP17" s="54"/>
      <c r="AQ17" s="310">
        <v>0</v>
      </c>
      <c r="AR17" s="199">
        <v>0</v>
      </c>
      <c r="AS17" s="199">
        <v>0</v>
      </c>
      <c r="AT17" s="199">
        <v>0</v>
      </c>
      <c r="AU17" s="53">
        <f t="shared" si="19"/>
        <v>0</v>
      </c>
      <c r="AV17" s="54"/>
      <c r="AW17" s="310">
        <v>0</v>
      </c>
      <c r="AX17" s="199">
        <v>0</v>
      </c>
      <c r="AY17" s="199">
        <v>0</v>
      </c>
      <c r="AZ17" s="199">
        <v>0</v>
      </c>
      <c r="BA17" s="53">
        <f t="shared" si="20"/>
        <v>0</v>
      </c>
      <c r="BB17" s="54"/>
      <c r="BC17" s="310">
        <v>0</v>
      </c>
      <c r="BD17" s="199">
        <v>0</v>
      </c>
      <c r="BE17" s="140">
        <v>0</v>
      </c>
      <c r="BF17" s="140">
        <v>0</v>
      </c>
      <c r="BG17" s="53">
        <f t="shared" si="21"/>
        <v>0</v>
      </c>
      <c r="BH17" s="54"/>
      <c r="BI17" s="310">
        <v>0</v>
      </c>
      <c r="BJ17" s="199">
        <v>0</v>
      </c>
      <c r="BK17" s="140">
        <v>0</v>
      </c>
      <c r="BL17" s="140">
        <v>0</v>
      </c>
      <c r="BM17" s="53">
        <f t="shared" si="22"/>
        <v>0</v>
      </c>
      <c r="BN17" s="54"/>
      <c r="BO17" s="310">
        <v>0</v>
      </c>
      <c r="BP17" s="199">
        <v>0</v>
      </c>
      <c r="BQ17" s="199">
        <v>0</v>
      </c>
      <c r="BR17" s="140">
        <v>0</v>
      </c>
      <c r="BS17" s="53">
        <f t="shared" si="23"/>
        <v>0</v>
      </c>
      <c r="BT17" s="54"/>
      <c r="BU17" s="532">
        <f t="shared" si="0"/>
        <v>0</v>
      </c>
      <c r="BV17" s="54">
        <f t="shared" si="1"/>
        <v>0</v>
      </c>
      <c r="BW17" s="54">
        <f t="shared" si="1"/>
        <v>0</v>
      </c>
      <c r="BX17" s="54">
        <f t="shared" si="1"/>
        <v>0</v>
      </c>
      <c r="BY17" s="53">
        <f t="shared" si="24"/>
        <v>0</v>
      </c>
      <c r="CA17" s="532">
        <f t="shared" si="3"/>
        <v>0</v>
      </c>
      <c r="CB17" s="54">
        <f t="shared" si="4"/>
        <v>0</v>
      </c>
      <c r="CC17" s="54">
        <f t="shared" si="5"/>
        <v>0</v>
      </c>
      <c r="CD17" s="54">
        <f t="shared" si="6"/>
        <v>0</v>
      </c>
      <c r="CE17" s="53">
        <f t="shared" si="25"/>
        <v>0</v>
      </c>
      <c r="CG17" s="532">
        <f t="shared" si="7"/>
        <v>0</v>
      </c>
      <c r="CH17" s="54">
        <f t="shared" si="8"/>
        <v>0</v>
      </c>
      <c r="CI17" s="54">
        <f t="shared" si="9"/>
        <v>0</v>
      </c>
      <c r="CJ17" s="54">
        <f t="shared" si="10"/>
        <v>0</v>
      </c>
      <c r="CK17" s="53">
        <f t="shared" si="26"/>
        <v>0</v>
      </c>
      <c r="CM17" s="532">
        <f t="shared" si="11"/>
        <v>0</v>
      </c>
      <c r="CN17" s="54">
        <f t="shared" si="12"/>
        <v>0</v>
      </c>
      <c r="CO17" s="54">
        <f t="shared" si="13"/>
        <v>0</v>
      </c>
      <c r="CP17" s="54">
        <f t="shared" si="14"/>
        <v>0</v>
      </c>
      <c r="CQ17" s="53">
        <f t="shared" si="27"/>
        <v>0</v>
      </c>
    </row>
    <row r="18" spans="1:122" ht="11.25" hidden="1" customHeight="1" outlineLevel="1">
      <c r="A18" s="514" t="s">
        <v>290</v>
      </c>
      <c r="B18" s="524">
        <f>AVERAGE(4.65%,8.01%)</f>
        <v>6.3300000000000009E-2</v>
      </c>
      <c r="C18" s="523">
        <v>41639</v>
      </c>
      <c r="D18" s="54"/>
      <c r="E18" s="141">
        <v>0</v>
      </c>
      <c r="F18" s="54"/>
      <c r="G18" s="141">
        <v>0</v>
      </c>
      <c r="H18" s="54"/>
      <c r="I18" s="141">
        <v>0</v>
      </c>
      <c r="J18" s="54"/>
      <c r="K18" s="141">
        <v>0.28499999999999998</v>
      </c>
      <c r="L18" s="54"/>
      <c r="M18" s="141">
        <v>0.29899999999999999</v>
      </c>
      <c r="N18" s="54"/>
      <c r="O18" s="141">
        <v>0.3</v>
      </c>
      <c r="P18" s="54"/>
      <c r="Q18" s="141">
        <v>0.3</v>
      </c>
      <c r="R18" s="54"/>
      <c r="S18" s="310">
        <v>0.3</v>
      </c>
      <c r="T18" s="140">
        <v>0.3</v>
      </c>
      <c r="U18" s="140">
        <v>0</v>
      </c>
      <c r="V18" s="140">
        <v>0</v>
      </c>
      <c r="W18" s="53">
        <f t="shared" si="15"/>
        <v>0</v>
      </c>
      <c r="X18" s="54"/>
      <c r="Y18" s="310">
        <v>0</v>
      </c>
      <c r="Z18" s="140">
        <v>0</v>
      </c>
      <c r="AA18" s="140">
        <v>0</v>
      </c>
      <c r="AB18" s="140">
        <v>0</v>
      </c>
      <c r="AC18" s="53">
        <f t="shared" si="16"/>
        <v>0</v>
      </c>
      <c r="AD18" s="54"/>
      <c r="AE18" s="310">
        <v>0</v>
      </c>
      <c r="AF18" s="140">
        <v>0</v>
      </c>
      <c r="AG18" s="140">
        <v>0</v>
      </c>
      <c r="AH18" s="140">
        <v>0</v>
      </c>
      <c r="AI18" s="53">
        <f t="shared" si="17"/>
        <v>0</v>
      </c>
      <c r="AJ18" s="54"/>
      <c r="AK18" s="310">
        <v>0</v>
      </c>
      <c r="AL18" s="140">
        <v>0</v>
      </c>
      <c r="AM18" s="140">
        <v>0</v>
      </c>
      <c r="AN18" s="761">
        <v>0</v>
      </c>
      <c r="AO18" s="53">
        <f t="shared" si="18"/>
        <v>0</v>
      </c>
      <c r="AP18" s="54"/>
      <c r="AQ18" s="310">
        <v>0</v>
      </c>
      <c r="AR18" s="199">
        <v>0</v>
      </c>
      <c r="AS18" s="199">
        <v>0</v>
      </c>
      <c r="AT18" s="199">
        <v>0</v>
      </c>
      <c r="AU18" s="53">
        <f t="shared" si="19"/>
        <v>0</v>
      </c>
      <c r="AV18" s="54"/>
      <c r="AW18" s="310">
        <v>0</v>
      </c>
      <c r="AX18" s="199">
        <v>0</v>
      </c>
      <c r="AY18" s="199">
        <v>0</v>
      </c>
      <c r="AZ18" s="199">
        <v>0</v>
      </c>
      <c r="BA18" s="53">
        <f t="shared" si="20"/>
        <v>0</v>
      </c>
      <c r="BB18" s="54"/>
      <c r="BC18" s="310">
        <v>0</v>
      </c>
      <c r="BD18" s="199">
        <v>0</v>
      </c>
      <c r="BE18" s="140">
        <v>0</v>
      </c>
      <c r="BF18" s="140">
        <v>0</v>
      </c>
      <c r="BG18" s="53">
        <f t="shared" si="21"/>
        <v>0</v>
      </c>
      <c r="BH18" s="54"/>
      <c r="BI18" s="310">
        <v>0</v>
      </c>
      <c r="BJ18" s="199">
        <v>0</v>
      </c>
      <c r="BK18" s="140">
        <v>0</v>
      </c>
      <c r="BL18" s="140">
        <v>0</v>
      </c>
      <c r="BM18" s="53">
        <f t="shared" si="22"/>
        <v>0</v>
      </c>
      <c r="BN18" s="54"/>
      <c r="BO18" s="310">
        <v>0</v>
      </c>
      <c r="BP18" s="199">
        <v>0</v>
      </c>
      <c r="BQ18" s="199">
        <v>0</v>
      </c>
      <c r="BR18" s="140">
        <v>0</v>
      </c>
      <c r="BS18" s="53">
        <f t="shared" si="23"/>
        <v>0</v>
      </c>
      <c r="BT18" s="54"/>
      <c r="BU18" s="532">
        <f t="shared" si="0"/>
        <v>0</v>
      </c>
      <c r="BV18" s="54">
        <f t="shared" si="1"/>
        <v>0</v>
      </c>
      <c r="BW18" s="54">
        <f t="shared" si="1"/>
        <v>0</v>
      </c>
      <c r="BX18" s="54">
        <f t="shared" si="1"/>
        <v>0</v>
      </c>
      <c r="BY18" s="53">
        <f t="shared" si="24"/>
        <v>0</v>
      </c>
      <c r="CA18" s="532">
        <f t="shared" si="3"/>
        <v>0</v>
      </c>
      <c r="CB18" s="54">
        <f t="shared" si="4"/>
        <v>0</v>
      </c>
      <c r="CC18" s="54">
        <f t="shared" si="5"/>
        <v>0</v>
      </c>
      <c r="CD18" s="54">
        <f t="shared" si="6"/>
        <v>0</v>
      </c>
      <c r="CE18" s="53">
        <f t="shared" si="25"/>
        <v>0</v>
      </c>
      <c r="CG18" s="532">
        <f t="shared" si="7"/>
        <v>0</v>
      </c>
      <c r="CH18" s="54">
        <f t="shared" si="8"/>
        <v>0</v>
      </c>
      <c r="CI18" s="54">
        <f t="shared" si="9"/>
        <v>0</v>
      </c>
      <c r="CJ18" s="54">
        <f t="shared" si="10"/>
        <v>0</v>
      </c>
      <c r="CK18" s="53">
        <f t="shared" si="26"/>
        <v>0</v>
      </c>
      <c r="CM18" s="532">
        <f t="shared" si="11"/>
        <v>0</v>
      </c>
      <c r="CN18" s="54">
        <f t="shared" si="12"/>
        <v>0</v>
      </c>
      <c r="CO18" s="54">
        <f t="shared" si="13"/>
        <v>0</v>
      </c>
      <c r="CP18" s="54">
        <f t="shared" si="14"/>
        <v>0</v>
      </c>
      <c r="CQ18" s="53">
        <f t="shared" si="27"/>
        <v>0</v>
      </c>
    </row>
    <row r="19" spans="1:122" ht="11.25" hidden="1" customHeight="1" outlineLevel="1">
      <c r="A19" s="514" t="s">
        <v>291</v>
      </c>
      <c r="B19" s="524">
        <v>5.0099999999999999E-2</v>
      </c>
      <c r="C19" s="523">
        <v>41639</v>
      </c>
      <c r="D19" s="54"/>
      <c r="E19" s="141">
        <v>0</v>
      </c>
      <c r="F19" s="54"/>
      <c r="G19" s="141">
        <v>0</v>
      </c>
      <c r="H19" s="54"/>
      <c r="I19" s="141">
        <v>0</v>
      </c>
      <c r="J19" s="54"/>
      <c r="K19" s="141">
        <v>0</v>
      </c>
      <c r="L19" s="54"/>
      <c r="M19" s="141">
        <v>0</v>
      </c>
      <c r="N19" s="54"/>
      <c r="O19" s="141">
        <v>0</v>
      </c>
      <c r="P19" s="54"/>
      <c r="Q19" s="141">
        <v>10.7</v>
      </c>
      <c r="R19" s="54"/>
      <c r="S19" s="310">
        <v>10.1</v>
      </c>
      <c r="T19" s="140">
        <v>1.2</v>
      </c>
      <c r="U19" s="140">
        <v>0</v>
      </c>
      <c r="V19" s="140">
        <v>0</v>
      </c>
      <c r="W19" s="53">
        <f t="shared" si="15"/>
        <v>0</v>
      </c>
      <c r="X19" s="54"/>
      <c r="Y19" s="310">
        <v>0</v>
      </c>
      <c r="Z19" s="140">
        <v>0</v>
      </c>
      <c r="AA19" s="140">
        <v>0</v>
      </c>
      <c r="AB19" s="140">
        <v>0</v>
      </c>
      <c r="AC19" s="53">
        <f t="shared" si="16"/>
        <v>0</v>
      </c>
      <c r="AD19" s="54"/>
      <c r="AE19" s="310">
        <v>0</v>
      </c>
      <c r="AF19" s="140">
        <v>0</v>
      </c>
      <c r="AG19" s="140">
        <v>0</v>
      </c>
      <c r="AH19" s="140">
        <v>0</v>
      </c>
      <c r="AI19" s="53">
        <f t="shared" si="17"/>
        <v>0</v>
      </c>
      <c r="AJ19" s="54"/>
      <c r="AK19" s="310">
        <v>0</v>
      </c>
      <c r="AL19" s="140">
        <v>0</v>
      </c>
      <c r="AM19" s="140">
        <v>0</v>
      </c>
      <c r="AN19" s="761">
        <v>0</v>
      </c>
      <c r="AO19" s="53">
        <f t="shared" si="18"/>
        <v>0</v>
      </c>
      <c r="AP19" s="54"/>
      <c r="AQ19" s="310">
        <v>0</v>
      </c>
      <c r="AR19" s="199">
        <v>0</v>
      </c>
      <c r="AS19" s="199">
        <v>0</v>
      </c>
      <c r="AT19" s="199">
        <v>0</v>
      </c>
      <c r="AU19" s="53">
        <f t="shared" si="19"/>
        <v>0</v>
      </c>
      <c r="AV19" s="54"/>
      <c r="AW19" s="310">
        <v>0</v>
      </c>
      <c r="AX19" s="199">
        <v>0</v>
      </c>
      <c r="AY19" s="199">
        <v>0</v>
      </c>
      <c r="AZ19" s="199">
        <v>0</v>
      </c>
      <c r="BA19" s="53">
        <f t="shared" si="20"/>
        <v>0</v>
      </c>
      <c r="BB19" s="54"/>
      <c r="BC19" s="310">
        <v>0</v>
      </c>
      <c r="BD19" s="199">
        <v>0</v>
      </c>
      <c r="BE19" s="140">
        <v>0</v>
      </c>
      <c r="BF19" s="140">
        <v>0</v>
      </c>
      <c r="BG19" s="53">
        <f t="shared" si="21"/>
        <v>0</v>
      </c>
      <c r="BH19" s="54"/>
      <c r="BI19" s="310">
        <v>0</v>
      </c>
      <c r="BJ19" s="199">
        <v>0</v>
      </c>
      <c r="BK19" s="140">
        <v>0</v>
      </c>
      <c r="BL19" s="140">
        <v>0</v>
      </c>
      <c r="BM19" s="53">
        <f t="shared" si="22"/>
        <v>0</v>
      </c>
      <c r="BN19" s="54"/>
      <c r="BO19" s="310">
        <v>0</v>
      </c>
      <c r="BP19" s="199">
        <v>0</v>
      </c>
      <c r="BQ19" s="199">
        <v>0</v>
      </c>
      <c r="BR19" s="140">
        <v>0</v>
      </c>
      <c r="BS19" s="53">
        <f t="shared" si="23"/>
        <v>0</v>
      </c>
      <c r="BT19" s="54"/>
      <c r="BU19" s="532">
        <f t="shared" si="0"/>
        <v>0</v>
      </c>
      <c r="BV19" s="54">
        <f t="shared" si="1"/>
        <v>0</v>
      </c>
      <c r="BW19" s="54">
        <f t="shared" si="1"/>
        <v>0</v>
      </c>
      <c r="BX19" s="54">
        <f t="shared" si="1"/>
        <v>0</v>
      </c>
      <c r="BY19" s="53">
        <f t="shared" si="24"/>
        <v>0</v>
      </c>
      <c r="CA19" s="532">
        <f t="shared" si="3"/>
        <v>0</v>
      </c>
      <c r="CB19" s="54">
        <f t="shared" si="4"/>
        <v>0</v>
      </c>
      <c r="CC19" s="54">
        <f t="shared" si="5"/>
        <v>0</v>
      </c>
      <c r="CD19" s="54">
        <f t="shared" si="6"/>
        <v>0</v>
      </c>
      <c r="CE19" s="53">
        <f t="shared" si="25"/>
        <v>0</v>
      </c>
      <c r="CG19" s="532">
        <f t="shared" si="7"/>
        <v>0</v>
      </c>
      <c r="CH19" s="54">
        <f t="shared" si="8"/>
        <v>0</v>
      </c>
      <c r="CI19" s="54">
        <f t="shared" si="9"/>
        <v>0</v>
      </c>
      <c r="CJ19" s="54">
        <f t="shared" si="10"/>
        <v>0</v>
      </c>
      <c r="CK19" s="53">
        <f t="shared" si="26"/>
        <v>0</v>
      </c>
      <c r="CM19" s="532">
        <f t="shared" si="11"/>
        <v>0</v>
      </c>
      <c r="CN19" s="54">
        <f t="shared" si="12"/>
        <v>0</v>
      </c>
      <c r="CO19" s="54">
        <f t="shared" si="13"/>
        <v>0</v>
      </c>
      <c r="CP19" s="54">
        <f t="shared" si="14"/>
        <v>0</v>
      </c>
      <c r="CQ19" s="53">
        <f t="shared" si="27"/>
        <v>0</v>
      </c>
    </row>
    <row r="20" spans="1:122" ht="11.25" hidden="1" customHeight="1" outlineLevel="1">
      <c r="A20" s="514" t="s">
        <v>292</v>
      </c>
      <c r="B20" s="524">
        <v>2.0299999999999999E-2</v>
      </c>
      <c r="C20" s="523">
        <v>40908</v>
      </c>
      <c r="D20" s="54"/>
      <c r="E20" s="141">
        <v>0</v>
      </c>
      <c r="F20" s="54"/>
      <c r="G20" s="141">
        <v>0</v>
      </c>
      <c r="H20" s="54"/>
      <c r="I20" s="141">
        <v>0</v>
      </c>
      <c r="J20" s="54"/>
      <c r="K20" s="141">
        <v>0</v>
      </c>
      <c r="L20" s="54"/>
      <c r="M20" s="141">
        <v>0</v>
      </c>
      <c r="N20" s="54"/>
      <c r="O20" s="141">
        <v>1.8</v>
      </c>
      <c r="P20" s="54"/>
      <c r="Q20" s="141">
        <v>1.6</v>
      </c>
      <c r="R20" s="54"/>
      <c r="S20" s="310">
        <v>1.4</v>
      </c>
      <c r="T20" s="140">
        <v>0</v>
      </c>
      <c r="U20" s="140">
        <v>0</v>
      </c>
      <c r="V20" s="140">
        <v>0</v>
      </c>
      <c r="W20" s="53">
        <f t="shared" si="15"/>
        <v>0</v>
      </c>
      <c r="X20" s="54"/>
      <c r="Y20" s="310">
        <v>0</v>
      </c>
      <c r="Z20" s="140">
        <v>0</v>
      </c>
      <c r="AA20" s="140">
        <v>0</v>
      </c>
      <c r="AB20" s="140">
        <v>0</v>
      </c>
      <c r="AC20" s="53">
        <f t="shared" si="16"/>
        <v>0</v>
      </c>
      <c r="AD20" s="54"/>
      <c r="AE20" s="310">
        <v>0</v>
      </c>
      <c r="AF20" s="140">
        <v>0</v>
      </c>
      <c r="AG20" s="140">
        <v>0</v>
      </c>
      <c r="AH20" s="140">
        <v>0</v>
      </c>
      <c r="AI20" s="53">
        <f t="shared" si="17"/>
        <v>0</v>
      </c>
      <c r="AJ20" s="54"/>
      <c r="AK20" s="310">
        <v>0</v>
      </c>
      <c r="AL20" s="140">
        <v>0</v>
      </c>
      <c r="AM20" s="140">
        <v>0</v>
      </c>
      <c r="AN20" s="761">
        <v>0</v>
      </c>
      <c r="AO20" s="53">
        <f t="shared" si="18"/>
        <v>0</v>
      </c>
      <c r="AP20" s="54"/>
      <c r="AQ20" s="310">
        <v>0</v>
      </c>
      <c r="AR20" s="199">
        <v>0</v>
      </c>
      <c r="AS20" s="199">
        <v>0</v>
      </c>
      <c r="AT20" s="199">
        <v>0</v>
      </c>
      <c r="AU20" s="53">
        <f t="shared" si="19"/>
        <v>0</v>
      </c>
      <c r="AV20" s="54"/>
      <c r="AW20" s="310">
        <v>0</v>
      </c>
      <c r="AX20" s="199">
        <v>0</v>
      </c>
      <c r="AY20" s="199">
        <v>0</v>
      </c>
      <c r="AZ20" s="199">
        <v>0</v>
      </c>
      <c r="BA20" s="53">
        <f t="shared" si="20"/>
        <v>0</v>
      </c>
      <c r="BB20" s="54"/>
      <c r="BC20" s="310">
        <v>0</v>
      </c>
      <c r="BD20" s="199">
        <v>0</v>
      </c>
      <c r="BE20" s="140">
        <v>0</v>
      </c>
      <c r="BF20" s="140">
        <v>0</v>
      </c>
      <c r="BG20" s="53">
        <f t="shared" si="21"/>
        <v>0</v>
      </c>
      <c r="BH20" s="54"/>
      <c r="BI20" s="310">
        <v>0</v>
      </c>
      <c r="BJ20" s="199">
        <v>0</v>
      </c>
      <c r="BK20" s="140">
        <v>0</v>
      </c>
      <c r="BL20" s="140">
        <v>0</v>
      </c>
      <c r="BM20" s="53">
        <f t="shared" si="22"/>
        <v>0</v>
      </c>
      <c r="BN20" s="54"/>
      <c r="BO20" s="310">
        <v>0</v>
      </c>
      <c r="BP20" s="199">
        <v>0</v>
      </c>
      <c r="BQ20" s="199">
        <v>0</v>
      </c>
      <c r="BR20" s="140">
        <v>0</v>
      </c>
      <c r="BS20" s="53">
        <f t="shared" si="23"/>
        <v>0</v>
      </c>
      <c r="BT20" s="54"/>
      <c r="BU20" s="532">
        <f t="shared" si="0"/>
        <v>0</v>
      </c>
      <c r="BV20" s="54">
        <f t="shared" si="1"/>
        <v>0</v>
      </c>
      <c r="BW20" s="54">
        <f t="shared" si="1"/>
        <v>0</v>
      </c>
      <c r="BX20" s="54">
        <f t="shared" si="1"/>
        <v>0</v>
      </c>
      <c r="BY20" s="53">
        <f t="shared" si="24"/>
        <v>0</v>
      </c>
      <c r="CA20" s="532">
        <f t="shared" si="3"/>
        <v>0</v>
      </c>
      <c r="CB20" s="54">
        <f t="shared" si="4"/>
        <v>0</v>
      </c>
      <c r="CC20" s="54">
        <f t="shared" si="5"/>
        <v>0</v>
      </c>
      <c r="CD20" s="54">
        <f t="shared" si="6"/>
        <v>0</v>
      </c>
      <c r="CE20" s="53">
        <f t="shared" si="25"/>
        <v>0</v>
      </c>
      <c r="CG20" s="532">
        <f t="shared" si="7"/>
        <v>0</v>
      </c>
      <c r="CH20" s="54">
        <f t="shared" si="8"/>
        <v>0</v>
      </c>
      <c r="CI20" s="54">
        <f t="shared" si="9"/>
        <v>0</v>
      </c>
      <c r="CJ20" s="54">
        <f t="shared" si="10"/>
        <v>0</v>
      </c>
      <c r="CK20" s="53">
        <f t="shared" si="26"/>
        <v>0</v>
      </c>
      <c r="CM20" s="532">
        <f t="shared" si="11"/>
        <v>0</v>
      </c>
      <c r="CN20" s="54">
        <f t="shared" si="12"/>
        <v>0</v>
      </c>
      <c r="CO20" s="54">
        <f t="shared" si="13"/>
        <v>0</v>
      </c>
      <c r="CP20" s="54">
        <f t="shared" si="14"/>
        <v>0</v>
      </c>
      <c r="CQ20" s="53">
        <f t="shared" si="27"/>
        <v>0</v>
      </c>
    </row>
    <row r="21" spans="1:122" ht="11.25" hidden="1" customHeight="1" outlineLevel="1">
      <c r="A21" s="514" t="s">
        <v>293</v>
      </c>
      <c r="B21" s="524">
        <v>4.07E-2</v>
      </c>
      <c r="C21" s="523">
        <v>39813</v>
      </c>
      <c r="D21" s="54"/>
      <c r="E21" s="141">
        <v>0</v>
      </c>
      <c r="F21" s="54"/>
      <c r="G21" s="141">
        <v>0</v>
      </c>
      <c r="H21" s="54"/>
      <c r="I21" s="141">
        <v>0</v>
      </c>
      <c r="J21" s="54"/>
      <c r="K21" s="141">
        <v>0</v>
      </c>
      <c r="L21" s="54"/>
      <c r="M21" s="141">
        <v>2.2679999999999998</v>
      </c>
      <c r="N21" s="54"/>
      <c r="O21" s="141">
        <v>3</v>
      </c>
      <c r="P21" s="54"/>
      <c r="Q21" s="141">
        <v>0</v>
      </c>
      <c r="R21" s="54"/>
      <c r="S21" s="310">
        <v>0</v>
      </c>
      <c r="T21" s="140">
        <v>0</v>
      </c>
      <c r="U21" s="140">
        <v>0</v>
      </c>
      <c r="V21" s="140">
        <v>0</v>
      </c>
      <c r="W21" s="53">
        <f t="shared" si="15"/>
        <v>0</v>
      </c>
      <c r="X21" s="54"/>
      <c r="Y21" s="310">
        <v>0</v>
      </c>
      <c r="Z21" s="140">
        <v>0</v>
      </c>
      <c r="AA21" s="140">
        <v>0</v>
      </c>
      <c r="AB21" s="140">
        <v>0</v>
      </c>
      <c r="AC21" s="53">
        <f t="shared" si="16"/>
        <v>0</v>
      </c>
      <c r="AD21" s="54"/>
      <c r="AE21" s="310">
        <v>0</v>
      </c>
      <c r="AF21" s="140">
        <v>0</v>
      </c>
      <c r="AG21" s="140">
        <v>0</v>
      </c>
      <c r="AH21" s="140">
        <v>0</v>
      </c>
      <c r="AI21" s="53">
        <f t="shared" si="17"/>
        <v>0</v>
      </c>
      <c r="AJ21" s="54"/>
      <c r="AK21" s="310">
        <v>0</v>
      </c>
      <c r="AL21" s="140">
        <v>0</v>
      </c>
      <c r="AM21" s="140">
        <v>0</v>
      </c>
      <c r="AN21" s="761">
        <v>0</v>
      </c>
      <c r="AO21" s="53">
        <f t="shared" si="18"/>
        <v>0</v>
      </c>
      <c r="AP21" s="54"/>
      <c r="AQ21" s="310">
        <v>0</v>
      </c>
      <c r="AR21" s="199">
        <v>0</v>
      </c>
      <c r="AS21" s="199">
        <v>0</v>
      </c>
      <c r="AT21" s="199">
        <v>0</v>
      </c>
      <c r="AU21" s="53">
        <f t="shared" si="19"/>
        <v>0</v>
      </c>
      <c r="AV21" s="54"/>
      <c r="AW21" s="310">
        <v>0</v>
      </c>
      <c r="AX21" s="199">
        <v>0</v>
      </c>
      <c r="AY21" s="199">
        <v>0</v>
      </c>
      <c r="AZ21" s="199">
        <v>0</v>
      </c>
      <c r="BA21" s="53">
        <f t="shared" si="20"/>
        <v>0</v>
      </c>
      <c r="BB21" s="54"/>
      <c r="BC21" s="310">
        <v>0</v>
      </c>
      <c r="BD21" s="199">
        <v>0</v>
      </c>
      <c r="BE21" s="140">
        <v>0</v>
      </c>
      <c r="BF21" s="140">
        <v>0</v>
      </c>
      <c r="BG21" s="53">
        <f t="shared" si="21"/>
        <v>0</v>
      </c>
      <c r="BH21" s="54"/>
      <c r="BI21" s="310">
        <v>0</v>
      </c>
      <c r="BJ21" s="199">
        <v>0</v>
      </c>
      <c r="BK21" s="140">
        <v>0</v>
      </c>
      <c r="BL21" s="140">
        <v>0</v>
      </c>
      <c r="BM21" s="53">
        <f t="shared" si="22"/>
        <v>0</v>
      </c>
      <c r="BN21" s="54"/>
      <c r="BO21" s="310">
        <v>0</v>
      </c>
      <c r="BP21" s="199">
        <v>0</v>
      </c>
      <c r="BQ21" s="199">
        <v>0</v>
      </c>
      <c r="BR21" s="140">
        <v>0</v>
      </c>
      <c r="BS21" s="53">
        <f t="shared" si="23"/>
        <v>0</v>
      </c>
      <c r="BT21" s="54"/>
      <c r="BU21" s="532">
        <f t="shared" si="0"/>
        <v>0</v>
      </c>
      <c r="BV21" s="54">
        <f t="shared" si="1"/>
        <v>0</v>
      </c>
      <c r="BW21" s="54">
        <f t="shared" si="1"/>
        <v>0</v>
      </c>
      <c r="BX21" s="54">
        <f t="shared" si="1"/>
        <v>0</v>
      </c>
      <c r="BY21" s="53">
        <f t="shared" si="24"/>
        <v>0</v>
      </c>
      <c r="CA21" s="532">
        <f t="shared" si="3"/>
        <v>0</v>
      </c>
      <c r="CB21" s="54">
        <f t="shared" si="4"/>
        <v>0</v>
      </c>
      <c r="CC21" s="54">
        <f t="shared" si="5"/>
        <v>0</v>
      </c>
      <c r="CD21" s="54">
        <f t="shared" si="6"/>
        <v>0</v>
      </c>
      <c r="CE21" s="53">
        <f t="shared" si="25"/>
        <v>0</v>
      </c>
      <c r="CG21" s="532">
        <f t="shared" si="7"/>
        <v>0</v>
      </c>
      <c r="CH21" s="54">
        <f t="shared" si="8"/>
        <v>0</v>
      </c>
      <c r="CI21" s="54">
        <f t="shared" si="9"/>
        <v>0</v>
      </c>
      <c r="CJ21" s="54">
        <f t="shared" si="10"/>
        <v>0</v>
      </c>
      <c r="CK21" s="53">
        <f t="shared" si="26"/>
        <v>0</v>
      </c>
      <c r="CM21" s="532">
        <f t="shared" si="11"/>
        <v>0</v>
      </c>
      <c r="CN21" s="54">
        <f t="shared" si="12"/>
        <v>0</v>
      </c>
      <c r="CO21" s="54">
        <f t="shared" si="13"/>
        <v>0</v>
      </c>
      <c r="CP21" s="54">
        <f t="shared" si="14"/>
        <v>0</v>
      </c>
      <c r="CQ21" s="53">
        <f t="shared" si="27"/>
        <v>0</v>
      </c>
    </row>
    <row r="22" spans="1:122" ht="11.25" hidden="1" customHeight="1" outlineLevel="1">
      <c r="A22" s="514" t="s">
        <v>294</v>
      </c>
      <c r="B22" s="524">
        <v>4.65E-2</v>
      </c>
      <c r="C22" s="523">
        <v>39813</v>
      </c>
      <c r="D22" s="54"/>
      <c r="E22" s="141">
        <v>8.0380000000000003</v>
      </c>
      <c r="F22" s="54"/>
      <c r="G22" s="141">
        <v>9.6259999999999994</v>
      </c>
      <c r="H22" s="54"/>
      <c r="I22" s="141">
        <v>10.462</v>
      </c>
      <c r="J22" s="54"/>
      <c r="K22" s="141">
        <v>9.3529999999999998</v>
      </c>
      <c r="L22" s="54"/>
      <c r="M22" s="141">
        <v>10.115</v>
      </c>
      <c r="N22" s="54"/>
      <c r="O22" s="141">
        <v>11.2</v>
      </c>
      <c r="P22" s="54"/>
      <c r="Q22" s="141">
        <v>0</v>
      </c>
      <c r="R22" s="54"/>
      <c r="S22" s="310">
        <v>0</v>
      </c>
      <c r="T22" s="140">
        <v>0</v>
      </c>
      <c r="U22" s="140">
        <v>0</v>
      </c>
      <c r="V22" s="140">
        <v>0</v>
      </c>
      <c r="W22" s="53">
        <f t="shared" si="15"/>
        <v>0</v>
      </c>
      <c r="X22" s="54"/>
      <c r="Y22" s="310">
        <v>0</v>
      </c>
      <c r="Z22" s="140">
        <v>0</v>
      </c>
      <c r="AA22" s="140">
        <v>0</v>
      </c>
      <c r="AB22" s="140">
        <v>0</v>
      </c>
      <c r="AC22" s="53">
        <f t="shared" si="16"/>
        <v>0</v>
      </c>
      <c r="AD22" s="54"/>
      <c r="AE22" s="310">
        <v>0</v>
      </c>
      <c r="AF22" s="140">
        <v>0</v>
      </c>
      <c r="AG22" s="140">
        <v>0</v>
      </c>
      <c r="AH22" s="140">
        <v>0</v>
      </c>
      <c r="AI22" s="53">
        <f t="shared" si="17"/>
        <v>0</v>
      </c>
      <c r="AJ22" s="54"/>
      <c r="AK22" s="310">
        <v>0</v>
      </c>
      <c r="AL22" s="140">
        <v>0</v>
      </c>
      <c r="AM22" s="140">
        <v>0</v>
      </c>
      <c r="AN22" s="761">
        <v>0</v>
      </c>
      <c r="AO22" s="53">
        <f t="shared" si="18"/>
        <v>0</v>
      </c>
      <c r="AP22" s="54"/>
      <c r="AQ22" s="310">
        <v>0</v>
      </c>
      <c r="AR22" s="199">
        <v>0</v>
      </c>
      <c r="AS22" s="199">
        <v>0</v>
      </c>
      <c r="AT22" s="199">
        <v>0</v>
      </c>
      <c r="AU22" s="53">
        <f t="shared" si="19"/>
        <v>0</v>
      </c>
      <c r="AV22" s="54"/>
      <c r="AW22" s="310">
        <v>0</v>
      </c>
      <c r="AX22" s="199">
        <v>0</v>
      </c>
      <c r="AY22" s="199">
        <v>0</v>
      </c>
      <c r="AZ22" s="199">
        <v>0</v>
      </c>
      <c r="BA22" s="53">
        <f t="shared" si="20"/>
        <v>0</v>
      </c>
      <c r="BB22" s="54"/>
      <c r="BC22" s="310">
        <v>0</v>
      </c>
      <c r="BD22" s="199">
        <v>0</v>
      </c>
      <c r="BE22" s="140">
        <v>0</v>
      </c>
      <c r="BF22" s="140">
        <v>0</v>
      </c>
      <c r="BG22" s="53">
        <f t="shared" si="21"/>
        <v>0</v>
      </c>
      <c r="BH22" s="54"/>
      <c r="BI22" s="310">
        <v>0</v>
      </c>
      <c r="BJ22" s="199">
        <v>0</v>
      </c>
      <c r="BK22" s="140">
        <v>0</v>
      </c>
      <c r="BL22" s="140">
        <v>0</v>
      </c>
      <c r="BM22" s="53">
        <f t="shared" si="22"/>
        <v>0</v>
      </c>
      <c r="BN22" s="54"/>
      <c r="BO22" s="310">
        <v>0</v>
      </c>
      <c r="BP22" s="199">
        <v>0</v>
      </c>
      <c r="BQ22" s="199">
        <v>0</v>
      </c>
      <c r="BR22" s="140">
        <v>0</v>
      </c>
      <c r="BS22" s="53">
        <f t="shared" si="23"/>
        <v>0</v>
      </c>
      <c r="BT22" s="54"/>
      <c r="BU22" s="532">
        <f t="shared" si="0"/>
        <v>0</v>
      </c>
      <c r="BV22" s="54">
        <f t="shared" si="1"/>
        <v>0</v>
      </c>
      <c r="BW22" s="54">
        <f t="shared" si="1"/>
        <v>0</v>
      </c>
      <c r="BX22" s="54">
        <f t="shared" si="1"/>
        <v>0</v>
      </c>
      <c r="BY22" s="53">
        <f t="shared" si="24"/>
        <v>0</v>
      </c>
      <c r="CA22" s="532">
        <f t="shared" si="3"/>
        <v>0</v>
      </c>
      <c r="CB22" s="54">
        <f t="shared" si="4"/>
        <v>0</v>
      </c>
      <c r="CC22" s="54">
        <f t="shared" si="5"/>
        <v>0</v>
      </c>
      <c r="CD22" s="54">
        <f t="shared" si="6"/>
        <v>0</v>
      </c>
      <c r="CE22" s="53">
        <f t="shared" si="25"/>
        <v>0</v>
      </c>
      <c r="CG22" s="532">
        <f t="shared" si="7"/>
        <v>0</v>
      </c>
      <c r="CH22" s="54">
        <f t="shared" si="8"/>
        <v>0</v>
      </c>
      <c r="CI22" s="54">
        <f t="shared" si="9"/>
        <v>0</v>
      </c>
      <c r="CJ22" s="54">
        <f t="shared" si="10"/>
        <v>0</v>
      </c>
      <c r="CK22" s="53">
        <f t="shared" si="26"/>
        <v>0</v>
      </c>
      <c r="CM22" s="532">
        <f t="shared" si="11"/>
        <v>0</v>
      </c>
      <c r="CN22" s="54">
        <f t="shared" si="12"/>
        <v>0</v>
      </c>
      <c r="CO22" s="54">
        <f t="shared" si="13"/>
        <v>0</v>
      </c>
      <c r="CP22" s="54">
        <f t="shared" si="14"/>
        <v>0</v>
      </c>
      <c r="CQ22" s="53">
        <f t="shared" si="27"/>
        <v>0</v>
      </c>
    </row>
    <row r="23" spans="1:122" ht="11.25" hidden="1" customHeight="1" outlineLevel="1">
      <c r="A23" s="514" t="s">
        <v>295</v>
      </c>
      <c r="B23" s="524">
        <v>3.0499999999999999E-2</v>
      </c>
      <c r="C23" s="523">
        <v>39813</v>
      </c>
      <c r="D23" s="54"/>
      <c r="E23" s="141">
        <v>0</v>
      </c>
      <c r="F23" s="54"/>
      <c r="G23" s="141">
        <v>4.3929999999999998</v>
      </c>
      <c r="H23" s="54"/>
      <c r="I23" s="141">
        <v>4.774</v>
      </c>
      <c r="J23" s="54"/>
      <c r="K23" s="141">
        <v>4.1449999999999996</v>
      </c>
      <c r="L23" s="54"/>
      <c r="M23" s="141">
        <v>4.6159999999999997</v>
      </c>
      <c r="N23" s="54"/>
      <c r="O23" s="141">
        <v>5.0999999999999996</v>
      </c>
      <c r="P23" s="54"/>
      <c r="Q23" s="141">
        <v>0</v>
      </c>
      <c r="R23" s="54"/>
      <c r="S23" s="310">
        <v>0</v>
      </c>
      <c r="T23" s="140">
        <v>0</v>
      </c>
      <c r="U23" s="140">
        <v>0</v>
      </c>
      <c r="V23" s="140">
        <v>0</v>
      </c>
      <c r="W23" s="53">
        <f t="shared" si="15"/>
        <v>0</v>
      </c>
      <c r="X23" s="54"/>
      <c r="Y23" s="310">
        <v>0</v>
      </c>
      <c r="Z23" s="140">
        <v>0</v>
      </c>
      <c r="AA23" s="140">
        <v>0</v>
      </c>
      <c r="AB23" s="140">
        <v>0</v>
      </c>
      <c r="AC23" s="53">
        <f t="shared" si="16"/>
        <v>0</v>
      </c>
      <c r="AD23" s="54"/>
      <c r="AE23" s="310">
        <v>0</v>
      </c>
      <c r="AF23" s="140">
        <v>0</v>
      </c>
      <c r="AG23" s="140">
        <v>0</v>
      </c>
      <c r="AH23" s="140">
        <v>0</v>
      </c>
      <c r="AI23" s="53">
        <f t="shared" si="17"/>
        <v>0</v>
      </c>
      <c r="AJ23" s="54"/>
      <c r="AK23" s="310">
        <v>0</v>
      </c>
      <c r="AL23" s="140">
        <v>0</v>
      </c>
      <c r="AM23" s="140">
        <v>0</v>
      </c>
      <c r="AN23" s="761">
        <v>0</v>
      </c>
      <c r="AO23" s="53">
        <f t="shared" si="18"/>
        <v>0</v>
      </c>
      <c r="AP23" s="54"/>
      <c r="AQ23" s="310">
        <v>0</v>
      </c>
      <c r="AR23" s="199">
        <v>0</v>
      </c>
      <c r="AS23" s="199">
        <v>0</v>
      </c>
      <c r="AT23" s="199">
        <v>0</v>
      </c>
      <c r="AU23" s="53">
        <f t="shared" si="19"/>
        <v>0</v>
      </c>
      <c r="AV23" s="54"/>
      <c r="AW23" s="310">
        <v>0</v>
      </c>
      <c r="AX23" s="199">
        <v>0</v>
      </c>
      <c r="AY23" s="199">
        <v>0</v>
      </c>
      <c r="AZ23" s="199">
        <v>0</v>
      </c>
      <c r="BA23" s="53">
        <f t="shared" si="20"/>
        <v>0</v>
      </c>
      <c r="BB23" s="54"/>
      <c r="BC23" s="310">
        <v>0</v>
      </c>
      <c r="BD23" s="199">
        <v>0</v>
      </c>
      <c r="BE23" s="140">
        <v>0</v>
      </c>
      <c r="BF23" s="140">
        <v>0</v>
      </c>
      <c r="BG23" s="53">
        <f t="shared" si="21"/>
        <v>0</v>
      </c>
      <c r="BH23" s="54"/>
      <c r="BI23" s="310">
        <v>0</v>
      </c>
      <c r="BJ23" s="199">
        <v>0</v>
      </c>
      <c r="BK23" s="140">
        <v>0</v>
      </c>
      <c r="BL23" s="140">
        <v>0</v>
      </c>
      <c r="BM23" s="53">
        <f t="shared" si="22"/>
        <v>0</v>
      </c>
      <c r="BN23" s="54"/>
      <c r="BO23" s="310">
        <v>0</v>
      </c>
      <c r="BP23" s="199">
        <v>0</v>
      </c>
      <c r="BQ23" s="199">
        <v>0</v>
      </c>
      <c r="BR23" s="140">
        <v>0</v>
      </c>
      <c r="BS23" s="53">
        <f t="shared" si="23"/>
        <v>0</v>
      </c>
      <c r="BT23" s="54"/>
      <c r="BU23" s="532">
        <f t="shared" si="0"/>
        <v>0</v>
      </c>
      <c r="BV23" s="54">
        <f t="shared" si="1"/>
        <v>0</v>
      </c>
      <c r="BW23" s="54">
        <f t="shared" si="1"/>
        <v>0</v>
      </c>
      <c r="BX23" s="54">
        <f t="shared" si="1"/>
        <v>0</v>
      </c>
      <c r="BY23" s="53">
        <f t="shared" si="24"/>
        <v>0</v>
      </c>
      <c r="CA23" s="532">
        <f t="shared" si="3"/>
        <v>0</v>
      </c>
      <c r="CB23" s="54">
        <f t="shared" si="4"/>
        <v>0</v>
      </c>
      <c r="CC23" s="54">
        <f t="shared" si="5"/>
        <v>0</v>
      </c>
      <c r="CD23" s="54">
        <f t="shared" si="6"/>
        <v>0</v>
      </c>
      <c r="CE23" s="53">
        <f t="shared" si="25"/>
        <v>0</v>
      </c>
      <c r="CG23" s="532">
        <f t="shared" si="7"/>
        <v>0</v>
      </c>
      <c r="CH23" s="54">
        <f t="shared" si="8"/>
        <v>0</v>
      </c>
      <c r="CI23" s="54">
        <f t="shared" si="9"/>
        <v>0</v>
      </c>
      <c r="CJ23" s="54">
        <f t="shared" si="10"/>
        <v>0</v>
      </c>
      <c r="CK23" s="53">
        <f t="shared" si="26"/>
        <v>0</v>
      </c>
      <c r="CM23" s="532">
        <f t="shared" si="11"/>
        <v>0</v>
      </c>
      <c r="CN23" s="54">
        <f t="shared" si="12"/>
        <v>0</v>
      </c>
      <c r="CO23" s="54">
        <f t="shared" si="13"/>
        <v>0</v>
      </c>
      <c r="CP23" s="54">
        <f t="shared" si="14"/>
        <v>0</v>
      </c>
      <c r="CQ23" s="53">
        <f t="shared" si="27"/>
        <v>0</v>
      </c>
    </row>
    <row r="24" spans="1:122" ht="11.25" hidden="1" customHeight="1" outlineLevel="1">
      <c r="A24" s="514" t="s">
        <v>299</v>
      </c>
      <c r="B24" s="524">
        <v>1.7999999999999999E-2</v>
      </c>
      <c r="C24" s="523">
        <v>40908</v>
      </c>
      <c r="D24" s="54"/>
      <c r="E24" s="141">
        <v>0</v>
      </c>
      <c r="F24" s="54"/>
      <c r="G24" s="141">
        <v>0</v>
      </c>
      <c r="H24" s="54"/>
      <c r="I24" s="141">
        <v>1.3169999999999999</v>
      </c>
      <c r="J24" s="54"/>
      <c r="K24" s="141">
        <v>0.89300000000000002</v>
      </c>
      <c r="L24" s="54"/>
      <c r="M24" s="141">
        <v>0.629</v>
      </c>
      <c r="N24" s="54"/>
      <c r="O24" s="141">
        <v>0.4</v>
      </c>
      <c r="P24" s="54"/>
      <c r="Q24" s="141">
        <v>0</v>
      </c>
      <c r="R24" s="54"/>
      <c r="S24" s="310">
        <v>0</v>
      </c>
      <c r="T24" s="140">
        <v>0</v>
      </c>
      <c r="U24" s="140">
        <v>0</v>
      </c>
      <c r="V24" s="140">
        <v>0</v>
      </c>
      <c r="W24" s="53">
        <f t="shared" si="15"/>
        <v>0</v>
      </c>
      <c r="X24" s="54"/>
      <c r="Y24" s="310">
        <v>0</v>
      </c>
      <c r="Z24" s="140">
        <v>0</v>
      </c>
      <c r="AA24" s="140">
        <v>0</v>
      </c>
      <c r="AB24" s="140">
        <v>0</v>
      </c>
      <c r="AC24" s="53">
        <f t="shared" si="16"/>
        <v>0</v>
      </c>
      <c r="AD24" s="54"/>
      <c r="AE24" s="310">
        <v>0</v>
      </c>
      <c r="AF24" s="140">
        <v>0</v>
      </c>
      <c r="AG24" s="140">
        <v>0</v>
      </c>
      <c r="AH24" s="140">
        <v>0</v>
      </c>
      <c r="AI24" s="53">
        <f t="shared" si="17"/>
        <v>0</v>
      </c>
      <c r="AJ24" s="54"/>
      <c r="AK24" s="310">
        <v>0</v>
      </c>
      <c r="AL24" s="140">
        <v>0</v>
      </c>
      <c r="AM24" s="140">
        <v>0</v>
      </c>
      <c r="AN24" s="761">
        <v>0</v>
      </c>
      <c r="AO24" s="53">
        <f t="shared" si="18"/>
        <v>0</v>
      </c>
      <c r="AP24" s="54"/>
      <c r="AQ24" s="310">
        <v>0</v>
      </c>
      <c r="AR24" s="199">
        <v>0</v>
      </c>
      <c r="AS24" s="199">
        <v>0</v>
      </c>
      <c r="AT24" s="199">
        <v>0</v>
      </c>
      <c r="AU24" s="53">
        <f t="shared" si="19"/>
        <v>0</v>
      </c>
      <c r="AV24" s="54"/>
      <c r="AW24" s="310">
        <v>0</v>
      </c>
      <c r="AX24" s="199">
        <v>0</v>
      </c>
      <c r="AY24" s="199">
        <v>0</v>
      </c>
      <c r="AZ24" s="199">
        <v>0</v>
      </c>
      <c r="BA24" s="53">
        <f t="shared" si="20"/>
        <v>0</v>
      </c>
      <c r="BB24" s="54"/>
      <c r="BC24" s="310">
        <v>0</v>
      </c>
      <c r="BD24" s="199">
        <v>0</v>
      </c>
      <c r="BE24" s="140">
        <v>0</v>
      </c>
      <c r="BF24" s="140">
        <v>0</v>
      </c>
      <c r="BG24" s="53">
        <f t="shared" si="21"/>
        <v>0</v>
      </c>
      <c r="BH24" s="54"/>
      <c r="BI24" s="310">
        <v>0</v>
      </c>
      <c r="BJ24" s="199">
        <v>0</v>
      </c>
      <c r="BK24" s="140">
        <v>0</v>
      </c>
      <c r="BL24" s="140">
        <v>0</v>
      </c>
      <c r="BM24" s="53">
        <f t="shared" si="22"/>
        <v>0</v>
      </c>
      <c r="BN24" s="54"/>
      <c r="BO24" s="310">
        <v>0</v>
      </c>
      <c r="BP24" s="199">
        <v>0</v>
      </c>
      <c r="BQ24" s="199">
        <v>0</v>
      </c>
      <c r="BR24" s="140">
        <v>0</v>
      </c>
      <c r="BS24" s="53">
        <f t="shared" si="23"/>
        <v>0</v>
      </c>
      <c r="BT24" s="54"/>
      <c r="BU24" s="532">
        <f t="shared" si="0"/>
        <v>0</v>
      </c>
      <c r="BV24" s="54">
        <f t="shared" si="1"/>
        <v>0</v>
      </c>
      <c r="BW24" s="54">
        <f t="shared" si="1"/>
        <v>0</v>
      </c>
      <c r="BX24" s="54">
        <f t="shared" si="1"/>
        <v>0</v>
      </c>
      <c r="BY24" s="53">
        <f t="shared" si="24"/>
        <v>0</v>
      </c>
      <c r="CA24" s="532">
        <f t="shared" si="3"/>
        <v>0</v>
      </c>
      <c r="CB24" s="54">
        <f t="shared" si="4"/>
        <v>0</v>
      </c>
      <c r="CC24" s="54">
        <f t="shared" si="5"/>
        <v>0</v>
      </c>
      <c r="CD24" s="54">
        <f t="shared" si="6"/>
        <v>0</v>
      </c>
      <c r="CE24" s="53">
        <f t="shared" si="25"/>
        <v>0</v>
      </c>
      <c r="CG24" s="532">
        <f t="shared" si="7"/>
        <v>0</v>
      </c>
      <c r="CH24" s="54">
        <f t="shared" si="8"/>
        <v>0</v>
      </c>
      <c r="CI24" s="54">
        <f t="shared" si="9"/>
        <v>0</v>
      </c>
      <c r="CJ24" s="54">
        <f t="shared" si="10"/>
        <v>0</v>
      </c>
      <c r="CK24" s="53">
        <f t="shared" si="26"/>
        <v>0</v>
      </c>
      <c r="CM24" s="532">
        <f t="shared" si="11"/>
        <v>0</v>
      </c>
      <c r="CN24" s="54">
        <f t="shared" si="12"/>
        <v>0</v>
      </c>
      <c r="CO24" s="54">
        <f t="shared" si="13"/>
        <v>0</v>
      </c>
      <c r="CP24" s="54">
        <f t="shared" si="14"/>
        <v>0</v>
      </c>
      <c r="CQ24" s="53">
        <f t="shared" si="27"/>
        <v>0</v>
      </c>
    </row>
    <row r="25" spans="1:122" ht="11.25" hidden="1" customHeight="1" outlineLevel="1">
      <c r="A25" s="514" t="s">
        <v>296</v>
      </c>
      <c r="B25" s="524">
        <v>4.7100000000000003E-2</v>
      </c>
      <c r="C25" s="523">
        <v>40817</v>
      </c>
      <c r="D25" s="54"/>
      <c r="E25" s="141">
        <v>5.2380000000000004</v>
      </c>
      <c r="F25" s="54"/>
      <c r="G25" s="141">
        <v>5.9379999999999997</v>
      </c>
      <c r="H25" s="54"/>
      <c r="I25" s="141">
        <v>5.9930000000000003</v>
      </c>
      <c r="J25" s="54"/>
      <c r="K25" s="141">
        <v>3.0670000000000002</v>
      </c>
      <c r="L25" s="54"/>
      <c r="M25" s="141">
        <v>3.0329999999999999</v>
      </c>
      <c r="N25" s="54"/>
      <c r="O25" s="141">
        <v>0</v>
      </c>
      <c r="P25" s="54"/>
      <c r="Q25" s="141">
        <v>0</v>
      </c>
      <c r="R25" s="54"/>
      <c r="S25" s="310">
        <v>0</v>
      </c>
      <c r="T25" s="140">
        <v>0</v>
      </c>
      <c r="U25" s="140">
        <v>0</v>
      </c>
      <c r="V25" s="140">
        <v>0</v>
      </c>
      <c r="W25" s="53">
        <f t="shared" si="15"/>
        <v>0</v>
      </c>
      <c r="X25" s="54"/>
      <c r="Y25" s="310">
        <v>0</v>
      </c>
      <c r="Z25" s="140">
        <v>0</v>
      </c>
      <c r="AA25" s="140">
        <v>0</v>
      </c>
      <c r="AB25" s="140">
        <v>0</v>
      </c>
      <c r="AC25" s="53">
        <f t="shared" si="16"/>
        <v>0</v>
      </c>
      <c r="AD25" s="54"/>
      <c r="AE25" s="310">
        <v>0</v>
      </c>
      <c r="AF25" s="140">
        <v>0</v>
      </c>
      <c r="AG25" s="140">
        <v>0</v>
      </c>
      <c r="AH25" s="140">
        <v>0</v>
      </c>
      <c r="AI25" s="53">
        <f t="shared" si="17"/>
        <v>0</v>
      </c>
      <c r="AJ25" s="54"/>
      <c r="AK25" s="310">
        <v>0</v>
      </c>
      <c r="AL25" s="140">
        <v>0</v>
      </c>
      <c r="AM25" s="140">
        <v>0</v>
      </c>
      <c r="AN25" s="761">
        <v>0</v>
      </c>
      <c r="AO25" s="53">
        <f t="shared" si="18"/>
        <v>0</v>
      </c>
      <c r="AP25" s="54"/>
      <c r="AQ25" s="310">
        <v>0</v>
      </c>
      <c r="AR25" s="199">
        <v>0</v>
      </c>
      <c r="AS25" s="199">
        <v>0</v>
      </c>
      <c r="AT25" s="199">
        <v>0</v>
      </c>
      <c r="AU25" s="53">
        <f t="shared" si="19"/>
        <v>0</v>
      </c>
      <c r="AV25" s="54"/>
      <c r="AW25" s="310">
        <v>0</v>
      </c>
      <c r="AX25" s="199">
        <v>0</v>
      </c>
      <c r="AY25" s="199">
        <v>0</v>
      </c>
      <c r="AZ25" s="199">
        <v>0</v>
      </c>
      <c r="BA25" s="53">
        <f t="shared" si="20"/>
        <v>0</v>
      </c>
      <c r="BB25" s="54"/>
      <c r="BC25" s="310">
        <v>0</v>
      </c>
      <c r="BD25" s="199">
        <v>0</v>
      </c>
      <c r="BE25" s="140">
        <v>0</v>
      </c>
      <c r="BF25" s="140">
        <v>0</v>
      </c>
      <c r="BG25" s="53">
        <f t="shared" si="21"/>
        <v>0</v>
      </c>
      <c r="BH25" s="54"/>
      <c r="BI25" s="310">
        <v>0</v>
      </c>
      <c r="BJ25" s="199">
        <v>0</v>
      </c>
      <c r="BK25" s="140">
        <v>0</v>
      </c>
      <c r="BL25" s="140">
        <v>0</v>
      </c>
      <c r="BM25" s="53">
        <f t="shared" si="22"/>
        <v>0</v>
      </c>
      <c r="BN25" s="54"/>
      <c r="BO25" s="310">
        <v>0</v>
      </c>
      <c r="BP25" s="199">
        <v>0</v>
      </c>
      <c r="BQ25" s="199">
        <v>0</v>
      </c>
      <c r="BR25" s="140">
        <v>0</v>
      </c>
      <c r="BS25" s="53">
        <f t="shared" si="23"/>
        <v>0</v>
      </c>
      <c r="BT25" s="54"/>
      <c r="BU25" s="532">
        <f t="shared" si="0"/>
        <v>0</v>
      </c>
      <c r="BV25" s="54">
        <f t="shared" ref="BV25:BX31" si="28">BU25+BV57</f>
        <v>0</v>
      </c>
      <c r="BW25" s="54">
        <f t="shared" si="28"/>
        <v>0</v>
      </c>
      <c r="BX25" s="54">
        <f t="shared" si="28"/>
        <v>0</v>
      </c>
      <c r="BY25" s="53">
        <f t="shared" si="24"/>
        <v>0</v>
      </c>
      <c r="CA25" s="532">
        <f t="shared" si="3"/>
        <v>0</v>
      </c>
      <c r="CB25" s="54">
        <f t="shared" si="4"/>
        <v>0</v>
      </c>
      <c r="CC25" s="54">
        <f t="shared" si="5"/>
        <v>0</v>
      </c>
      <c r="CD25" s="54">
        <f t="shared" si="6"/>
        <v>0</v>
      </c>
      <c r="CE25" s="53">
        <f t="shared" si="25"/>
        <v>0</v>
      </c>
      <c r="CG25" s="532">
        <f t="shared" si="7"/>
        <v>0</v>
      </c>
      <c r="CH25" s="54">
        <f t="shared" si="8"/>
        <v>0</v>
      </c>
      <c r="CI25" s="54">
        <f t="shared" si="9"/>
        <v>0</v>
      </c>
      <c r="CJ25" s="54">
        <f t="shared" si="10"/>
        <v>0</v>
      </c>
      <c r="CK25" s="53">
        <f t="shared" si="26"/>
        <v>0</v>
      </c>
      <c r="CM25" s="532">
        <f t="shared" si="11"/>
        <v>0</v>
      </c>
      <c r="CN25" s="54">
        <f t="shared" si="12"/>
        <v>0</v>
      </c>
      <c r="CO25" s="54">
        <f t="shared" si="13"/>
        <v>0</v>
      </c>
      <c r="CP25" s="54">
        <f t="shared" si="14"/>
        <v>0</v>
      </c>
      <c r="CQ25" s="53">
        <f t="shared" si="27"/>
        <v>0</v>
      </c>
    </row>
    <row r="26" spans="1:122" ht="11.25" hidden="1" customHeight="1" outlineLevel="1">
      <c r="A26" s="514" t="s">
        <v>297</v>
      </c>
      <c r="B26" s="524">
        <v>4.7100000000000003E-2</v>
      </c>
      <c r="C26" s="523">
        <v>41183</v>
      </c>
      <c r="D26" s="54"/>
      <c r="E26" s="141">
        <v>0</v>
      </c>
      <c r="F26" s="54"/>
      <c r="G26" s="141">
        <v>0</v>
      </c>
      <c r="H26" s="54"/>
      <c r="I26" s="141">
        <v>0</v>
      </c>
      <c r="J26" s="54"/>
      <c r="K26" s="141">
        <v>4.7839999999999998</v>
      </c>
      <c r="L26" s="54"/>
      <c r="M26" s="141">
        <v>0.42199999999999999</v>
      </c>
      <c r="N26" s="54"/>
      <c r="O26" s="141">
        <v>0</v>
      </c>
      <c r="P26" s="54"/>
      <c r="Q26" s="141">
        <v>0</v>
      </c>
      <c r="R26" s="54"/>
      <c r="S26" s="310">
        <v>0</v>
      </c>
      <c r="T26" s="140">
        <v>0</v>
      </c>
      <c r="U26" s="140">
        <v>0</v>
      </c>
      <c r="V26" s="140">
        <v>0</v>
      </c>
      <c r="W26" s="53">
        <f t="shared" si="15"/>
        <v>0</v>
      </c>
      <c r="X26" s="54"/>
      <c r="Y26" s="310">
        <v>0</v>
      </c>
      <c r="Z26" s="140">
        <v>0</v>
      </c>
      <c r="AA26" s="140">
        <v>0</v>
      </c>
      <c r="AB26" s="140">
        <v>0</v>
      </c>
      <c r="AC26" s="53">
        <f t="shared" si="16"/>
        <v>0</v>
      </c>
      <c r="AD26" s="54"/>
      <c r="AE26" s="310">
        <v>0</v>
      </c>
      <c r="AF26" s="140">
        <v>0</v>
      </c>
      <c r="AG26" s="140">
        <v>0</v>
      </c>
      <c r="AH26" s="140">
        <v>0</v>
      </c>
      <c r="AI26" s="53">
        <f t="shared" si="17"/>
        <v>0</v>
      </c>
      <c r="AJ26" s="54"/>
      <c r="AK26" s="310">
        <v>0</v>
      </c>
      <c r="AL26" s="140">
        <v>0</v>
      </c>
      <c r="AM26" s="140">
        <v>0</v>
      </c>
      <c r="AN26" s="761">
        <v>0</v>
      </c>
      <c r="AO26" s="53">
        <f t="shared" si="18"/>
        <v>0</v>
      </c>
      <c r="AP26" s="54"/>
      <c r="AQ26" s="310">
        <v>0</v>
      </c>
      <c r="AR26" s="199">
        <v>0</v>
      </c>
      <c r="AS26" s="199">
        <v>0</v>
      </c>
      <c r="AT26" s="199">
        <v>0</v>
      </c>
      <c r="AU26" s="53">
        <f t="shared" si="19"/>
        <v>0</v>
      </c>
      <c r="AV26" s="54"/>
      <c r="AW26" s="310">
        <v>0</v>
      </c>
      <c r="AX26" s="199">
        <v>0</v>
      </c>
      <c r="AY26" s="199">
        <v>0</v>
      </c>
      <c r="AZ26" s="199">
        <v>0</v>
      </c>
      <c r="BA26" s="53">
        <f t="shared" si="20"/>
        <v>0</v>
      </c>
      <c r="BB26" s="54"/>
      <c r="BC26" s="310">
        <v>0</v>
      </c>
      <c r="BD26" s="199">
        <v>0</v>
      </c>
      <c r="BE26" s="140">
        <v>0</v>
      </c>
      <c r="BF26" s="140">
        <v>0</v>
      </c>
      <c r="BG26" s="53">
        <f t="shared" si="21"/>
        <v>0</v>
      </c>
      <c r="BH26" s="54"/>
      <c r="BI26" s="310">
        <v>0</v>
      </c>
      <c r="BJ26" s="199">
        <v>0</v>
      </c>
      <c r="BK26" s="140">
        <v>0</v>
      </c>
      <c r="BL26" s="140">
        <v>0</v>
      </c>
      <c r="BM26" s="53">
        <f t="shared" si="22"/>
        <v>0</v>
      </c>
      <c r="BN26" s="54"/>
      <c r="BO26" s="310">
        <v>0</v>
      </c>
      <c r="BP26" s="199">
        <v>0</v>
      </c>
      <c r="BQ26" s="199">
        <v>0</v>
      </c>
      <c r="BR26" s="140">
        <v>0</v>
      </c>
      <c r="BS26" s="53">
        <f t="shared" si="23"/>
        <v>0</v>
      </c>
      <c r="BT26" s="54"/>
      <c r="BU26" s="532">
        <f t="shared" si="0"/>
        <v>0</v>
      </c>
      <c r="BV26" s="54">
        <f t="shared" si="28"/>
        <v>0</v>
      </c>
      <c r="BW26" s="54">
        <f t="shared" si="28"/>
        <v>0</v>
      </c>
      <c r="BX26" s="54">
        <f t="shared" si="28"/>
        <v>0</v>
      </c>
      <c r="BY26" s="53">
        <f t="shared" si="24"/>
        <v>0</v>
      </c>
      <c r="CA26" s="532">
        <f t="shared" si="3"/>
        <v>0</v>
      </c>
      <c r="CB26" s="54">
        <f t="shared" si="4"/>
        <v>0</v>
      </c>
      <c r="CC26" s="54">
        <f t="shared" si="5"/>
        <v>0</v>
      </c>
      <c r="CD26" s="54">
        <f t="shared" si="6"/>
        <v>0</v>
      </c>
      <c r="CE26" s="53">
        <f t="shared" si="25"/>
        <v>0</v>
      </c>
      <c r="CG26" s="532">
        <f t="shared" si="7"/>
        <v>0</v>
      </c>
      <c r="CH26" s="54">
        <f t="shared" si="8"/>
        <v>0</v>
      </c>
      <c r="CI26" s="54">
        <f t="shared" si="9"/>
        <v>0</v>
      </c>
      <c r="CJ26" s="54">
        <f t="shared" si="10"/>
        <v>0</v>
      </c>
      <c r="CK26" s="53">
        <f t="shared" si="26"/>
        <v>0</v>
      </c>
      <c r="CM26" s="532">
        <f t="shared" si="11"/>
        <v>0</v>
      </c>
      <c r="CN26" s="54">
        <f t="shared" si="12"/>
        <v>0</v>
      </c>
      <c r="CO26" s="54">
        <f t="shared" si="13"/>
        <v>0</v>
      </c>
      <c r="CP26" s="54">
        <f t="shared" si="14"/>
        <v>0</v>
      </c>
      <c r="CQ26" s="53">
        <f t="shared" si="27"/>
        <v>0</v>
      </c>
    </row>
    <row r="27" spans="1:122" ht="11.25" hidden="1" customHeight="1" outlineLevel="1">
      <c r="A27" s="514" t="s">
        <v>298</v>
      </c>
      <c r="B27" s="524">
        <v>1.1900000000000001E-2</v>
      </c>
      <c r="C27" s="523">
        <v>38898</v>
      </c>
      <c r="D27" s="54"/>
      <c r="E27" s="141">
        <v>1.99</v>
      </c>
      <c r="F27" s="54"/>
      <c r="G27" s="141">
        <v>1.4079999999999999</v>
      </c>
      <c r="H27" s="54"/>
      <c r="I27" s="141">
        <v>0.98699999999999999</v>
      </c>
      <c r="J27" s="54"/>
      <c r="K27" s="141">
        <v>0.28699999999999998</v>
      </c>
      <c r="L27" s="54"/>
      <c r="M27" s="141">
        <v>0</v>
      </c>
      <c r="N27" s="54"/>
      <c r="O27" s="141">
        <v>0</v>
      </c>
      <c r="P27" s="54"/>
      <c r="Q27" s="141">
        <v>0</v>
      </c>
      <c r="R27" s="54"/>
      <c r="S27" s="310">
        <v>0</v>
      </c>
      <c r="T27" s="140">
        <v>0</v>
      </c>
      <c r="U27" s="140">
        <v>0</v>
      </c>
      <c r="V27" s="140">
        <v>0</v>
      </c>
      <c r="W27" s="53">
        <f t="shared" si="15"/>
        <v>0</v>
      </c>
      <c r="X27" s="54"/>
      <c r="Y27" s="310">
        <v>0</v>
      </c>
      <c r="Z27" s="140">
        <v>0</v>
      </c>
      <c r="AA27" s="140">
        <v>0</v>
      </c>
      <c r="AB27" s="140">
        <v>0</v>
      </c>
      <c r="AC27" s="53">
        <f t="shared" si="16"/>
        <v>0</v>
      </c>
      <c r="AD27" s="54"/>
      <c r="AE27" s="310">
        <v>0</v>
      </c>
      <c r="AF27" s="140">
        <v>0</v>
      </c>
      <c r="AG27" s="140">
        <v>0</v>
      </c>
      <c r="AH27" s="140">
        <v>0</v>
      </c>
      <c r="AI27" s="53">
        <f t="shared" si="17"/>
        <v>0</v>
      </c>
      <c r="AJ27" s="54"/>
      <c r="AK27" s="310">
        <v>0</v>
      </c>
      <c r="AL27" s="140">
        <v>0</v>
      </c>
      <c r="AM27" s="140">
        <v>0</v>
      </c>
      <c r="AN27" s="761">
        <v>0</v>
      </c>
      <c r="AO27" s="53">
        <f t="shared" si="18"/>
        <v>0</v>
      </c>
      <c r="AP27" s="54"/>
      <c r="AQ27" s="310">
        <v>0</v>
      </c>
      <c r="AR27" s="199">
        <v>0</v>
      </c>
      <c r="AS27" s="199">
        <v>0</v>
      </c>
      <c r="AT27" s="199">
        <v>0</v>
      </c>
      <c r="AU27" s="53">
        <f t="shared" si="19"/>
        <v>0</v>
      </c>
      <c r="AV27" s="54"/>
      <c r="AW27" s="310">
        <v>0</v>
      </c>
      <c r="AX27" s="199">
        <v>0</v>
      </c>
      <c r="AY27" s="199">
        <v>0</v>
      </c>
      <c r="AZ27" s="199">
        <v>0</v>
      </c>
      <c r="BA27" s="53">
        <f t="shared" si="20"/>
        <v>0</v>
      </c>
      <c r="BB27" s="54"/>
      <c r="BC27" s="310">
        <v>0</v>
      </c>
      <c r="BD27" s="199">
        <v>0</v>
      </c>
      <c r="BE27" s="140">
        <v>0</v>
      </c>
      <c r="BF27" s="140">
        <v>0</v>
      </c>
      <c r="BG27" s="53">
        <f t="shared" si="21"/>
        <v>0</v>
      </c>
      <c r="BH27" s="54"/>
      <c r="BI27" s="310">
        <v>0</v>
      </c>
      <c r="BJ27" s="199">
        <v>0</v>
      </c>
      <c r="BK27" s="140">
        <v>0</v>
      </c>
      <c r="BL27" s="140">
        <v>0</v>
      </c>
      <c r="BM27" s="53">
        <f t="shared" si="22"/>
        <v>0</v>
      </c>
      <c r="BN27" s="54"/>
      <c r="BO27" s="310">
        <v>0</v>
      </c>
      <c r="BP27" s="199">
        <v>0</v>
      </c>
      <c r="BQ27" s="199">
        <v>0</v>
      </c>
      <c r="BR27" s="140">
        <v>0</v>
      </c>
      <c r="BS27" s="53">
        <f t="shared" si="23"/>
        <v>0</v>
      </c>
      <c r="BT27" s="54"/>
      <c r="BU27" s="532">
        <f t="shared" si="0"/>
        <v>0</v>
      </c>
      <c r="BV27" s="54">
        <f t="shared" si="28"/>
        <v>0</v>
      </c>
      <c r="BW27" s="54">
        <f t="shared" si="28"/>
        <v>0</v>
      </c>
      <c r="BX27" s="54">
        <f t="shared" si="28"/>
        <v>0</v>
      </c>
      <c r="BY27" s="53">
        <f t="shared" si="24"/>
        <v>0</v>
      </c>
      <c r="CA27" s="532">
        <f t="shared" si="3"/>
        <v>0</v>
      </c>
      <c r="CB27" s="54">
        <f t="shared" si="4"/>
        <v>0</v>
      </c>
      <c r="CC27" s="54">
        <f t="shared" si="5"/>
        <v>0</v>
      </c>
      <c r="CD27" s="54">
        <f t="shared" si="6"/>
        <v>0</v>
      </c>
      <c r="CE27" s="53">
        <f t="shared" si="25"/>
        <v>0</v>
      </c>
      <c r="CG27" s="532">
        <f t="shared" si="7"/>
        <v>0</v>
      </c>
      <c r="CH27" s="54">
        <f t="shared" si="8"/>
        <v>0</v>
      </c>
      <c r="CI27" s="54">
        <f t="shared" si="9"/>
        <v>0</v>
      </c>
      <c r="CJ27" s="54">
        <f t="shared" si="10"/>
        <v>0</v>
      </c>
      <c r="CK27" s="53">
        <f t="shared" si="26"/>
        <v>0</v>
      </c>
      <c r="CM27" s="532">
        <f t="shared" si="11"/>
        <v>0</v>
      </c>
      <c r="CN27" s="54">
        <f t="shared" si="12"/>
        <v>0</v>
      </c>
      <c r="CO27" s="54">
        <f t="shared" si="13"/>
        <v>0</v>
      </c>
      <c r="CP27" s="54">
        <f t="shared" si="14"/>
        <v>0</v>
      </c>
      <c r="CQ27" s="53">
        <f t="shared" si="27"/>
        <v>0</v>
      </c>
    </row>
    <row r="28" spans="1:122" ht="11.25" hidden="1" customHeight="1" outlineLevel="1">
      <c r="A28" s="514" t="s">
        <v>300</v>
      </c>
      <c r="B28" s="524">
        <v>1.4999999999999999E-2</v>
      </c>
      <c r="C28" s="523">
        <v>38717</v>
      </c>
      <c r="D28" s="54"/>
      <c r="E28" s="141">
        <v>1.0109999999999999</v>
      </c>
      <c r="F28" s="54"/>
      <c r="G28" s="141">
        <v>0.77600000000000002</v>
      </c>
      <c r="H28" s="54"/>
      <c r="I28" s="141">
        <v>0.48</v>
      </c>
      <c r="J28" s="54"/>
      <c r="K28" s="141">
        <v>0</v>
      </c>
      <c r="L28" s="54"/>
      <c r="M28" s="141">
        <v>0</v>
      </c>
      <c r="N28" s="54"/>
      <c r="O28" s="141">
        <v>0</v>
      </c>
      <c r="P28" s="54"/>
      <c r="Q28" s="141">
        <v>0</v>
      </c>
      <c r="R28" s="54"/>
      <c r="S28" s="310">
        <v>0</v>
      </c>
      <c r="T28" s="140">
        <v>0</v>
      </c>
      <c r="U28" s="140">
        <v>0</v>
      </c>
      <c r="V28" s="140">
        <v>0</v>
      </c>
      <c r="W28" s="53">
        <f t="shared" si="15"/>
        <v>0</v>
      </c>
      <c r="X28" s="54"/>
      <c r="Y28" s="310">
        <v>0</v>
      </c>
      <c r="Z28" s="140">
        <v>0</v>
      </c>
      <c r="AA28" s="140">
        <v>0</v>
      </c>
      <c r="AB28" s="140">
        <v>0</v>
      </c>
      <c r="AC28" s="53">
        <f t="shared" si="16"/>
        <v>0</v>
      </c>
      <c r="AD28" s="54"/>
      <c r="AE28" s="310">
        <v>0</v>
      </c>
      <c r="AF28" s="140">
        <v>0</v>
      </c>
      <c r="AG28" s="140">
        <v>0</v>
      </c>
      <c r="AH28" s="140">
        <v>0</v>
      </c>
      <c r="AI28" s="53">
        <f t="shared" si="17"/>
        <v>0</v>
      </c>
      <c r="AJ28" s="54"/>
      <c r="AK28" s="310">
        <v>0</v>
      </c>
      <c r="AL28" s="140">
        <v>0</v>
      </c>
      <c r="AM28" s="140">
        <v>0</v>
      </c>
      <c r="AN28" s="761">
        <v>0</v>
      </c>
      <c r="AO28" s="53">
        <f t="shared" si="18"/>
        <v>0</v>
      </c>
      <c r="AP28" s="54"/>
      <c r="AQ28" s="310">
        <v>0</v>
      </c>
      <c r="AR28" s="199">
        <v>0</v>
      </c>
      <c r="AS28" s="199">
        <v>0</v>
      </c>
      <c r="AT28" s="199">
        <v>0</v>
      </c>
      <c r="AU28" s="53">
        <f t="shared" si="19"/>
        <v>0</v>
      </c>
      <c r="AV28" s="54"/>
      <c r="AW28" s="310">
        <v>0</v>
      </c>
      <c r="AX28" s="199">
        <v>0</v>
      </c>
      <c r="AY28" s="199">
        <v>0</v>
      </c>
      <c r="AZ28" s="199">
        <v>0</v>
      </c>
      <c r="BA28" s="53">
        <f t="shared" si="20"/>
        <v>0</v>
      </c>
      <c r="BB28" s="54"/>
      <c r="BC28" s="310">
        <v>0</v>
      </c>
      <c r="BD28" s="199">
        <v>0</v>
      </c>
      <c r="BE28" s="140">
        <v>0</v>
      </c>
      <c r="BF28" s="140">
        <v>0</v>
      </c>
      <c r="BG28" s="53">
        <f t="shared" si="21"/>
        <v>0</v>
      </c>
      <c r="BH28" s="54"/>
      <c r="BI28" s="310">
        <v>0</v>
      </c>
      <c r="BJ28" s="199">
        <v>0</v>
      </c>
      <c r="BK28" s="140">
        <v>0</v>
      </c>
      <c r="BL28" s="140">
        <v>0</v>
      </c>
      <c r="BM28" s="53">
        <f t="shared" si="22"/>
        <v>0</v>
      </c>
      <c r="BN28" s="54"/>
      <c r="BO28" s="310">
        <v>0</v>
      </c>
      <c r="BP28" s="199">
        <v>0</v>
      </c>
      <c r="BQ28" s="199">
        <v>0</v>
      </c>
      <c r="BR28" s="140">
        <v>0</v>
      </c>
      <c r="BS28" s="53">
        <f t="shared" si="23"/>
        <v>0</v>
      </c>
      <c r="BT28" s="54"/>
      <c r="BU28" s="532">
        <f t="shared" si="0"/>
        <v>0</v>
      </c>
      <c r="BV28" s="54">
        <f t="shared" si="28"/>
        <v>0</v>
      </c>
      <c r="BW28" s="54">
        <f t="shared" si="28"/>
        <v>0</v>
      </c>
      <c r="BX28" s="54">
        <f t="shared" si="28"/>
        <v>0</v>
      </c>
      <c r="BY28" s="53">
        <f t="shared" si="24"/>
        <v>0</v>
      </c>
      <c r="CA28" s="532">
        <f t="shared" si="3"/>
        <v>0</v>
      </c>
      <c r="CB28" s="54">
        <f t="shared" si="4"/>
        <v>0</v>
      </c>
      <c r="CC28" s="54">
        <f t="shared" si="5"/>
        <v>0</v>
      </c>
      <c r="CD28" s="54">
        <f t="shared" si="6"/>
        <v>0</v>
      </c>
      <c r="CE28" s="53">
        <f t="shared" si="25"/>
        <v>0</v>
      </c>
      <c r="CG28" s="532">
        <f t="shared" si="7"/>
        <v>0</v>
      </c>
      <c r="CH28" s="54">
        <f t="shared" si="8"/>
        <v>0</v>
      </c>
      <c r="CI28" s="54">
        <f t="shared" si="9"/>
        <v>0</v>
      </c>
      <c r="CJ28" s="54">
        <f t="shared" si="10"/>
        <v>0</v>
      </c>
      <c r="CK28" s="53">
        <f t="shared" si="26"/>
        <v>0</v>
      </c>
      <c r="CM28" s="532">
        <f t="shared" si="11"/>
        <v>0</v>
      </c>
      <c r="CN28" s="54">
        <f t="shared" si="12"/>
        <v>0</v>
      </c>
      <c r="CO28" s="54">
        <f t="shared" si="13"/>
        <v>0</v>
      </c>
      <c r="CP28" s="54">
        <f t="shared" si="14"/>
        <v>0</v>
      </c>
      <c r="CQ28" s="53">
        <f t="shared" si="27"/>
        <v>0</v>
      </c>
    </row>
    <row r="29" spans="1:122" ht="11.25" hidden="1" customHeight="1" outlineLevel="1">
      <c r="A29" s="514" t="s">
        <v>301</v>
      </c>
      <c r="B29" s="524">
        <v>4.9000000000000002E-2</v>
      </c>
      <c r="C29" s="523">
        <v>38018</v>
      </c>
      <c r="D29" s="54"/>
      <c r="E29" s="141">
        <v>0.121</v>
      </c>
      <c r="F29" s="54"/>
      <c r="G29" s="141">
        <v>0.17499999999999999</v>
      </c>
      <c r="H29" s="54"/>
      <c r="I29" s="141">
        <v>0</v>
      </c>
      <c r="J29" s="54"/>
      <c r="K29" s="141">
        <v>0</v>
      </c>
      <c r="L29" s="54"/>
      <c r="M29" s="141">
        <v>0</v>
      </c>
      <c r="N29" s="54"/>
      <c r="O29" s="141">
        <v>0</v>
      </c>
      <c r="P29" s="54"/>
      <c r="Q29" s="141">
        <v>0</v>
      </c>
      <c r="R29" s="54"/>
      <c r="S29" s="310">
        <v>0</v>
      </c>
      <c r="T29" s="140">
        <v>0</v>
      </c>
      <c r="U29" s="140">
        <v>0</v>
      </c>
      <c r="V29" s="140">
        <v>0</v>
      </c>
      <c r="W29" s="53">
        <f t="shared" si="15"/>
        <v>0</v>
      </c>
      <c r="X29" s="54"/>
      <c r="Y29" s="310">
        <v>0</v>
      </c>
      <c r="Z29" s="140">
        <v>0</v>
      </c>
      <c r="AA29" s="140">
        <v>0</v>
      </c>
      <c r="AB29" s="140">
        <v>0</v>
      </c>
      <c r="AC29" s="53">
        <f t="shared" si="16"/>
        <v>0</v>
      </c>
      <c r="AD29" s="54"/>
      <c r="AE29" s="310">
        <v>0</v>
      </c>
      <c r="AF29" s="140">
        <v>0</v>
      </c>
      <c r="AG29" s="140">
        <v>0</v>
      </c>
      <c r="AH29" s="140">
        <v>0</v>
      </c>
      <c r="AI29" s="53">
        <f t="shared" si="17"/>
        <v>0</v>
      </c>
      <c r="AJ29" s="54"/>
      <c r="AK29" s="310">
        <v>0</v>
      </c>
      <c r="AL29" s="140">
        <v>0</v>
      </c>
      <c r="AM29" s="140">
        <v>0</v>
      </c>
      <c r="AN29" s="761">
        <v>0</v>
      </c>
      <c r="AO29" s="53">
        <f t="shared" si="18"/>
        <v>0</v>
      </c>
      <c r="AP29" s="54"/>
      <c r="AQ29" s="310">
        <v>0</v>
      </c>
      <c r="AR29" s="199">
        <v>0</v>
      </c>
      <c r="AS29" s="199">
        <v>0</v>
      </c>
      <c r="AT29" s="199">
        <v>0</v>
      </c>
      <c r="AU29" s="53">
        <f t="shared" si="19"/>
        <v>0</v>
      </c>
      <c r="AV29" s="54"/>
      <c r="AW29" s="310">
        <v>0</v>
      </c>
      <c r="AX29" s="199">
        <v>0</v>
      </c>
      <c r="AY29" s="199">
        <v>0</v>
      </c>
      <c r="AZ29" s="199">
        <v>0</v>
      </c>
      <c r="BA29" s="53">
        <f t="shared" si="20"/>
        <v>0</v>
      </c>
      <c r="BB29" s="54"/>
      <c r="BC29" s="310">
        <v>0</v>
      </c>
      <c r="BD29" s="199">
        <v>0</v>
      </c>
      <c r="BE29" s="140">
        <v>0</v>
      </c>
      <c r="BF29" s="140">
        <v>0</v>
      </c>
      <c r="BG29" s="53">
        <f t="shared" si="21"/>
        <v>0</v>
      </c>
      <c r="BH29" s="54"/>
      <c r="BI29" s="310">
        <v>0</v>
      </c>
      <c r="BJ29" s="199">
        <v>0</v>
      </c>
      <c r="BK29" s="140">
        <v>0</v>
      </c>
      <c r="BL29" s="140">
        <v>0</v>
      </c>
      <c r="BM29" s="53">
        <f t="shared" si="22"/>
        <v>0</v>
      </c>
      <c r="BN29" s="54"/>
      <c r="BO29" s="310">
        <v>0</v>
      </c>
      <c r="BP29" s="199">
        <v>0</v>
      </c>
      <c r="BQ29" s="199">
        <v>0</v>
      </c>
      <c r="BR29" s="140">
        <v>0</v>
      </c>
      <c r="BS29" s="53">
        <f t="shared" si="23"/>
        <v>0</v>
      </c>
      <c r="BT29" s="54"/>
      <c r="BU29" s="532">
        <f t="shared" si="0"/>
        <v>0</v>
      </c>
      <c r="BV29" s="54">
        <f t="shared" si="28"/>
        <v>0</v>
      </c>
      <c r="BW29" s="54">
        <f t="shared" si="28"/>
        <v>0</v>
      </c>
      <c r="BX29" s="54">
        <f t="shared" si="28"/>
        <v>0</v>
      </c>
      <c r="BY29" s="53">
        <f t="shared" si="24"/>
        <v>0</v>
      </c>
      <c r="CA29" s="532">
        <f t="shared" si="3"/>
        <v>0</v>
      </c>
      <c r="CB29" s="54">
        <f t="shared" si="4"/>
        <v>0</v>
      </c>
      <c r="CC29" s="54">
        <f t="shared" si="5"/>
        <v>0</v>
      </c>
      <c r="CD29" s="54">
        <f t="shared" si="6"/>
        <v>0</v>
      </c>
      <c r="CE29" s="53">
        <f t="shared" si="25"/>
        <v>0</v>
      </c>
      <c r="CG29" s="532">
        <f t="shared" si="7"/>
        <v>0</v>
      </c>
      <c r="CH29" s="54">
        <f t="shared" si="8"/>
        <v>0</v>
      </c>
      <c r="CI29" s="54">
        <f t="shared" si="9"/>
        <v>0</v>
      </c>
      <c r="CJ29" s="54">
        <f t="shared" si="10"/>
        <v>0</v>
      </c>
      <c r="CK29" s="53">
        <f t="shared" si="26"/>
        <v>0</v>
      </c>
      <c r="CM29" s="532">
        <f t="shared" si="11"/>
        <v>0</v>
      </c>
      <c r="CN29" s="54">
        <f t="shared" si="12"/>
        <v>0</v>
      </c>
      <c r="CO29" s="54">
        <f t="shared" si="13"/>
        <v>0</v>
      </c>
      <c r="CP29" s="54">
        <f t="shared" si="14"/>
        <v>0</v>
      </c>
      <c r="CQ29" s="53">
        <f t="shared" si="27"/>
        <v>0</v>
      </c>
    </row>
    <row r="30" spans="1:122" ht="11.25" hidden="1" customHeight="1" outlineLevel="1">
      <c r="A30" s="514" t="s">
        <v>302</v>
      </c>
      <c r="B30" s="524">
        <v>5.0999999999999997E-2</v>
      </c>
      <c r="C30" s="523">
        <v>37986</v>
      </c>
      <c r="D30" s="54"/>
      <c r="E30" s="141">
        <v>5.359</v>
      </c>
      <c r="F30" s="54"/>
      <c r="G30" s="141">
        <v>0</v>
      </c>
      <c r="H30" s="54"/>
      <c r="I30" s="141">
        <v>0</v>
      </c>
      <c r="J30" s="54"/>
      <c r="K30" s="141">
        <v>0</v>
      </c>
      <c r="L30" s="54"/>
      <c r="M30" s="141">
        <v>0</v>
      </c>
      <c r="N30" s="54"/>
      <c r="O30" s="141">
        <v>0</v>
      </c>
      <c r="P30" s="54"/>
      <c r="Q30" s="141">
        <v>0</v>
      </c>
      <c r="R30" s="54"/>
      <c r="S30" s="310">
        <v>0</v>
      </c>
      <c r="T30" s="140">
        <v>0</v>
      </c>
      <c r="U30" s="140">
        <v>0</v>
      </c>
      <c r="V30" s="140">
        <v>0</v>
      </c>
      <c r="W30" s="53">
        <f t="shared" si="15"/>
        <v>0</v>
      </c>
      <c r="X30" s="54"/>
      <c r="Y30" s="310">
        <v>0</v>
      </c>
      <c r="Z30" s="140">
        <v>0</v>
      </c>
      <c r="AA30" s="140">
        <v>0</v>
      </c>
      <c r="AB30" s="140">
        <v>0</v>
      </c>
      <c r="AC30" s="53">
        <f t="shared" si="16"/>
        <v>0</v>
      </c>
      <c r="AD30" s="54"/>
      <c r="AE30" s="310">
        <v>0</v>
      </c>
      <c r="AF30" s="140">
        <v>0</v>
      </c>
      <c r="AG30" s="140">
        <v>0</v>
      </c>
      <c r="AH30" s="140">
        <v>0</v>
      </c>
      <c r="AI30" s="53">
        <f t="shared" si="17"/>
        <v>0</v>
      </c>
      <c r="AJ30" s="54"/>
      <c r="AK30" s="310">
        <v>0</v>
      </c>
      <c r="AL30" s="140">
        <v>0</v>
      </c>
      <c r="AM30" s="140">
        <v>0</v>
      </c>
      <c r="AN30" s="761">
        <v>0</v>
      </c>
      <c r="AO30" s="53">
        <f t="shared" si="18"/>
        <v>0</v>
      </c>
      <c r="AP30" s="54"/>
      <c r="AQ30" s="310">
        <v>0</v>
      </c>
      <c r="AR30" s="199">
        <v>0</v>
      </c>
      <c r="AS30" s="199">
        <v>0</v>
      </c>
      <c r="AT30" s="199">
        <v>0</v>
      </c>
      <c r="AU30" s="53">
        <f t="shared" si="19"/>
        <v>0</v>
      </c>
      <c r="AV30" s="54"/>
      <c r="AW30" s="310">
        <v>0</v>
      </c>
      <c r="AX30" s="199">
        <v>0</v>
      </c>
      <c r="AY30" s="199">
        <v>0</v>
      </c>
      <c r="AZ30" s="199">
        <v>0</v>
      </c>
      <c r="BA30" s="53">
        <f t="shared" si="20"/>
        <v>0</v>
      </c>
      <c r="BB30" s="54"/>
      <c r="BC30" s="310">
        <v>0</v>
      </c>
      <c r="BD30" s="199">
        <v>0</v>
      </c>
      <c r="BE30" s="140">
        <v>0</v>
      </c>
      <c r="BF30" s="140">
        <v>0</v>
      </c>
      <c r="BG30" s="53">
        <f t="shared" si="21"/>
        <v>0</v>
      </c>
      <c r="BH30" s="54"/>
      <c r="BI30" s="310">
        <v>0</v>
      </c>
      <c r="BJ30" s="199">
        <v>0</v>
      </c>
      <c r="BK30" s="140">
        <v>0</v>
      </c>
      <c r="BL30" s="140">
        <v>0</v>
      </c>
      <c r="BM30" s="53">
        <f t="shared" si="22"/>
        <v>0</v>
      </c>
      <c r="BN30" s="54"/>
      <c r="BO30" s="310">
        <v>0</v>
      </c>
      <c r="BP30" s="199">
        <v>0</v>
      </c>
      <c r="BQ30" s="199">
        <v>0</v>
      </c>
      <c r="BR30" s="140">
        <v>0</v>
      </c>
      <c r="BS30" s="53">
        <f t="shared" si="23"/>
        <v>0</v>
      </c>
      <c r="BT30" s="54"/>
      <c r="BU30" s="532">
        <f t="shared" si="0"/>
        <v>0</v>
      </c>
      <c r="BV30" s="54">
        <f t="shared" si="28"/>
        <v>0</v>
      </c>
      <c r="BW30" s="54">
        <f t="shared" si="28"/>
        <v>0</v>
      </c>
      <c r="BX30" s="54">
        <f t="shared" si="28"/>
        <v>0</v>
      </c>
      <c r="BY30" s="53">
        <f t="shared" si="24"/>
        <v>0</v>
      </c>
      <c r="CA30" s="532">
        <f t="shared" si="3"/>
        <v>0</v>
      </c>
      <c r="CB30" s="54">
        <f t="shared" si="4"/>
        <v>0</v>
      </c>
      <c r="CC30" s="54">
        <f t="shared" si="5"/>
        <v>0</v>
      </c>
      <c r="CD30" s="54">
        <f t="shared" si="6"/>
        <v>0</v>
      </c>
      <c r="CE30" s="53">
        <f t="shared" si="25"/>
        <v>0</v>
      </c>
      <c r="CG30" s="532">
        <f t="shared" si="7"/>
        <v>0</v>
      </c>
      <c r="CH30" s="54">
        <f t="shared" si="8"/>
        <v>0</v>
      </c>
      <c r="CI30" s="54">
        <f t="shared" si="9"/>
        <v>0</v>
      </c>
      <c r="CJ30" s="54">
        <f t="shared" si="10"/>
        <v>0</v>
      </c>
      <c r="CK30" s="53">
        <f t="shared" si="26"/>
        <v>0</v>
      </c>
      <c r="CM30" s="532">
        <f t="shared" si="11"/>
        <v>0</v>
      </c>
      <c r="CN30" s="54">
        <f t="shared" si="12"/>
        <v>0</v>
      </c>
      <c r="CO30" s="54">
        <f t="shared" si="13"/>
        <v>0</v>
      </c>
      <c r="CP30" s="54">
        <f t="shared" si="14"/>
        <v>0</v>
      </c>
      <c r="CQ30" s="53">
        <f t="shared" si="27"/>
        <v>0</v>
      </c>
    </row>
    <row r="31" spans="1:122" ht="11.25" hidden="1" customHeight="1" outlineLevel="1">
      <c r="A31" s="514" t="s">
        <v>56</v>
      </c>
      <c r="B31" s="524">
        <v>0.03</v>
      </c>
      <c r="C31" s="525" t="s">
        <v>26</v>
      </c>
      <c r="D31" s="105"/>
      <c r="E31" s="141">
        <v>2.2000000000000002</v>
      </c>
      <c r="F31" s="105"/>
      <c r="G31" s="141">
        <v>2.2000000000000002</v>
      </c>
      <c r="H31" s="105"/>
      <c r="I31" s="141">
        <v>2.0299999999999998</v>
      </c>
      <c r="J31" s="105"/>
      <c r="K31" s="141">
        <v>1.85</v>
      </c>
      <c r="L31" s="105"/>
      <c r="M31" s="141">
        <v>1.66</v>
      </c>
      <c r="N31" s="105"/>
      <c r="O31" s="141">
        <v>1.5</v>
      </c>
      <c r="P31" s="105"/>
      <c r="Q31" s="141">
        <v>0</v>
      </c>
      <c r="R31" s="105"/>
      <c r="S31" s="310">
        <v>0</v>
      </c>
      <c r="T31" s="140">
        <v>0</v>
      </c>
      <c r="U31" s="140">
        <v>0</v>
      </c>
      <c r="V31" s="140">
        <v>0</v>
      </c>
      <c r="W31" s="53">
        <f t="shared" si="15"/>
        <v>0</v>
      </c>
      <c r="X31" s="105"/>
      <c r="Y31" s="310">
        <v>0</v>
      </c>
      <c r="Z31" s="140">
        <v>0</v>
      </c>
      <c r="AA31" s="140">
        <v>0</v>
      </c>
      <c r="AB31" s="140">
        <v>0</v>
      </c>
      <c r="AC31" s="53">
        <f t="shared" si="16"/>
        <v>0</v>
      </c>
      <c r="AD31" s="105"/>
      <c r="AE31" s="310">
        <v>0</v>
      </c>
      <c r="AF31" s="140">
        <v>0</v>
      </c>
      <c r="AG31" s="140">
        <v>0</v>
      </c>
      <c r="AH31" s="140">
        <v>0</v>
      </c>
      <c r="AI31" s="53">
        <f t="shared" si="17"/>
        <v>0</v>
      </c>
      <c r="AJ31" s="105"/>
      <c r="AK31" s="310">
        <v>0</v>
      </c>
      <c r="AL31" s="140">
        <v>0</v>
      </c>
      <c r="AM31" s="140">
        <v>0</v>
      </c>
      <c r="AN31" s="760">
        <v>0</v>
      </c>
      <c r="AO31" s="53">
        <f t="shared" si="18"/>
        <v>0</v>
      </c>
      <c r="AP31" s="105"/>
      <c r="AQ31" s="310">
        <v>0</v>
      </c>
      <c r="AR31" s="199">
        <v>0</v>
      </c>
      <c r="AS31" s="199">
        <v>0</v>
      </c>
      <c r="AT31" s="199">
        <v>0</v>
      </c>
      <c r="AU31" s="53">
        <f t="shared" si="19"/>
        <v>0</v>
      </c>
      <c r="AV31" s="105"/>
      <c r="AW31" s="310">
        <v>0</v>
      </c>
      <c r="AX31" s="199">
        <v>0</v>
      </c>
      <c r="AY31" s="199">
        <v>0</v>
      </c>
      <c r="AZ31" s="199">
        <v>0</v>
      </c>
      <c r="BA31" s="53">
        <f t="shared" si="20"/>
        <v>0</v>
      </c>
      <c r="BB31" s="105"/>
      <c r="BC31" s="310">
        <v>0</v>
      </c>
      <c r="BD31" s="199">
        <v>0</v>
      </c>
      <c r="BE31" s="140">
        <v>0</v>
      </c>
      <c r="BF31" s="140">
        <v>0</v>
      </c>
      <c r="BG31" s="53">
        <f t="shared" si="21"/>
        <v>0</v>
      </c>
      <c r="BH31" s="105"/>
      <c r="BI31" s="310">
        <v>0</v>
      </c>
      <c r="BJ31" s="199">
        <v>0</v>
      </c>
      <c r="BK31" s="140">
        <v>0</v>
      </c>
      <c r="BL31" s="140">
        <v>0</v>
      </c>
      <c r="BM31" s="53">
        <f t="shared" si="22"/>
        <v>0</v>
      </c>
      <c r="BN31" s="105"/>
      <c r="BO31" s="310">
        <v>0</v>
      </c>
      <c r="BP31" s="199">
        <v>0</v>
      </c>
      <c r="BQ31" s="199">
        <v>0</v>
      </c>
      <c r="BR31" s="140">
        <v>0</v>
      </c>
      <c r="BS31" s="53">
        <f t="shared" si="23"/>
        <v>0</v>
      </c>
      <c r="BT31" s="105"/>
      <c r="BU31" s="532">
        <f t="shared" si="0"/>
        <v>0</v>
      </c>
      <c r="BV31" s="105">
        <f t="shared" si="28"/>
        <v>0</v>
      </c>
      <c r="BW31" s="105">
        <f t="shared" si="28"/>
        <v>0</v>
      </c>
      <c r="BX31" s="105">
        <f t="shared" si="28"/>
        <v>0</v>
      </c>
      <c r="BY31" s="53">
        <f t="shared" si="24"/>
        <v>0</v>
      </c>
      <c r="BZ31" s="21"/>
      <c r="CA31" s="532">
        <f t="shared" si="3"/>
        <v>0</v>
      </c>
      <c r="CB31" s="105">
        <f t="shared" si="4"/>
        <v>0</v>
      </c>
      <c r="CC31" s="105">
        <f t="shared" si="5"/>
        <v>0</v>
      </c>
      <c r="CD31" s="105">
        <f t="shared" si="6"/>
        <v>0</v>
      </c>
      <c r="CE31" s="53">
        <f t="shared" si="25"/>
        <v>0</v>
      </c>
      <c r="CF31" s="21"/>
      <c r="CG31" s="532">
        <f t="shared" si="7"/>
        <v>0</v>
      </c>
      <c r="CH31" s="105">
        <f t="shared" si="8"/>
        <v>0</v>
      </c>
      <c r="CI31" s="105">
        <f t="shared" si="9"/>
        <v>0</v>
      </c>
      <c r="CJ31" s="105">
        <f t="shared" si="10"/>
        <v>0</v>
      </c>
      <c r="CK31" s="53">
        <f t="shared" si="26"/>
        <v>0</v>
      </c>
      <c r="CL31" s="21"/>
      <c r="CM31" s="532">
        <f t="shared" si="11"/>
        <v>0</v>
      </c>
      <c r="CN31" s="105">
        <f t="shared" si="12"/>
        <v>0</v>
      </c>
      <c r="CO31" s="105">
        <f t="shared" si="13"/>
        <v>0</v>
      </c>
      <c r="CP31" s="105">
        <f t="shared" si="14"/>
        <v>0</v>
      </c>
      <c r="CQ31" s="53">
        <f t="shared" si="27"/>
        <v>0</v>
      </c>
      <c r="CR31" s="21"/>
      <c r="CS31" s="21"/>
      <c r="CT31" s="21"/>
      <c r="CU31" s="21"/>
      <c r="CV31" s="21"/>
      <c r="CW31" s="21"/>
      <c r="CX31" s="21"/>
      <c r="CY31" s="21"/>
      <c r="CZ31" s="21"/>
      <c r="DA31" s="21"/>
      <c r="DB31" s="21"/>
      <c r="DC31" s="21"/>
      <c r="DD31" s="21"/>
      <c r="DE31" s="21"/>
      <c r="DF31" s="21"/>
      <c r="DG31" s="21"/>
      <c r="DH31" s="21"/>
      <c r="DI31" s="21"/>
      <c r="DJ31" s="21"/>
      <c r="DK31" s="21"/>
      <c r="DL31" s="21"/>
      <c r="DM31" s="21"/>
      <c r="DN31" s="21"/>
      <c r="DO31" s="21"/>
      <c r="DP31" s="21"/>
      <c r="DQ31" s="21"/>
      <c r="DR31" s="21"/>
    </row>
    <row r="32" spans="1:122" s="278" customFormat="1" ht="11.25" customHeight="1" collapsed="1">
      <c r="A32" s="1066" t="s">
        <v>327</v>
      </c>
      <c r="B32" s="1067"/>
      <c r="C32" s="1067"/>
      <c r="D32" s="1068"/>
      <c r="E32" s="1069">
        <f>SUM(E9:E31)</f>
        <v>23.956999999999997</v>
      </c>
      <c r="F32" s="1068"/>
      <c r="G32" s="1069">
        <f>SUM(G9:G31)</f>
        <v>28.591999999999999</v>
      </c>
      <c r="H32" s="1068"/>
      <c r="I32" s="1069">
        <f>SUM(I9:I31)</f>
        <v>29.782000000000004</v>
      </c>
      <c r="J32" s="1068"/>
      <c r="K32" s="1069">
        <f>SUM(K9:K31)</f>
        <v>27.311</v>
      </c>
      <c r="L32" s="1068"/>
      <c r="M32" s="1069">
        <f>SUM(M9:M31)</f>
        <v>25.324000000000002</v>
      </c>
      <c r="N32" s="1068"/>
      <c r="O32" s="1069">
        <f>SUM(O9:O31)</f>
        <v>31</v>
      </c>
      <c r="P32" s="1068"/>
      <c r="Q32" s="1069">
        <f>SUM(Q9:Q31)</f>
        <v>201.1</v>
      </c>
      <c r="R32" s="1068"/>
      <c r="S32" s="1070">
        <f>SUM(S9:S31)</f>
        <v>197.60000000000002</v>
      </c>
      <c r="T32" s="1071">
        <f>SUM(T9:T31)</f>
        <v>170.10000000000002</v>
      </c>
      <c r="U32" s="1071">
        <f>SUM(U9:U31)</f>
        <v>150.9</v>
      </c>
      <c r="V32" s="1071">
        <f>SUM(V9:V31)</f>
        <v>137.60000000000002</v>
      </c>
      <c r="W32" s="1072">
        <f>SUM(W9:W31)</f>
        <v>137.60000000000002</v>
      </c>
      <c r="X32" s="1068"/>
      <c r="Y32" s="1070">
        <f>SUM(Y9:Y31)</f>
        <v>133.1</v>
      </c>
      <c r="Z32" s="1071">
        <f>SUM(Z9:Z31)</f>
        <v>126.7</v>
      </c>
      <c r="AA32" s="1071">
        <f>SUM(AA9:AA31)</f>
        <v>121.39999999999999</v>
      </c>
      <c r="AB32" s="1071">
        <f>SUM(AB9:AB31)</f>
        <v>115.5</v>
      </c>
      <c r="AC32" s="1072">
        <f>SUM(AC9:AC31)</f>
        <v>115.5</v>
      </c>
      <c r="AD32" s="1068"/>
      <c r="AE32" s="1070">
        <f>SUM(AE9:AE31)</f>
        <v>109.9</v>
      </c>
      <c r="AF32" s="1071">
        <f>SUM(AF9:AF31)</f>
        <v>102.3</v>
      </c>
      <c r="AG32" s="1071">
        <f>SUM(AG9:AG31)</f>
        <v>94.4</v>
      </c>
      <c r="AH32" s="1071">
        <f>SUM(AH9:AH31)</f>
        <v>303.10000000000002</v>
      </c>
      <c r="AI32" s="1072">
        <f>SUM(AI9:AI31)</f>
        <v>303.10000000000002</v>
      </c>
      <c r="AJ32" s="1068"/>
      <c r="AK32" s="1070">
        <f>SUM(AK9:AK31)</f>
        <v>319.60000000000002</v>
      </c>
      <c r="AL32" s="1071">
        <f>SUM(AL9:AL31)</f>
        <v>320.90000000000003</v>
      </c>
      <c r="AM32" s="1071">
        <f>SUM(AM9:AM31)</f>
        <v>336.9</v>
      </c>
      <c r="AN32" s="1073">
        <f>SUM(AN9:AN31)</f>
        <v>337.2</v>
      </c>
      <c r="AO32" s="1074">
        <f>SUM(AO9:AO31)</f>
        <v>337.2</v>
      </c>
      <c r="AP32" s="1068"/>
      <c r="AQ32" s="1075">
        <f>SUM(AQ9:AQ31)</f>
        <v>336.6</v>
      </c>
      <c r="AR32" s="1071">
        <f>SUM(AR9:AR31)</f>
        <v>336.5</v>
      </c>
      <c r="AS32" s="1071">
        <f>SUM(AS9:AS31)</f>
        <v>355.7</v>
      </c>
      <c r="AT32" s="1071">
        <f>BS!BL29+BS!BL23</f>
        <v>355</v>
      </c>
      <c r="AU32" s="1072">
        <f>SUM(AU9:AU31)</f>
        <v>355</v>
      </c>
      <c r="AV32" s="1068"/>
      <c r="AW32" s="1075">
        <f>SUM(AW9:AW31)</f>
        <v>354.8</v>
      </c>
      <c r="AX32" s="1071">
        <f>SUM(AX9:AX31)</f>
        <v>355.7</v>
      </c>
      <c r="AY32" s="1071">
        <f>SUM(AY9:AY31)</f>
        <v>355.2</v>
      </c>
      <c r="AZ32" s="1071">
        <f>SUM(AZ9:AZ31)</f>
        <v>355</v>
      </c>
      <c r="BA32" s="1072">
        <f>SUM(BA9:BA31)</f>
        <v>355</v>
      </c>
      <c r="BB32" s="1068"/>
      <c r="BC32" s="1075">
        <f>SUM(BC9:BC31)</f>
        <v>354.6</v>
      </c>
      <c r="BD32" s="1071">
        <f>SUM(BD9:BD31)</f>
        <v>364.6</v>
      </c>
      <c r="BE32" s="1071">
        <f>SUM(BE9:BE31)</f>
        <v>371.4</v>
      </c>
      <c r="BF32" s="1071">
        <f>SUM(BF9:BF31)</f>
        <v>266.7</v>
      </c>
      <c r="BG32" s="1072">
        <f>SUM(BG9:BG31)</f>
        <v>266.7</v>
      </c>
      <c r="BH32" s="1068"/>
      <c r="BI32" s="1075">
        <f>SUM(BI9:BI31)</f>
        <v>302.2</v>
      </c>
      <c r="BJ32" s="1071">
        <f>SUM(BJ9:BJ31)</f>
        <v>343</v>
      </c>
      <c r="BK32" s="1071">
        <f>SUM(BK9:BK31)</f>
        <v>364.9</v>
      </c>
      <c r="BL32" s="1071">
        <f>SUM(BL9:BL31)</f>
        <v>411.7</v>
      </c>
      <c r="BM32" s="1072">
        <f>SUM(BM9:BM31)</f>
        <v>411.7</v>
      </c>
      <c r="BN32" s="1068"/>
      <c r="BO32" s="1075">
        <f>SUM(BO9:BO31)</f>
        <v>384.8</v>
      </c>
      <c r="BP32" s="1071">
        <f>SUM(BP9:BP31)</f>
        <v>430.8</v>
      </c>
      <c r="BQ32" s="1071">
        <f>SUM(BQ9:BQ31)</f>
        <v>480.5</v>
      </c>
      <c r="BR32" s="1071">
        <f>SUM(BR9:BR31)</f>
        <v>415.6</v>
      </c>
      <c r="BS32" s="1072">
        <f>SUM(BS9:BS31)</f>
        <v>415.6</v>
      </c>
      <c r="BT32" s="105"/>
      <c r="BU32" s="1075">
        <f>SUM(BU9:BU31)</f>
        <v>415.6</v>
      </c>
      <c r="BV32" s="1071">
        <f>SUM(BV9:BV31)</f>
        <v>415.6</v>
      </c>
      <c r="BW32" s="1071">
        <f>SUM(BW9:BW31)</f>
        <v>415.6</v>
      </c>
      <c r="BX32" s="1071">
        <f>SUM(BX9:BX31)</f>
        <v>415.6</v>
      </c>
      <c r="BY32" s="1072">
        <f>SUM(BY9:BY31)</f>
        <v>415.6</v>
      </c>
      <c r="CA32" s="1075">
        <f>SUM(CA9:CA31)</f>
        <v>415.6</v>
      </c>
      <c r="CB32" s="1071">
        <f>SUM(CB9:CB31)</f>
        <v>415.6</v>
      </c>
      <c r="CC32" s="1071">
        <f>SUM(CC9:CC31)</f>
        <v>415.6</v>
      </c>
      <c r="CD32" s="1071">
        <f>SUM(CD9:CD31)</f>
        <v>415.6</v>
      </c>
      <c r="CE32" s="1072">
        <f>SUM(CE9:CE31)</f>
        <v>415.6</v>
      </c>
      <c r="CG32" s="1075">
        <f>SUM(CG9:CG31)</f>
        <v>415.6</v>
      </c>
      <c r="CH32" s="1071">
        <f>SUM(CH9:CH31)</f>
        <v>415.6</v>
      </c>
      <c r="CI32" s="1071">
        <f>SUM(CI9:CI31)</f>
        <v>415.6</v>
      </c>
      <c r="CJ32" s="1071">
        <f>SUM(CJ9:CJ31)</f>
        <v>415.6</v>
      </c>
      <c r="CK32" s="1072">
        <f>SUM(CK9:CK31)</f>
        <v>415.6</v>
      </c>
      <c r="CM32" s="1075">
        <f>SUM(CM9:CM31)</f>
        <v>415.6</v>
      </c>
      <c r="CN32" s="1071">
        <f>SUM(CN9:CN31)</f>
        <v>415.6</v>
      </c>
      <c r="CO32" s="1071">
        <f>SUM(CO9:CO31)</f>
        <v>415.6</v>
      </c>
      <c r="CP32" s="1071">
        <f>SUM(CP9:CP31)</f>
        <v>415.6</v>
      </c>
      <c r="CQ32" s="1072">
        <f>SUM(CQ9:CQ31)</f>
        <v>415.6</v>
      </c>
    </row>
    <row r="33" spans="1:131" ht="11.25" customHeight="1">
      <c r="A33" s="1078" t="s">
        <v>278</v>
      </c>
      <c r="B33" s="1078"/>
      <c r="C33" s="1078"/>
      <c r="D33" s="1001"/>
      <c r="E33" s="1079">
        <v>6.5990000000000002</v>
      </c>
      <c r="F33" s="1001"/>
      <c r="G33" s="1079">
        <v>2.218</v>
      </c>
      <c r="H33" s="105"/>
      <c r="I33" s="141">
        <v>2.0190000000000001</v>
      </c>
      <c r="J33" s="105"/>
      <c r="K33" s="141">
        <v>2.2410000000000001</v>
      </c>
      <c r="L33" s="105"/>
      <c r="M33" s="141">
        <v>2.4609999999999999</v>
      </c>
      <c r="N33" s="105"/>
      <c r="O33" s="141">
        <v>22.4</v>
      </c>
      <c r="P33" s="105"/>
      <c r="Q33" s="141">
        <v>18.3</v>
      </c>
      <c r="R33" s="105"/>
      <c r="S33" s="310">
        <v>24.9</v>
      </c>
      <c r="T33" s="140">
        <v>42.5</v>
      </c>
      <c r="U33" s="140">
        <v>30.5</v>
      </c>
      <c r="V33" s="140">
        <v>21.9</v>
      </c>
      <c r="W33" s="53">
        <f>V33</f>
        <v>21.9</v>
      </c>
      <c r="X33" s="105"/>
      <c r="Y33" s="310">
        <v>23.5</v>
      </c>
      <c r="Z33" s="140">
        <v>25.1</v>
      </c>
      <c r="AA33" s="140">
        <v>27.1</v>
      </c>
      <c r="AB33" s="140">
        <v>28.9</v>
      </c>
      <c r="AC33" s="53">
        <f>AB33</f>
        <v>28.9</v>
      </c>
      <c r="AD33" s="105"/>
      <c r="AE33" s="310">
        <v>30.9</v>
      </c>
      <c r="AF33" s="140">
        <v>42.1</v>
      </c>
      <c r="AG33" s="140">
        <v>53.6</v>
      </c>
      <c r="AH33" s="140">
        <v>83.7</v>
      </c>
      <c r="AI33" s="53">
        <f>AH33</f>
        <v>83.7</v>
      </c>
      <c r="AJ33" s="105"/>
      <c r="AK33" s="310">
        <v>76.3</v>
      </c>
      <c r="AL33" s="140">
        <v>77.599999999999994</v>
      </c>
      <c r="AM33" s="140">
        <v>38.9</v>
      </c>
      <c r="AN33" s="760">
        <v>1.3</v>
      </c>
      <c r="AO33" s="53">
        <f>AN33</f>
        <v>1.3</v>
      </c>
      <c r="AP33" s="105"/>
      <c r="AQ33" s="762">
        <v>1.1000000000000001</v>
      </c>
      <c r="AR33" s="140">
        <v>1.1000000000000001</v>
      </c>
      <c r="AS33" s="140">
        <v>1</v>
      </c>
      <c r="AT33" s="140">
        <v>0.7</v>
      </c>
      <c r="AU33" s="53">
        <f>AT33</f>
        <v>0.7</v>
      </c>
      <c r="AV33" s="105"/>
      <c r="AW33" s="1221">
        <v>0.7</v>
      </c>
      <c r="AX33" s="140">
        <v>0.8</v>
      </c>
      <c r="AY33" s="140">
        <v>0.7</v>
      </c>
      <c r="AZ33" s="140">
        <v>0.8</v>
      </c>
      <c r="BA33" s="53">
        <f>AZ33</f>
        <v>0.8</v>
      </c>
      <c r="BB33" s="105"/>
      <c r="BC33" s="1221">
        <v>0.7</v>
      </c>
      <c r="BD33" s="140">
        <v>123.2</v>
      </c>
      <c r="BE33" s="140">
        <v>130.30000000000001</v>
      </c>
      <c r="BF33" s="140">
        <v>0.7</v>
      </c>
      <c r="BG33" s="53">
        <f>BF33</f>
        <v>0.7</v>
      </c>
      <c r="BH33" s="105"/>
      <c r="BI33" s="1221">
        <v>20.399999999999999</v>
      </c>
      <c r="BJ33" s="140">
        <v>20.3</v>
      </c>
      <c r="BK33" s="140">
        <v>20.2</v>
      </c>
      <c r="BL33" s="140">
        <v>20.100000000000001</v>
      </c>
      <c r="BM33" s="53">
        <f>BL33</f>
        <v>20.100000000000001</v>
      </c>
      <c r="BN33" s="105"/>
      <c r="BO33" s="1221">
        <v>0.1</v>
      </c>
      <c r="BP33" s="140">
        <v>0.1</v>
      </c>
      <c r="BQ33" s="140">
        <v>0</v>
      </c>
      <c r="BR33" s="140">
        <v>0</v>
      </c>
      <c r="BS33" s="53">
        <f>BR33</f>
        <v>0</v>
      </c>
      <c r="BT33" s="105"/>
      <c r="BU33" s="532">
        <f>BS33+BU65</f>
        <v>0</v>
      </c>
      <c r="BV33" s="105">
        <f>BU33+BV65</f>
        <v>0</v>
      </c>
      <c r="BW33" s="105">
        <f>BV33+BW65</f>
        <v>0</v>
      </c>
      <c r="BX33" s="105">
        <f>BW33+BX65</f>
        <v>0</v>
      </c>
      <c r="BY33" s="53">
        <f>BX33</f>
        <v>0</v>
      </c>
      <c r="BZ33" s="21"/>
      <c r="CA33" s="532">
        <f>BY33+CA65</f>
        <v>0</v>
      </c>
      <c r="CB33" s="105">
        <f>CA33+CB65</f>
        <v>0</v>
      </c>
      <c r="CC33" s="105">
        <f>CB33+CC65</f>
        <v>0</v>
      </c>
      <c r="CD33" s="105">
        <f>CC33+CD65</f>
        <v>0</v>
      </c>
      <c r="CE33" s="53">
        <f>CD33</f>
        <v>0</v>
      </c>
      <c r="CF33" s="21"/>
      <c r="CG33" s="532">
        <f>CE33+CG65</f>
        <v>0</v>
      </c>
      <c r="CH33" s="105">
        <f>CG33+CH65</f>
        <v>0</v>
      </c>
      <c r="CI33" s="105">
        <f>CH33+CI65</f>
        <v>0</v>
      </c>
      <c r="CJ33" s="105">
        <f>CI33+CJ65</f>
        <v>0</v>
      </c>
      <c r="CK33" s="53">
        <f>CJ33</f>
        <v>0</v>
      </c>
      <c r="CM33" s="532">
        <f>CK33+CM65</f>
        <v>0</v>
      </c>
      <c r="CN33" s="105">
        <f>CM33+CN65</f>
        <v>0</v>
      </c>
      <c r="CO33" s="105">
        <f>CN33+CO65</f>
        <v>0</v>
      </c>
      <c r="CP33" s="105">
        <f>CO33+CP65</f>
        <v>0</v>
      </c>
      <c r="CQ33" s="53">
        <f>CP33</f>
        <v>0</v>
      </c>
    </row>
    <row r="34" spans="1:131" ht="11.25" customHeight="1">
      <c r="A34" s="1076" t="s">
        <v>328</v>
      </c>
      <c r="B34" s="1077"/>
      <c r="C34" s="1077"/>
      <c r="D34" s="1068"/>
      <c r="E34" s="1069">
        <f>E32-E33</f>
        <v>17.357999999999997</v>
      </c>
      <c r="F34" s="1068"/>
      <c r="G34" s="1069">
        <f>G32-G33</f>
        <v>26.373999999999999</v>
      </c>
      <c r="H34" s="1068"/>
      <c r="I34" s="1069">
        <f>I32-I33</f>
        <v>27.763000000000005</v>
      </c>
      <c r="J34" s="1068"/>
      <c r="K34" s="1069">
        <f>K32-K33</f>
        <v>25.07</v>
      </c>
      <c r="L34" s="1068"/>
      <c r="M34" s="1069">
        <f>M32-M33</f>
        <v>22.863000000000003</v>
      </c>
      <c r="N34" s="1068"/>
      <c r="O34" s="1069">
        <f>O32-O33</f>
        <v>8.6000000000000014</v>
      </c>
      <c r="P34" s="1068"/>
      <c r="Q34" s="1069">
        <f>Q32-Q33</f>
        <v>182.79999999999998</v>
      </c>
      <c r="R34" s="1068"/>
      <c r="S34" s="1070">
        <f>S32-S33</f>
        <v>172.70000000000002</v>
      </c>
      <c r="T34" s="1071">
        <f>T32-T33</f>
        <v>127.60000000000002</v>
      </c>
      <c r="U34" s="1071">
        <f>U32-U33</f>
        <v>120.4</v>
      </c>
      <c r="V34" s="1071">
        <f>V32-V33</f>
        <v>115.70000000000002</v>
      </c>
      <c r="W34" s="1072">
        <f>W32-W33</f>
        <v>115.70000000000002</v>
      </c>
      <c r="X34" s="1068"/>
      <c r="Y34" s="1070">
        <f>Y32-Y33</f>
        <v>109.6</v>
      </c>
      <c r="Z34" s="1071">
        <f>Z32-Z33</f>
        <v>101.6</v>
      </c>
      <c r="AA34" s="1071">
        <f>AA32-AA33</f>
        <v>94.299999999999983</v>
      </c>
      <c r="AB34" s="1071">
        <f>AB32-AB33</f>
        <v>86.6</v>
      </c>
      <c r="AC34" s="1072">
        <f>AC32-AC33</f>
        <v>86.6</v>
      </c>
      <c r="AD34" s="1068"/>
      <c r="AE34" s="1070">
        <f>AE32-AE33</f>
        <v>79</v>
      </c>
      <c r="AF34" s="1071">
        <f>AF32-AF33</f>
        <v>60.199999999999996</v>
      </c>
      <c r="AG34" s="1071">
        <f>AG32-AG33</f>
        <v>40.800000000000004</v>
      </c>
      <c r="AH34" s="1071">
        <f>AH32-AH33</f>
        <v>219.40000000000003</v>
      </c>
      <c r="AI34" s="1072">
        <f>AI32-AI33</f>
        <v>219.40000000000003</v>
      </c>
      <c r="AJ34" s="1068"/>
      <c r="AK34" s="1070">
        <f>AK32-AK33</f>
        <v>243.3</v>
      </c>
      <c r="AL34" s="1071">
        <f>AL32-AL33</f>
        <v>243.30000000000004</v>
      </c>
      <c r="AM34" s="1071">
        <f>AM32-AM33</f>
        <v>298</v>
      </c>
      <c r="AN34" s="1073">
        <f>AN32-AN33</f>
        <v>335.9</v>
      </c>
      <c r="AO34" s="1074">
        <f>AO32-AO33</f>
        <v>335.9</v>
      </c>
      <c r="AP34" s="1068"/>
      <c r="AQ34" s="1075">
        <f>AQ32-AQ33</f>
        <v>335.5</v>
      </c>
      <c r="AR34" s="1071">
        <f>AR32-AR33</f>
        <v>335.4</v>
      </c>
      <c r="AS34" s="1071">
        <f>AS32-AS33</f>
        <v>354.7</v>
      </c>
      <c r="AT34" s="1071">
        <f>AT32-AT33</f>
        <v>354.3</v>
      </c>
      <c r="AU34" s="1072">
        <f>AU32-AU33</f>
        <v>354.3</v>
      </c>
      <c r="AV34" s="1068"/>
      <c r="AW34" s="1075">
        <f>AW32-AW33</f>
        <v>354.1</v>
      </c>
      <c r="AX34" s="1071">
        <f>AX32-AX33</f>
        <v>354.9</v>
      </c>
      <c r="AY34" s="1071">
        <f>AY32-AY33</f>
        <v>354.5</v>
      </c>
      <c r="AZ34" s="1071">
        <f>AZ32-AZ33</f>
        <v>354.2</v>
      </c>
      <c r="BA34" s="1072">
        <f>BA32-BA33</f>
        <v>354.2</v>
      </c>
      <c r="BB34" s="1068"/>
      <c r="BC34" s="1075">
        <f>BC32-BC33</f>
        <v>353.90000000000003</v>
      </c>
      <c r="BD34" s="1071">
        <f>BD32-BD33</f>
        <v>241.40000000000003</v>
      </c>
      <c r="BE34" s="1071">
        <f>BE32-BE33</f>
        <v>241.09999999999997</v>
      </c>
      <c r="BF34" s="1071">
        <f>BF32-BF33</f>
        <v>266</v>
      </c>
      <c r="BG34" s="1072">
        <f>BG32-BG33</f>
        <v>266</v>
      </c>
      <c r="BH34" s="1068"/>
      <c r="BI34" s="1075">
        <f>BI32-BI33</f>
        <v>281.8</v>
      </c>
      <c r="BJ34" s="1071">
        <f>BJ32-BJ33</f>
        <v>322.7</v>
      </c>
      <c r="BK34" s="1071">
        <f>BK32-BK33</f>
        <v>344.7</v>
      </c>
      <c r="BL34" s="1071">
        <f>BL32-BL33</f>
        <v>391.59999999999997</v>
      </c>
      <c r="BM34" s="1072">
        <f>BM32-BM33</f>
        <v>391.59999999999997</v>
      </c>
      <c r="BN34" s="1068"/>
      <c r="BO34" s="1075">
        <f>BO32-BO33</f>
        <v>384.7</v>
      </c>
      <c r="BP34" s="1071">
        <f>BP32-BP33</f>
        <v>430.7</v>
      </c>
      <c r="BQ34" s="1071">
        <f>BQ32-BQ33</f>
        <v>480.5</v>
      </c>
      <c r="BR34" s="1071">
        <f>BR32-BR33</f>
        <v>415.6</v>
      </c>
      <c r="BS34" s="1072">
        <f>BS32-BS33</f>
        <v>415.6</v>
      </c>
      <c r="BT34" s="105"/>
      <c r="BU34" s="1075">
        <f>BU32-BU33</f>
        <v>415.6</v>
      </c>
      <c r="BV34" s="1071">
        <f>BV32-BV33</f>
        <v>415.6</v>
      </c>
      <c r="BW34" s="1071">
        <f>BW32-BW33</f>
        <v>415.6</v>
      </c>
      <c r="BX34" s="1071">
        <f>BX32-BX33</f>
        <v>415.6</v>
      </c>
      <c r="BY34" s="1072">
        <f>BY32-BY33</f>
        <v>415.6</v>
      </c>
      <c r="CA34" s="1075">
        <f>CA32-CA33</f>
        <v>415.6</v>
      </c>
      <c r="CB34" s="1071">
        <f>CB32-CB33</f>
        <v>415.6</v>
      </c>
      <c r="CC34" s="1071">
        <f>CC32-CC33</f>
        <v>415.6</v>
      </c>
      <c r="CD34" s="1071">
        <f>CD32-CD33</f>
        <v>415.6</v>
      </c>
      <c r="CE34" s="1072">
        <f>CE32-CE33</f>
        <v>415.6</v>
      </c>
      <c r="CG34" s="1075">
        <f>CG32-CG33</f>
        <v>415.6</v>
      </c>
      <c r="CH34" s="1071">
        <f>CH32-CH33</f>
        <v>415.6</v>
      </c>
      <c r="CI34" s="1071">
        <f>CI32-CI33</f>
        <v>415.6</v>
      </c>
      <c r="CJ34" s="1071">
        <f>CJ32-CJ33</f>
        <v>415.6</v>
      </c>
      <c r="CK34" s="1072">
        <f>CK32-CK33</f>
        <v>415.6</v>
      </c>
      <c r="CM34" s="1075">
        <f>CM32-CM33</f>
        <v>415.6</v>
      </c>
      <c r="CN34" s="1071">
        <f>CN32-CN33</f>
        <v>415.6</v>
      </c>
      <c r="CO34" s="1071">
        <f>CO32-CO33</f>
        <v>415.6</v>
      </c>
      <c r="CP34" s="1071">
        <f>CP32-CP33</f>
        <v>415.6</v>
      </c>
      <c r="CQ34" s="1072">
        <f>CQ32-CQ33</f>
        <v>415.6</v>
      </c>
    </row>
    <row r="35" spans="1:131" ht="11.25" customHeight="1">
      <c r="A35" s="1078" t="s">
        <v>287</v>
      </c>
      <c r="B35" s="1078"/>
      <c r="C35" s="1078"/>
      <c r="D35" s="1001"/>
      <c r="E35" s="1079">
        <v>11.811</v>
      </c>
      <c r="F35" s="1002"/>
      <c r="G35" s="1079">
        <v>16.369</v>
      </c>
      <c r="H35" s="1001"/>
      <c r="I35" s="1079">
        <v>10.186</v>
      </c>
      <c r="J35" s="1001"/>
      <c r="K35" s="1079">
        <v>7.3230000000000004</v>
      </c>
      <c r="L35" s="1001"/>
      <c r="M35" s="1079">
        <v>19.396000000000001</v>
      </c>
      <c r="N35" s="1001"/>
      <c r="O35" s="1079">
        <v>13.2</v>
      </c>
      <c r="P35" s="1001"/>
      <c r="Q35" s="1079">
        <v>22.7</v>
      </c>
      <c r="R35" s="1001"/>
      <c r="S35" s="1080">
        <v>6</v>
      </c>
      <c r="T35" s="1081">
        <v>0.6</v>
      </c>
      <c r="U35" s="1081">
        <v>0.4</v>
      </c>
      <c r="V35" s="1081">
        <v>0.1</v>
      </c>
      <c r="W35" s="1000">
        <f>V35</f>
        <v>0.1</v>
      </c>
      <c r="X35" s="1001"/>
      <c r="Y35" s="1080">
        <v>0.1</v>
      </c>
      <c r="Z35" s="1081">
        <v>0</v>
      </c>
      <c r="AA35" s="1081">
        <v>0</v>
      </c>
      <c r="AB35" s="1081">
        <v>185.5</v>
      </c>
      <c r="AC35" s="1000">
        <f>AB35</f>
        <v>185.5</v>
      </c>
      <c r="AD35" s="1001"/>
      <c r="AE35" s="1080">
        <v>185.5</v>
      </c>
      <c r="AF35" s="1081">
        <v>185.5</v>
      </c>
      <c r="AG35" s="1081">
        <v>217</v>
      </c>
      <c r="AH35" s="1081">
        <v>0</v>
      </c>
      <c r="AI35" s="1000">
        <f>AH35</f>
        <v>0</v>
      </c>
      <c r="AJ35" s="1001"/>
      <c r="AK35" s="1080">
        <v>0</v>
      </c>
      <c r="AL35" s="1081">
        <v>0</v>
      </c>
      <c r="AM35" s="1081">
        <v>0</v>
      </c>
      <c r="AN35" s="1082">
        <v>0</v>
      </c>
      <c r="AO35" s="1000">
        <f>AN35</f>
        <v>0</v>
      </c>
      <c r="AP35" s="1001"/>
      <c r="AQ35" s="1083">
        <v>0</v>
      </c>
      <c r="AR35" s="1081">
        <v>0</v>
      </c>
      <c r="AS35" s="1081">
        <v>0</v>
      </c>
      <c r="AT35" s="1081">
        <v>0</v>
      </c>
      <c r="AU35" s="1000">
        <f>AT35</f>
        <v>0</v>
      </c>
      <c r="AV35" s="1001"/>
      <c r="AW35" s="1083">
        <v>0</v>
      </c>
      <c r="AX35" s="1081">
        <v>0</v>
      </c>
      <c r="AY35" s="1081">
        <v>0</v>
      </c>
      <c r="AZ35" s="1081">
        <v>0</v>
      </c>
      <c r="BA35" s="1000">
        <f>AZ35</f>
        <v>0</v>
      </c>
      <c r="BB35" s="1001"/>
      <c r="BC35" s="1083">
        <v>0</v>
      </c>
      <c r="BD35" s="1081">
        <v>0</v>
      </c>
      <c r="BE35" s="1081">
        <v>0</v>
      </c>
      <c r="BF35" s="1081">
        <v>0</v>
      </c>
      <c r="BG35" s="53">
        <f>BF35</f>
        <v>0</v>
      </c>
      <c r="BH35" s="105"/>
      <c r="BI35" s="1083">
        <v>0</v>
      </c>
      <c r="BJ35" s="1081">
        <v>0</v>
      </c>
      <c r="BK35" s="1081">
        <v>0</v>
      </c>
      <c r="BL35" s="1081">
        <v>0</v>
      </c>
      <c r="BM35" s="53">
        <f>BL35</f>
        <v>0</v>
      </c>
      <c r="BN35" s="105"/>
      <c r="BO35" s="1083">
        <v>0</v>
      </c>
      <c r="BP35" s="1081">
        <f>BO35+BD67</f>
        <v>0</v>
      </c>
      <c r="BQ35" s="1081">
        <v>0</v>
      </c>
      <c r="BR35" s="1081">
        <v>0</v>
      </c>
      <c r="BS35" s="53">
        <f>BR35</f>
        <v>0</v>
      </c>
      <c r="BT35" s="105"/>
      <c r="BU35" s="532">
        <f>BS35+BU67</f>
        <v>0</v>
      </c>
      <c r="BV35" s="105">
        <f>BU35+BJ67</f>
        <v>0</v>
      </c>
      <c r="BW35" s="105">
        <f>BJ35+BW67</f>
        <v>0</v>
      </c>
      <c r="BX35" s="105">
        <f>BW35+BX67</f>
        <v>0</v>
      </c>
      <c r="BY35" s="53">
        <f>BX35</f>
        <v>0</v>
      </c>
      <c r="BZ35" s="21"/>
      <c r="CA35" s="532">
        <f>BY35+CA67</f>
        <v>0</v>
      </c>
      <c r="CB35" s="105">
        <f>CA35+BP67</f>
        <v>0</v>
      </c>
      <c r="CC35" s="105">
        <f>BP35+CC67</f>
        <v>0</v>
      </c>
      <c r="CD35" s="105">
        <f>CC35+CD67</f>
        <v>0</v>
      </c>
      <c r="CE35" s="53">
        <f>CD35</f>
        <v>0</v>
      </c>
      <c r="CF35" s="21"/>
      <c r="CG35" s="532">
        <f>CE35+CG67</f>
        <v>0</v>
      </c>
      <c r="CH35" s="105">
        <f>CG35+BV67</f>
        <v>0</v>
      </c>
      <c r="CI35" s="105">
        <f>BV35+CI67</f>
        <v>0</v>
      </c>
      <c r="CJ35" s="105">
        <f>CI35+CJ67</f>
        <v>0</v>
      </c>
      <c r="CK35" s="53">
        <f>CJ35</f>
        <v>0</v>
      </c>
      <c r="CL35" s="21"/>
      <c r="CM35" s="532">
        <f>CK35+CM67</f>
        <v>0</v>
      </c>
      <c r="CN35" s="105">
        <f>CM35+CB67</f>
        <v>0</v>
      </c>
      <c r="CO35" s="105">
        <f>CB35+CO67</f>
        <v>0</v>
      </c>
      <c r="CP35" s="105">
        <f>CO35+CP67</f>
        <v>0</v>
      </c>
      <c r="CQ35" s="53">
        <f>CP35</f>
        <v>0</v>
      </c>
      <c r="CR35" s="21"/>
      <c r="CS35" s="21"/>
      <c r="CT35" s="21"/>
      <c r="CU35" s="21"/>
      <c r="CV35" s="21"/>
      <c r="CW35" s="21"/>
      <c r="CX35" s="21"/>
      <c r="CY35" s="21"/>
      <c r="CZ35" s="21"/>
      <c r="DA35" s="21"/>
      <c r="DB35" s="21"/>
      <c r="DC35" s="21"/>
      <c r="DD35" s="21"/>
      <c r="DE35" s="21"/>
      <c r="DF35" s="21"/>
      <c r="DG35" s="21"/>
      <c r="DH35" s="21"/>
      <c r="DI35" s="21"/>
      <c r="DJ35" s="21"/>
      <c r="DK35" s="21"/>
      <c r="DL35" s="21"/>
      <c r="DM35" s="21"/>
      <c r="DN35" s="21"/>
      <c r="DO35" s="21"/>
      <c r="DP35" s="21"/>
      <c r="DQ35" s="21"/>
      <c r="DR35" s="21"/>
      <c r="DS35" s="21"/>
      <c r="DT35" s="21"/>
      <c r="DU35" s="21"/>
      <c r="DV35" s="21"/>
      <c r="DW35" s="21"/>
      <c r="DX35" s="21"/>
      <c r="DY35" s="21"/>
      <c r="DZ35" s="21"/>
      <c r="EA35" s="21"/>
    </row>
    <row r="36" spans="1:131" ht="11.25" customHeight="1">
      <c r="A36" s="1076" t="s">
        <v>96</v>
      </c>
      <c r="B36" s="1077"/>
      <c r="C36" s="1077"/>
      <c r="D36" s="1068"/>
      <c r="E36" s="1069">
        <f>E35+E32</f>
        <v>35.768000000000001</v>
      </c>
      <c r="F36" s="1068"/>
      <c r="G36" s="1069">
        <f>G35+G32</f>
        <v>44.960999999999999</v>
      </c>
      <c r="H36" s="1068"/>
      <c r="I36" s="1069">
        <f>I35+I32</f>
        <v>39.968000000000004</v>
      </c>
      <c r="J36" s="1068"/>
      <c r="K36" s="1069">
        <f>K35+K32</f>
        <v>34.634</v>
      </c>
      <c r="L36" s="1068"/>
      <c r="M36" s="1069">
        <f>M35+M32</f>
        <v>44.72</v>
      </c>
      <c r="N36" s="1068"/>
      <c r="O36" s="1069">
        <f>O35+O32</f>
        <v>44.2</v>
      </c>
      <c r="P36" s="1068"/>
      <c r="Q36" s="1069">
        <f>Q35+Q32</f>
        <v>223.79999999999998</v>
      </c>
      <c r="R36" s="1068"/>
      <c r="S36" s="1070">
        <f>S35+S32</f>
        <v>203.60000000000002</v>
      </c>
      <c r="T36" s="1071">
        <f>T35+T32</f>
        <v>170.70000000000002</v>
      </c>
      <c r="U36" s="1071">
        <f>U35+U32</f>
        <v>151.30000000000001</v>
      </c>
      <c r="V36" s="1071">
        <f>V35+V32</f>
        <v>137.70000000000002</v>
      </c>
      <c r="W36" s="1069">
        <f>W35+W32</f>
        <v>137.70000000000002</v>
      </c>
      <c r="X36" s="1068"/>
      <c r="Y36" s="1070">
        <f>Y35+Y32</f>
        <v>133.19999999999999</v>
      </c>
      <c r="Z36" s="1071">
        <f>Z35+Z32</f>
        <v>126.7</v>
      </c>
      <c r="AA36" s="1071">
        <f>AA35+AA32</f>
        <v>121.39999999999999</v>
      </c>
      <c r="AB36" s="1071">
        <f>AB35+AB32</f>
        <v>301</v>
      </c>
      <c r="AC36" s="1072">
        <f>AC35+AC32</f>
        <v>301</v>
      </c>
      <c r="AD36" s="1068"/>
      <c r="AE36" s="1070">
        <f>AE35+AE32</f>
        <v>295.39999999999998</v>
      </c>
      <c r="AF36" s="1071">
        <f>AF35+AF32</f>
        <v>287.8</v>
      </c>
      <c r="AG36" s="1071">
        <f>AG35+AG32</f>
        <v>311.39999999999998</v>
      </c>
      <c r="AH36" s="1071">
        <f>AH35+AH32</f>
        <v>303.10000000000002</v>
      </c>
      <c r="AI36" s="1072">
        <f>AI35+AI32</f>
        <v>303.10000000000002</v>
      </c>
      <c r="AJ36" s="1068"/>
      <c r="AK36" s="1070">
        <f>AK35+AK32</f>
        <v>319.60000000000002</v>
      </c>
      <c r="AL36" s="1071">
        <f>AL35+AL32</f>
        <v>320.90000000000003</v>
      </c>
      <c r="AM36" s="1071">
        <f>AM35+AM32</f>
        <v>336.9</v>
      </c>
      <c r="AN36" s="1071">
        <f>AN35+AN32</f>
        <v>337.2</v>
      </c>
      <c r="AO36" s="1072">
        <f>AO35+AO32</f>
        <v>337.2</v>
      </c>
      <c r="AP36" s="1068"/>
      <c r="AQ36" s="1070">
        <f>AQ35+AQ32</f>
        <v>336.6</v>
      </c>
      <c r="AR36" s="1071">
        <f>AR35+AR32</f>
        <v>336.5</v>
      </c>
      <c r="AS36" s="1071">
        <f>AS35+AS32</f>
        <v>355.7</v>
      </c>
      <c r="AT36" s="1071">
        <f>AT35+AT32</f>
        <v>355</v>
      </c>
      <c r="AU36" s="1072">
        <f>AU35+AU32</f>
        <v>355</v>
      </c>
      <c r="AV36" s="1068"/>
      <c r="AW36" s="1070">
        <f>AW35+AW32</f>
        <v>354.8</v>
      </c>
      <c r="AX36" s="1071">
        <f>AX35+AX32</f>
        <v>355.7</v>
      </c>
      <c r="AY36" s="1071">
        <f>AY35+AY32</f>
        <v>355.2</v>
      </c>
      <c r="AZ36" s="1071">
        <f>AZ35+AZ32</f>
        <v>355</v>
      </c>
      <c r="BA36" s="1072">
        <f>BA35+BA32</f>
        <v>355</v>
      </c>
      <c r="BB36" s="1068"/>
      <c r="BC36" s="1070">
        <f>BC35+BC32</f>
        <v>354.6</v>
      </c>
      <c r="BD36" s="1071">
        <f>BD35+BD32</f>
        <v>364.6</v>
      </c>
      <c r="BE36" s="1071">
        <f>BE35+BE32</f>
        <v>371.4</v>
      </c>
      <c r="BF36" s="1071">
        <f>BF35+BF32</f>
        <v>266.7</v>
      </c>
      <c r="BG36" s="1072">
        <f>BG35+BG32</f>
        <v>266.7</v>
      </c>
      <c r="BH36" s="1068"/>
      <c r="BI36" s="1070">
        <f>BI35+BI32</f>
        <v>302.2</v>
      </c>
      <c r="BJ36" s="1071">
        <f>BJ35+BJ32</f>
        <v>343</v>
      </c>
      <c r="BK36" s="1071">
        <f>BK35+BK32</f>
        <v>364.9</v>
      </c>
      <c r="BL36" s="1071">
        <f>BL35+BL32</f>
        <v>411.7</v>
      </c>
      <c r="BM36" s="1072">
        <f>BM35+BM32</f>
        <v>411.7</v>
      </c>
      <c r="BN36" s="1068"/>
      <c r="BO36" s="1070">
        <f>BO35+BO32</f>
        <v>384.8</v>
      </c>
      <c r="BP36" s="1071">
        <f>BP35+BP32</f>
        <v>430.8</v>
      </c>
      <c r="BQ36" s="1071">
        <f>BQ35+BQ32</f>
        <v>480.5</v>
      </c>
      <c r="BR36" s="1071">
        <f>BR35+BR32</f>
        <v>415.6</v>
      </c>
      <c r="BS36" s="1072">
        <f>BS35+BS32</f>
        <v>415.6</v>
      </c>
      <c r="BT36" s="105"/>
      <c r="BU36" s="1070">
        <f>BU35+BU32</f>
        <v>415.6</v>
      </c>
      <c r="BV36" s="1071">
        <f>BV35+BV32</f>
        <v>415.6</v>
      </c>
      <c r="BW36" s="1071">
        <f>BW35+BW32</f>
        <v>415.6</v>
      </c>
      <c r="BX36" s="1071">
        <f>BX35+BX32</f>
        <v>415.6</v>
      </c>
      <c r="BY36" s="1072">
        <f>BY35+BY32</f>
        <v>415.6</v>
      </c>
      <c r="CA36" s="1070">
        <f>CA35+CA32</f>
        <v>415.6</v>
      </c>
      <c r="CB36" s="1071">
        <f>CB35+CB32</f>
        <v>415.6</v>
      </c>
      <c r="CC36" s="1071">
        <f>CC35+CC32</f>
        <v>415.6</v>
      </c>
      <c r="CD36" s="1071">
        <f>CD35+CD32</f>
        <v>415.6</v>
      </c>
      <c r="CE36" s="1072">
        <f>CE35+CE32</f>
        <v>415.6</v>
      </c>
      <c r="CG36" s="1070">
        <f>CG35+CG32</f>
        <v>415.6</v>
      </c>
      <c r="CH36" s="1071">
        <f>CH35+CH32</f>
        <v>415.6</v>
      </c>
      <c r="CI36" s="1071">
        <f>CI35+CI32</f>
        <v>415.6</v>
      </c>
      <c r="CJ36" s="1071">
        <f>CJ35+CJ32</f>
        <v>415.6</v>
      </c>
      <c r="CK36" s="1072">
        <f>CK35+CK32</f>
        <v>415.6</v>
      </c>
      <c r="CM36" s="1070">
        <f>CM35+CM32</f>
        <v>415.6</v>
      </c>
      <c r="CN36" s="1071">
        <f>CN35+CN32</f>
        <v>415.6</v>
      </c>
      <c r="CO36" s="1071">
        <f>CO35+CO32</f>
        <v>415.6</v>
      </c>
      <c r="CP36" s="1071">
        <f>CP35+CP32</f>
        <v>415.6</v>
      </c>
      <c r="CQ36" s="1072">
        <f>CQ35+CQ32</f>
        <v>415.6</v>
      </c>
    </row>
    <row r="37" spans="1:131" s="278" customFormat="1" ht="11.25" hidden="1" customHeight="1" outlineLevel="1">
      <c r="A37" s="633" t="s">
        <v>329</v>
      </c>
      <c r="B37" s="632"/>
      <c r="C37" s="632"/>
      <c r="D37" s="105"/>
      <c r="E37" s="634">
        <f>E36-BS!K23-BS!K29</f>
        <v>0</v>
      </c>
      <c r="F37" s="105"/>
      <c r="G37" s="634">
        <f>G36-BS!M23-BS!M29</f>
        <v>0</v>
      </c>
      <c r="H37" s="105"/>
      <c r="I37" s="634">
        <f>I36-BS!O23-BS!O29</f>
        <v>0</v>
      </c>
      <c r="J37" s="105"/>
      <c r="K37" s="634">
        <f>K36-BS!Q23-BS!Q29</f>
        <v>0</v>
      </c>
      <c r="L37" s="105"/>
      <c r="M37" s="634">
        <f>M36-BS!W23-BS!W29</f>
        <v>0</v>
      </c>
      <c r="N37" s="105"/>
      <c r="O37" s="634">
        <f>O36-BS!AC23-BS!AC29</f>
        <v>0</v>
      </c>
      <c r="P37" s="105"/>
      <c r="Q37" s="634">
        <f>Q36-BS!AI23-BS!AI29</f>
        <v>0</v>
      </c>
      <c r="R37" s="105"/>
      <c r="S37" s="635">
        <f>S36-BS!AK23-BS!AK29</f>
        <v>0</v>
      </c>
      <c r="T37" s="631">
        <f>T36-BS!AL23-BS!AL29</f>
        <v>0</v>
      </c>
      <c r="U37" s="631">
        <f>U36-BS!AM23-BS!AM29</f>
        <v>0</v>
      </c>
      <c r="V37" s="631">
        <f>V36-BS!AN23-BS!AN29</f>
        <v>0</v>
      </c>
      <c r="W37" s="636">
        <f>W36-BS!AO23-BS!AO29</f>
        <v>0</v>
      </c>
      <c r="X37" s="105"/>
      <c r="Y37" s="635">
        <f>Y36-BS!AQ23-BS!AQ29</f>
        <v>0</v>
      </c>
      <c r="Z37" s="631">
        <f>Z36-BS!AR23-BS!AR29</f>
        <v>0</v>
      </c>
      <c r="AA37" s="631">
        <f>AA36-BS!AS23-BS!AS29</f>
        <v>0</v>
      </c>
      <c r="AB37" s="631">
        <f>AB36-BS!AT23-BS!AT29</f>
        <v>0</v>
      </c>
      <c r="AC37" s="636">
        <f>AC36-BS!AU23-BS!AU29</f>
        <v>0</v>
      </c>
      <c r="AD37" s="105"/>
      <c r="AE37" s="635">
        <f>AE36-BS!AW23-BS!AW29</f>
        <v>0</v>
      </c>
      <c r="AF37" s="631">
        <f>AF36-BS!AX23-BS!AX29</f>
        <v>0</v>
      </c>
      <c r="AG37" s="631">
        <f>AG36-BS!AY23-BS!AY29</f>
        <v>0</v>
      </c>
      <c r="AH37" s="631">
        <f>AH36-BS!AZ23-BS!AZ29</f>
        <v>0</v>
      </c>
      <c r="AI37" s="636">
        <f>AI36-BS!BA23-BS!BA29</f>
        <v>0</v>
      </c>
      <c r="AJ37" s="105"/>
      <c r="AK37" s="635">
        <f>AK36-BS!BC23-BS!BC29</f>
        <v>0</v>
      </c>
      <c r="AL37" s="631">
        <f>AL36-BS!BD23-BS!BD29</f>
        <v>0</v>
      </c>
      <c r="AM37" s="631">
        <f>AM36-BS!BE23-BS!BE29</f>
        <v>0</v>
      </c>
      <c r="AN37" s="631">
        <f>AN36-BS!BF23-BS!BF29</f>
        <v>0</v>
      </c>
      <c r="AO37" s="636">
        <f>AO36-BS!BG23-BS!BG29</f>
        <v>0</v>
      </c>
      <c r="AP37" s="105"/>
      <c r="AQ37" s="635">
        <f>AQ36-BS!BI23-BS!BI29</f>
        <v>0</v>
      </c>
      <c r="AR37" s="631">
        <f>AR36-BS!BJ23-BS!BJ29</f>
        <v>0</v>
      </c>
      <c r="AS37" s="631">
        <f>AS36-BS!BK23-BS!BK29</f>
        <v>0</v>
      </c>
      <c r="AT37" s="631">
        <f>AT36-BS!BL23-BS!BL29</f>
        <v>0</v>
      </c>
      <c r="AU37" s="636">
        <f>AU36-BS!BM23-BS!BM29</f>
        <v>0</v>
      </c>
      <c r="AV37" s="105"/>
      <c r="AW37" s="635">
        <f>AW36-BS!BO23-BS!BO29</f>
        <v>0</v>
      </c>
      <c r="AX37" s="631">
        <f>AX36-BS!BP23-BS!BP29</f>
        <v>0</v>
      </c>
      <c r="AY37" s="631">
        <f>AY36-BS!BQ23-BS!BQ29</f>
        <v>0</v>
      </c>
      <c r="AZ37" s="631">
        <f>AZ36-BS!BR23-BS!BR29</f>
        <v>0</v>
      </c>
      <c r="BA37" s="636">
        <f>BA36-BS!BS23-BS!BS29</f>
        <v>0</v>
      </c>
      <c r="BB37" s="105"/>
      <c r="BC37" s="635">
        <f>BC36-BS!BU23-BS!BU29</f>
        <v>0</v>
      </c>
      <c r="BD37" s="631">
        <f>BD36-BS!BV23-BS!BV29</f>
        <v>0</v>
      </c>
      <c r="BE37" s="631">
        <f>BE36-BS!BW23-BS!BW29</f>
        <v>0</v>
      </c>
      <c r="BF37" s="631">
        <f>BF36-BS!BX23-BS!BX29</f>
        <v>0</v>
      </c>
      <c r="BG37" s="636">
        <f>BG36-BS!BY23-BS!BY29</f>
        <v>0</v>
      </c>
      <c r="BH37" s="105"/>
      <c r="BI37" s="635">
        <f>BI36-BS!CA23-BS!CA29</f>
        <v>0</v>
      </c>
      <c r="BJ37" s="631">
        <f>BJ36-BS!CB23-BS!CB29</f>
        <v>0</v>
      </c>
      <c r="BK37" s="631">
        <f>BK36-BS!CC23-BS!CC29</f>
        <v>0</v>
      </c>
      <c r="BL37" s="631">
        <f>BL36-BS!CD23-BS!CD29</f>
        <v>0</v>
      </c>
      <c r="BM37" s="636">
        <f>BM36-BS!CE23-BS!CE29</f>
        <v>0</v>
      </c>
      <c r="BN37" s="105"/>
      <c r="BO37" s="635">
        <f>BO36-BS!CG23-BS!CG29</f>
        <v>0</v>
      </c>
      <c r="BP37" s="631">
        <f>BP36-BS!CH23-BS!CH29</f>
        <v>0</v>
      </c>
      <c r="BQ37" s="631">
        <f>BQ36-BS!CI23-BS!CI29</f>
        <v>0</v>
      </c>
      <c r="BR37" s="631">
        <f>BR36-BS!CJ23-BS!CJ29</f>
        <v>0</v>
      </c>
      <c r="BS37" s="636">
        <f>BS36-BS!CK23-BS!CK29</f>
        <v>0</v>
      </c>
      <c r="BT37" s="105"/>
      <c r="BU37" s="635">
        <f>BU36-BS!CM23-BS!CM29</f>
        <v>0</v>
      </c>
      <c r="BV37" s="631">
        <f>BV36-BS!CN23-BS!CN29</f>
        <v>0</v>
      </c>
      <c r="BW37" s="631">
        <f>BW36-BS!CO23-BS!CO29</f>
        <v>0</v>
      </c>
      <c r="BX37" s="631">
        <f>BX36-BS!CP23-BS!CP29</f>
        <v>0</v>
      </c>
      <c r="BY37" s="636">
        <f>BY36-BS!CQ23-BS!CQ29</f>
        <v>0</v>
      </c>
      <c r="CA37" s="635">
        <f>CA36-BS!CS23-BS!CS29</f>
        <v>0</v>
      </c>
      <c r="CB37" s="631">
        <f>CB36-BS!CT23-BS!CT29</f>
        <v>0</v>
      </c>
      <c r="CC37" s="631">
        <f>CC36-BS!CU23-BS!CU29</f>
        <v>0</v>
      </c>
      <c r="CD37" s="631">
        <f>CD36-BS!CV23-BS!CV29</f>
        <v>0</v>
      </c>
      <c r="CE37" s="636">
        <f>CE36-BS!CW23-BS!CW29</f>
        <v>0</v>
      </c>
      <c r="CG37" s="635">
        <f>CG36-BS!CY23-BS!CY29</f>
        <v>0</v>
      </c>
      <c r="CH37" s="631">
        <f>CH36-BS!CZ23-BS!CZ29</f>
        <v>0</v>
      </c>
      <c r="CI37" s="631">
        <f>CI36-BS!DA23-BS!DA29</f>
        <v>0</v>
      </c>
      <c r="CJ37" s="631">
        <f>CJ36-BS!DB23-BS!DB29</f>
        <v>0</v>
      </c>
      <c r="CK37" s="636">
        <f>CK36-BS!DC23-BS!DC29</f>
        <v>0</v>
      </c>
      <c r="CM37" s="635">
        <f>CM36-BS!DE23-BS!DE29</f>
        <v>0</v>
      </c>
      <c r="CN37" s="631">
        <f>CN36-BS!DF23-BS!DF29</f>
        <v>0</v>
      </c>
      <c r="CO37" s="631">
        <f>CO36-BS!DG23-BS!DG29</f>
        <v>0</v>
      </c>
      <c r="CP37" s="631">
        <f>CP36-BS!DH23-BS!DH29</f>
        <v>0</v>
      </c>
      <c r="CQ37" s="636">
        <f>CQ36-BS!DI23-BS!DI29</f>
        <v>0</v>
      </c>
    </row>
    <row r="38" spans="1:131" s="278" customFormat="1" ht="11.25" hidden="1" customHeight="1" outlineLevel="1">
      <c r="A38" s="633" t="s">
        <v>330</v>
      </c>
      <c r="B38" s="632"/>
      <c r="C38" s="632"/>
      <c r="D38" s="105"/>
      <c r="E38" s="634">
        <f>E34-BS!K29</f>
        <v>0</v>
      </c>
      <c r="F38" s="105"/>
      <c r="G38" s="634">
        <f>G34-BS!M29</f>
        <v>0</v>
      </c>
      <c r="H38" s="105"/>
      <c r="I38" s="634">
        <f>I34-BS!O29</f>
        <v>0</v>
      </c>
      <c r="J38" s="105"/>
      <c r="K38" s="634">
        <f>K34-BS!Q29</f>
        <v>0</v>
      </c>
      <c r="L38" s="105"/>
      <c r="M38" s="634">
        <f>M34-BS!W29</f>
        <v>0</v>
      </c>
      <c r="N38" s="105"/>
      <c r="O38" s="634">
        <f>O34-BS!AC29</f>
        <v>0</v>
      </c>
      <c r="P38" s="105"/>
      <c r="Q38" s="634">
        <f>Q34-BS!AI29</f>
        <v>0</v>
      </c>
      <c r="R38" s="105"/>
      <c r="S38" s="635">
        <f>S34-BS!AK29</f>
        <v>0</v>
      </c>
      <c r="T38" s="631">
        <f>T34-BS!AL29</f>
        <v>0</v>
      </c>
      <c r="U38" s="631">
        <f>U34-BS!AM29</f>
        <v>0</v>
      </c>
      <c r="V38" s="631">
        <f>V34-BS!AN29</f>
        <v>0</v>
      </c>
      <c r="W38" s="637">
        <f>W34-BS!AO29</f>
        <v>0</v>
      </c>
      <c r="X38" s="105"/>
      <c r="Y38" s="635">
        <f>Y34-BS!AQ29</f>
        <v>0</v>
      </c>
      <c r="Z38" s="631">
        <f>Z34-BS!AR29</f>
        <v>0</v>
      </c>
      <c r="AA38" s="631">
        <f>AA34-BS!AS29</f>
        <v>0</v>
      </c>
      <c r="AB38" s="631">
        <f>AB34-BS!AT29</f>
        <v>0</v>
      </c>
      <c r="AC38" s="637">
        <f>AC34-BS!AU29</f>
        <v>0</v>
      </c>
      <c r="AD38" s="105"/>
      <c r="AE38" s="635">
        <f>AE34-BS!AW29</f>
        <v>0</v>
      </c>
      <c r="AF38" s="631">
        <f>AF34-BS!AX29</f>
        <v>0</v>
      </c>
      <c r="AG38" s="631">
        <f>AG34-BS!AY29</f>
        <v>0</v>
      </c>
      <c r="AH38" s="631">
        <f>AH34-BS!AZ29</f>
        <v>0</v>
      </c>
      <c r="AI38" s="637">
        <f>AI34-BS!BA29</f>
        <v>0</v>
      </c>
      <c r="AJ38" s="105"/>
      <c r="AK38" s="635">
        <f>AK34-BS!BC29</f>
        <v>0</v>
      </c>
      <c r="AL38" s="631">
        <f>AL34-BS!BD29</f>
        <v>0</v>
      </c>
      <c r="AM38" s="631">
        <f>AM34-BS!BE29</f>
        <v>0</v>
      </c>
      <c r="AN38" s="631">
        <f>AN34-BS!BF29</f>
        <v>0</v>
      </c>
      <c r="AO38" s="637">
        <f>AO34-BS!BG29</f>
        <v>0</v>
      </c>
      <c r="AP38" s="105"/>
      <c r="AQ38" s="635">
        <f>AQ34-BS!BI29</f>
        <v>0</v>
      </c>
      <c r="AR38" s="631">
        <f>AR34-BS!BJ29</f>
        <v>0</v>
      </c>
      <c r="AS38" s="631">
        <f>AS34-BS!BK29</f>
        <v>0</v>
      </c>
      <c r="AT38" s="631">
        <f>AT34-BS!BL29</f>
        <v>0</v>
      </c>
      <c r="AU38" s="637">
        <f>AU34-BS!BM29</f>
        <v>0</v>
      </c>
      <c r="AV38" s="105"/>
      <c r="AW38" s="635">
        <f>AW34-BS!BO29</f>
        <v>0</v>
      </c>
      <c r="AX38" s="631">
        <f>AX34-BS!BP29</f>
        <v>0</v>
      </c>
      <c r="AY38" s="631">
        <f>AY34-BS!BQ29</f>
        <v>0</v>
      </c>
      <c r="AZ38" s="631">
        <f>AZ34-BS!BR29</f>
        <v>0</v>
      </c>
      <c r="BA38" s="637">
        <f>BA34-BS!BS29</f>
        <v>0</v>
      </c>
      <c r="BB38" s="105"/>
      <c r="BC38" s="635">
        <f>BC34-BS!BU29</f>
        <v>0</v>
      </c>
      <c r="BD38" s="631">
        <f>BD34-BS!BV29</f>
        <v>0</v>
      </c>
      <c r="BE38" s="631">
        <f>BE34-BS!BW29</f>
        <v>0</v>
      </c>
      <c r="BF38" s="631">
        <f>BF34-BS!BX29</f>
        <v>0</v>
      </c>
      <c r="BG38" s="637">
        <f>BG34-BS!BY29</f>
        <v>0</v>
      </c>
      <c r="BH38" s="105"/>
      <c r="BI38" s="635">
        <f>BI34-BS!CA29</f>
        <v>0</v>
      </c>
      <c r="BJ38" s="631">
        <f>BJ34-BS!CB29</f>
        <v>0</v>
      </c>
      <c r="BK38" s="631">
        <f>BK34-BS!CC29</f>
        <v>0</v>
      </c>
      <c r="BL38" s="631">
        <f>BL34-BS!CD29</f>
        <v>0</v>
      </c>
      <c r="BM38" s="637">
        <f>BM34-BS!CE29</f>
        <v>0</v>
      </c>
      <c r="BN38" s="105"/>
      <c r="BO38" s="635">
        <f>BO34-BS!CG29</f>
        <v>0</v>
      </c>
      <c r="BP38" s="631">
        <f>BP34-BS!CH29</f>
        <v>0</v>
      </c>
      <c r="BQ38" s="631">
        <f>BQ34-BS!CI29</f>
        <v>0</v>
      </c>
      <c r="BR38" s="631">
        <f>BR34-BS!CJ29</f>
        <v>0</v>
      </c>
      <c r="BS38" s="637">
        <f>BS34-BS!CK29</f>
        <v>0</v>
      </c>
      <c r="BT38" s="105"/>
      <c r="BU38" s="635">
        <f>BU34-BS!CM29</f>
        <v>0</v>
      </c>
      <c r="BV38" s="631">
        <f>BV34-BS!CN29</f>
        <v>0</v>
      </c>
      <c r="BW38" s="631">
        <f>BW34-BS!CO29</f>
        <v>0</v>
      </c>
      <c r="BX38" s="631">
        <f>BX34-BS!CP29</f>
        <v>0</v>
      </c>
      <c r="BY38" s="637">
        <f>BY34-BS!CQ29</f>
        <v>0</v>
      </c>
      <c r="CA38" s="635">
        <f>CA34-BS!CS29</f>
        <v>0</v>
      </c>
      <c r="CB38" s="631">
        <f>CB34-BS!CT29</f>
        <v>0</v>
      </c>
      <c r="CC38" s="631">
        <f>CC34-BS!CU29</f>
        <v>0</v>
      </c>
      <c r="CD38" s="631">
        <f>CD34-BS!CV29</f>
        <v>0</v>
      </c>
      <c r="CE38" s="637">
        <f>CE34-BS!CW29</f>
        <v>0</v>
      </c>
      <c r="CG38" s="635">
        <f>CG34-BS!CY29</f>
        <v>0</v>
      </c>
      <c r="CH38" s="631">
        <f>CH34-BS!CZ29</f>
        <v>0</v>
      </c>
      <c r="CI38" s="631">
        <f>CI34-BS!DA29</f>
        <v>0</v>
      </c>
      <c r="CJ38" s="631">
        <f>CJ34-BS!DB29</f>
        <v>0</v>
      </c>
      <c r="CK38" s="637">
        <f>CK34-BS!DC29</f>
        <v>0</v>
      </c>
      <c r="CM38" s="635">
        <f>CM34-BS!DE29</f>
        <v>0</v>
      </c>
      <c r="CN38" s="631">
        <f>CN34-BS!DF29</f>
        <v>0</v>
      </c>
      <c r="CO38" s="631">
        <f>CO34-BS!DG29</f>
        <v>0</v>
      </c>
      <c r="CP38" s="631">
        <f>CP34-BS!DH29</f>
        <v>0</v>
      </c>
      <c r="CQ38" s="637">
        <f>CQ34-BS!DI29</f>
        <v>0</v>
      </c>
    </row>
    <row r="39" spans="1:131" ht="11.25" customHeight="1" collapsed="1">
      <c r="A39" s="510"/>
      <c r="B39" s="510"/>
      <c r="C39" s="510"/>
      <c r="D39" s="54"/>
      <c r="E39" s="141"/>
      <c r="F39" s="54"/>
      <c r="G39" s="141"/>
      <c r="H39" s="54"/>
      <c r="I39" s="141"/>
      <c r="J39" s="54"/>
      <c r="K39" s="141"/>
      <c r="L39" s="54"/>
      <c r="M39" s="141"/>
      <c r="N39" s="54"/>
      <c r="O39" s="141"/>
      <c r="P39" s="54"/>
      <c r="Q39" s="141"/>
      <c r="R39" s="54"/>
      <c r="S39" s="310"/>
      <c r="T39" s="140"/>
      <c r="U39" s="140"/>
      <c r="V39" s="140"/>
      <c r="W39" s="305"/>
      <c r="X39" s="54"/>
      <c r="Y39" s="310"/>
      <c r="Z39" s="140"/>
      <c r="AA39" s="140"/>
      <c r="AB39" s="140"/>
      <c r="AC39" s="53"/>
      <c r="AD39" s="54"/>
      <c r="AE39" s="310"/>
      <c r="AF39" s="140"/>
      <c r="AG39" s="140"/>
      <c r="AH39" s="140"/>
      <c r="AI39" s="53"/>
      <c r="AJ39" s="54"/>
      <c r="AK39" s="310"/>
      <c r="AL39" s="140"/>
      <c r="AM39" s="54"/>
      <c r="AN39" s="54"/>
      <c r="AO39" s="53"/>
      <c r="AP39" s="54"/>
      <c r="AQ39" s="532"/>
      <c r="AR39" s="54"/>
      <c r="AS39" s="54"/>
      <c r="AT39" s="54"/>
      <c r="AU39" s="53"/>
      <c r="AV39" s="54"/>
      <c r="AW39" s="532"/>
      <c r="AX39" s="54"/>
      <c r="AY39" s="54"/>
      <c r="AZ39" s="54"/>
      <c r="BA39" s="53"/>
      <c r="BB39" s="54"/>
      <c r="BC39" s="532"/>
      <c r="BD39" s="54"/>
      <c r="BE39" s="54"/>
      <c r="BF39" s="54"/>
      <c r="BG39" s="53"/>
      <c r="BH39" s="54"/>
      <c r="BI39" s="532"/>
      <c r="BJ39" s="54"/>
      <c r="BK39" s="54"/>
      <c r="BL39" s="54"/>
      <c r="BM39" s="53"/>
      <c r="BN39" s="54"/>
      <c r="BO39" s="532"/>
      <c r="BP39" s="54"/>
      <c r="BQ39" s="54"/>
      <c r="BR39" s="54"/>
      <c r="BS39" s="53"/>
      <c r="BT39" s="54"/>
      <c r="BU39" s="532"/>
      <c r="BV39" s="54"/>
      <c r="BW39" s="54"/>
      <c r="BX39" s="54"/>
      <c r="BY39" s="53"/>
      <c r="CA39" s="532"/>
      <c r="CB39" s="54"/>
      <c r="CC39" s="54"/>
      <c r="CD39" s="54"/>
      <c r="CE39" s="53"/>
      <c r="CG39" s="532"/>
      <c r="CH39" s="54"/>
      <c r="CI39" s="54"/>
      <c r="CJ39" s="54"/>
      <c r="CK39" s="53"/>
      <c r="CM39" s="532"/>
      <c r="CN39" s="54"/>
      <c r="CO39" s="54"/>
      <c r="CP39" s="54"/>
      <c r="CQ39" s="53"/>
    </row>
    <row r="40" spans="1:131" ht="11.25" customHeight="1">
      <c r="A40" s="511" t="s">
        <v>280</v>
      </c>
      <c r="B40" s="511"/>
      <c r="C40" s="511"/>
      <c r="D40" s="54"/>
      <c r="E40" s="305"/>
      <c r="F40" s="54"/>
      <c r="G40" s="305"/>
      <c r="H40" s="54"/>
      <c r="I40" s="305"/>
      <c r="J40" s="54"/>
      <c r="K40" s="305"/>
      <c r="L40" s="54"/>
      <c r="M40" s="305"/>
      <c r="N40" s="54"/>
      <c r="O40" s="305"/>
      <c r="P40" s="54"/>
      <c r="Q40" s="305"/>
      <c r="R40" s="54"/>
      <c r="S40" s="284"/>
      <c r="T40" s="54"/>
      <c r="U40" s="54"/>
      <c r="V40" s="54"/>
      <c r="W40" s="53"/>
      <c r="X40" s="54"/>
      <c r="Y40" s="284"/>
      <c r="Z40" s="54"/>
      <c r="AA40" s="54"/>
      <c r="AB40" s="54"/>
      <c r="AC40" s="53"/>
      <c r="AD40" s="54"/>
      <c r="AE40" s="284"/>
      <c r="AF40" s="54"/>
      <c r="AG40" s="54"/>
      <c r="AH40" s="54"/>
      <c r="AI40" s="53"/>
      <c r="AJ40" s="54"/>
      <c r="AK40" s="284"/>
      <c r="AL40" s="54"/>
      <c r="AM40" s="54"/>
      <c r="AN40" s="54"/>
      <c r="AO40" s="53"/>
      <c r="AP40" s="54"/>
      <c r="AQ40" s="532"/>
      <c r="AR40" s="54"/>
      <c r="AS40" s="54"/>
      <c r="AT40" s="54"/>
      <c r="AU40" s="53"/>
      <c r="AV40" s="54"/>
      <c r="AW40" s="532"/>
      <c r="AX40" s="54"/>
      <c r="AY40" s="54"/>
      <c r="AZ40" s="54"/>
      <c r="BA40" s="53"/>
      <c r="BB40" s="54"/>
      <c r="BC40" s="532"/>
      <c r="BD40" s="54"/>
      <c r="BE40" s="54"/>
      <c r="BF40" s="54"/>
      <c r="BG40" s="53"/>
      <c r="BH40" s="54"/>
      <c r="BI40" s="532"/>
      <c r="BJ40" s="54"/>
      <c r="BK40" s="54"/>
      <c r="BL40" s="54"/>
      <c r="BM40" s="53"/>
      <c r="BN40" s="54"/>
      <c r="BO40" s="532"/>
      <c r="BP40" s="54"/>
      <c r="BQ40" s="54"/>
      <c r="BR40" s="54"/>
      <c r="BS40" s="53"/>
      <c r="BT40" s="54"/>
      <c r="BU40" s="532"/>
      <c r="BV40" s="54"/>
      <c r="BW40" s="54"/>
      <c r="BX40" s="54"/>
      <c r="BY40" s="53"/>
      <c r="CA40" s="532"/>
      <c r="CB40" s="54"/>
      <c r="CC40" s="54"/>
      <c r="CD40" s="54"/>
      <c r="CE40" s="53"/>
      <c r="CG40" s="532"/>
      <c r="CH40" s="54"/>
      <c r="CI40" s="54"/>
      <c r="CJ40" s="54"/>
      <c r="CK40" s="53"/>
      <c r="CM40" s="532"/>
      <c r="CN40" s="54"/>
      <c r="CO40" s="54"/>
      <c r="CP40" s="54"/>
      <c r="CQ40" s="53"/>
    </row>
    <row r="41" spans="1:131" ht="11.25" customHeight="1">
      <c r="A41" s="512" t="s">
        <v>275</v>
      </c>
      <c r="B41" s="512"/>
      <c r="C41" s="512"/>
      <c r="D41" s="54"/>
      <c r="E41" s="53"/>
      <c r="F41" s="54"/>
      <c r="G41" s="53">
        <f t="shared" ref="G41:G63" si="29">G9-E9</f>
        <v>0</v>
      </c>
      <c r="H41" s="54"/>
      <c r="I41" s="53">
        <f t="shared" ref="I41:I63" si="30">I9-G9</f>
        <v>0</v>
      </c>
      <c r="J41" s="54"/>
      <c r="K41" s="53">
        <f t="shared" ref="K41:K63" si="31">K9-I9</f>
        <v>0</v>
      </c>
      <c r="L41" s="54"/>
      <c r="M41" s="53">
        <f t="shared" ref="M41:M63" si="32">M9-K9</f>
        <v>0</v>
      </c>
      <c r="N41" s="54"/>
      <c r="O41" s="53">
        <f t="shared" ref="O41:O63" si="33">O9-M9</f>
        <v>0</v>
      </c>
      <c r="P41" s="54"/>
      <c r="Q41" s="53">
        <f t="shared" ref="Q41:Q63" si="34">Q9-O9</f>
        <v>144.4</v>
      </c>
      <c r="R41" s="54"/>
      <c r="S41" s="284">
        <f t="shared" ref="S41:S63" si="35">S9-Q9</f>
        <v>-1.9000000000000057</v>
      </c>
      <c r="T41" s="54">
        <f>T9-S9</f>
        <v>-3.6999999999999886</v>
      </c>
      <c r="U41" s="54">
        <f>U9-T9</f>
        <v>-3.8000000000000114</v>
      </c>
      <c r="V41" s="54">
        <f>V9-U9</f>
        <v>-3.6999999999999886</v>
      </c>
      <c r="W41" s="53">
        <f t="shared" ref="W41:W63" si="36">W9-Q9</f>
        <v>-13.099999999999994</v>
      </c>
      <c r="X41" s="54"/>
      <c r="Y41" s="284">
        <f>Y9-W9</f>
        <v>-3.8000000000000114</v>
      </c>
      <c r="Z41" s="54">
        <f t="shared" ref="Z41:AB63" si="37">Z9-Y9</f>
        <v>-5.5999999999999943</v>
      </c>
      <c r="AA41" s="54">
        <f t="shared" si="37"/>
        <v>-5.6000000000000085</v>
      </c>
      <c r="AB41" s="54">
        <f t="shared" si="37"/>
        <v>-5.7000000000000028</v>
      </c>
      <c r="AC41" s="53">
        <f>AC9-W9</f>
        <v>-20.700000000000017</v>
      </c>
      <c r="AD41" s="54"/>
      <c r="AE41" s="284">
        <f>AE9-AC9</f>
        <v>-5.5999999999999943</v>
      </c>
      <c r="AF41" s="54">
        <f t="shared" ref="AF41:AH63" si="38">AF9-AE9</f>
        <v>-7.5</v>
      </c>
      <c r="AG41" s="54">
        <f t="shared" si="38"/>
        <v>-7.5</v>
      </c>
      <c r="AH41" s="54">
        <f t="shared" si="38"/>
        <v>-7.5</v>
      </c>
      <c r="AI41" s="53">
        <f>AI9-AC9</f>
        <v>-28.099999999999994</v>
      </c>
      <c r="AJ41" s="54"/>
      <c r="AK41" s="284">
        <f>AK9-AI9</f>
        <v>-7.5</v>
      </c>
      <c r="AL41" s="54">
        <f t="shared" ref="AL41:AN63" si="39">AL9-AK9</f>
        <v>-18.700000000000003</v>
      </c>
      <c r="AM41" s="54">
        <f t="shared" si="39"/>
        <v>-18.799999999999997</v>
      </c>
      <c r="AN41" s="54">
        <f t="shared" si="39"/>
        <v>55.5</v>
      </c>
      <c r="AO41" s="53">
        <f>AO9-AI9</f>
        <v>10.5</v>
      </c>
      <c r="AP41" s="54"/>
      <c r="AQ41" s="284">
        <f>AQ9-AO9</f>
        <v>0</v>
      </c>
      <c r="AR41" s="52">
        <f t="shared" ref="AR41:AT63" si="40">AR9-AQ9</f>
        <v>0</v>
      </c>
      <c r="AS41" s="52">
        <f t="shared" si="40"/>
        <v>19.5</v>
      </c>
      <c r="AT41" s="52">
        <f t="shared" si="40"/>
        <v>0</v>
      </c>
      <c r="AU41" s="53">
        <f>AU9-AO9</f>
        <v>19.5</v>
      </c>
      <c r="AV41" s="54"/>
      <c r="AW41" s="284">
        <f>AW9-AU9</f>
        <v>0</v>
      </c>
      <c r="AX41" s="52">
        <f t="shared" ref="AX41:AZ63" si="41">AX9-AW9</f>
        <v>0</v>
      </c>
      <c r="AY41" s="52">
        <f t="shared" si="41"/>
        <v>0</v>
      </c>
      <c r="AZ41" s="52">
        <f t="shared" si="41"/>
        <v>0</v>
      </c>
      <c r="BA41" s="53">
        <f>BA9-AU9</f>
        <v>0</v>
      </c>
      <c r="BB41" s="54"/>
      <c r="BC41" s="284">
        <f>BC9-BA9</f>
        <v>0</v>
      </c>
      <c r="BD41" s="52">
        <f t="shared" ref="BD41:BE63" si="42">BD9-BC9</f>
        <v>10</v>
      </c>
      <c r="BE41" s="52">
        <f t="shared" si="42"/>
        <v>7</v>
      </c>
      <c r="BF41" s="52">
        <f t="shared" ref="BF41:BF63" si="43">BF9-BE9</f>
        <v>-104.5</v>
      </c>
      <c r="BG41" s="53">
        <f>BG9-BA9</f>
        <v>-87.5</v>
      </c>
      <c r="BH41" s="54"/>
      <c r="BI41" s="284">
        <f>BI9-BG9</f>
        <v>36</v>
      </c>
      <c r="BJ41" s="52">
        <f t="shared" ref="BJ41:BK63" si="44">BJ9-BI9</f>
        <v>41</v>
      </c>
      <c r="BK41" s="52">
        <f t="shared" si="44"/>
        <v>22</v>
      </c>
      <c r="BL41" s="52">
        <f t="shared" ref="BL41:BL63" si="45">BL9-BK9</f>
        <v>47</v>
      </c>
      <c r="BM41" s="53">
        <f>BM9-BG9</f>
        <v>146</v>
      </c>
      <c r="BN41" s="54"/>
      <c r="BO41" s="284">
        <f>BO9-BM9</f>
        <v>-7</v>
      </c>
      <c r="BP41" s="52">
        <f t="shared" ref="BP41:BQ63" si="46">BP9-BO9</f>
        <v>46</v>
      </c>
      <c r="BQ41" s="52">
        <f t="shared" si="46"/>
        <v>50</v>
      </c>
      <c r="BR41" s="52">
        <f t="shared" ref="BR41:BR63" si="47">BR9-BQ9</f>
        <v>-65</v>
      </c>
      <c r="BS41" s="53">
        <f>BS9-BM9</f>
        <v>24</v>
      </c>
      <c r="BT41" s="54"/>
      <c r="BU41" s="1221">
        <v>0</v>
      </c>
      <c r="BV41" s="224">
        <v>0</v>
      </c>
      <c r="BW41" s="224">
        <v>0</v>
      </c>
      <c r="BX41" s="224">
        <v>0</v>
      </c>
      <c r="BY41" s="53">
        <f>BY9-BS9</f>
        <v>0</v>
      </c>
      <c r="CA41" s="1221">
        <v>0</v>
      </c>
      <c r="CB41" s="224">
        <v>0</v>
      </c>
      <c r="CC41" s="224">
        <v>0</v>
      </c>
      <c r="CD41" s="224">
        <v>0</v>
      </c>
      <c r="CE41" s="53">
        <f>CE9-BY9</f>
        <v>0</v>
      </c>
      <c r="CG41" s="1221">
        <v>0</v>
      </c>
      <c r="CH41" s="224">
        <v>0</v>
      </c>
      <c r="CI41" s="224">
        <v>0</v>
      </c>
      <c r="CJ41" s="224">
        <v>0</v>
      </c>
      <c r="CK41" s="53">
        <f>CK9-CE9</f>
        <v>0</v>
      </c>
      <c r="CM41" s="1221">
        <v>0</v>
      </c>
      <c r="CN41" s="224">
        <v>0</v>
      </c>
      <c r="CO41" s="224">
        <v>0</v>
      </c>
      <c r="CP41" s="224">
        <v>0</v>
      </c>
      <c r="CQ41" s="53">
        <f>CQ9-CK9</f>
        <v>0</v>
      </c>
    </row>
    <row r="42" spans="1:131" ht="11.25" customHeight="1">
      <c r="A42" s="507" t="s">
        <v>276</v>
      </c>
      <c r="B42" s="507"/>
      <c r="C42" s="507"/>
      <c r="D42" s="54"/>
      <c r="E42" s="305"/>
      <c r="F42" s="54"/>
      <c r="G42" s="305">
        <f t="shared" si="29"/>
        <v>0</v>
      </c>
      <c r="H42" s="54"/>
      <c r="I42" s="305">
        <f t="shared" si="30"/>
        <v>0</v>
      </c>
      <c r="J42" s="54"/>
      <c r="K42" s="305">
        <f t="shared" si="31"/>
        <v>0</v>
      </c>
      <c r="L42" s="54"/>
      <c r="M42" s="305">
        <f t="shared" si="32"/>
        <v>0</v>
      </c>
      <c r="N42" s="54"/>
      <c r="O42" s="305">
        <f t="shared" si="33"/>
        <v>0</v>
      </c>
      <c r="P42" s="54"/>
      <c r="Q42" s="305">
        <f t="shared" si="34"/>
        <v>35.6</v>
      </c>
      <c r="R42" s="54"/>
      <c r="S42" s="284">
        <f t="shared" si="35"/>
        <v>0</v>
      </c>
      <c r="T42" s="54">
        <f t="shared" ref="T42:V63" si="48">T10-S10</f>
        <v>-13.3</v>
      </c>
      <c r="U42" s="54">
        <f t="shared" si="48"/>
        <v>-13.8</v>
      </c>
      <c r="V42" s="54">
        <f t="shared" si="48"/>
        <v>-8.5</v>
      </c>
      <c r="W42" s="53">
        <f t="shared" si="36"/>
        <v>-35.6</v>
      </c>
      <c r="X42" s="54"/>
      <c r="Y42" s="284">
        <f t="shared" ref="Y42:Y63" si="49">Y10-W10</f>
        <v>0</v>
      </c>
      <c r="Z42" s="54">
        <f t="shared" si="37"/>
        <v>0</v>
      </c>
      <c r="AA42" s="54">
        <f t="shared" si="37"/>
        <v>0</v>
      </c>
      <c r="AB42" s="54">
        <f t="shared" si="37"/>
        <v>0</v>
      </c>
      <c r="AC42" s="53">
        <f t="shared" ref="AC42:AC63" si="50">AC10-W10</f>
        <v>0</v>
      </c>
      <c r="AD42" s="54"/>
      <c r="AE42" s="284">
        <f t="shared" ref="AE42:AE63" si="51">AE10-AC10</f>
        <v>0</v>
      </c>
      <c r="AF42" s="54">
        <f t="shared" si="38"/>
        <v>0</v>
      </c>
      <c r="AG42" s="54">
        <f t="shared" si="38"/>
        <v>0</v>
      </c>
      <c r="AH42" s="54">
        <f t="shared" si="38"/>
        <v>216.5</v>
      </c>
      <c r="AI42" s="53">
        <f t="shared" ref="AI42:AI63" si="52">AI10-AC10</f>
        <v>216.5</v>
      </c>
      <c r="AJ42" s="54"/>
      <c r="AK42" s="284">
        <f t="shared" ref="AK42:AK63" si="53">AK10-AI10</f>
        <v>-216.5</v>
      </c>
      <c r="AL42" s="54">
        <f t="shared" si="39"/>
        <v>20</v>
      </c>
      <c r="AM42" s="54">
        <f t="shared" si="39"/>
        <v>35</v>
      </c>
      <c r="AN42" s="54">
        <f t="shared" si="39"/>
        <v>-55</v>
      </c>
      <c r="AO42" s="53">
        <f t="shared" ref="AO42:AO63" si="54">AO10-AI10</f>
        <v>-216.5</v>
      </c>
      <c r="AP42" s="54"/>
      <c r="AQ42" s="284">
        <f t="shared" ref="AQ42:AQ63" si="55">AQ10-AO10</f>
        <v>0</v>
      </c>
      <c r="AR42" s="52">
        <f t="shared" si="40"/>
        <v>0</v>
      </c>
      <c r="AS42" s="52">
        <f t="shared" si="40"/>
        <v>0</v>
      </c>
      <c r="AT42" s="52">
        <f t="shared" si="40"/>
        <v>0</v>
      </c>
      <c r="AU42" s="53">
        <f t="shared" ref="AU42:AU63" si="56">AU10-AO10</f>
        <v>0</v>
      </c>
      <c r="AV42" s="54"/>
      <c r="AW42" s="284">
        <f t="shared" ref="AW42:AW63" si="57">AW10-AU10</f>
        <v>0</v>
      </c>
      <c r="AX42" s="52">
        <f t="shared" si="41"/>
        <v>0</v>
      </c>
      <c r="AY42" s="52">
        <f t="shared" si="41"/>
        <v>0</v>
      </c>
      <c r="AZ42" s="52">
        <f t="shared" si="41"/>
        <v>0</v>
      </c>
      <c r="BA42" s="53">
        <f t="shared" ref="BA42:BA63" si="58">BA10-AU10</f>
        <v>0</v>
      </c>
      <c r="BB42" s="54"/>
      <c r="BC42" s="284">
        <f t="shared" ref="BC42:BC63" si="59">BC10-BA10</f>
        <v>0</v>
      </c>
      <c r="BD42" s="52">
        <f t="shared" si="42"/>
        <v>0</v>
      </c>
      <c r="BE42" s="52">
        <f t="shared" si="42"/>
        <v>0</v>
      </c>
      <c r="BF42" s="52">
        <f t="shared" si="43"/>
        <v>0</v>
      </c>
      <c r="BG42" s="53">
        <f t="shared" ref="BG42:BG63" si="60">BG10-BA10</f>
        <v>0</v>
      </c>
      <c r="BH42" s="54"/>
      <c r="BI42" s="284">
        <f t="shared" ref="BI42:BI63" si="61">BI10-BG10</f>
        <v>0</v>
      </c>
      <c r="BJ42" s="52">
        <f t="shared" si="44"/>
        <v>0</v>
      </c>
      <c r="BK42" s="52">
        <f t="shared" si="44"/>
        <v>0</v>
      </c>
      <c r="BL42" s="52">
        <f t="shared" si="45"/>
        <v>0</v>
      </c>
      <c r="BM42" s="53">
        <f t="shared" ref="BM42:BM63" si="62">BM10-BG10</f>
        <v>0</v>
      </c>
      <c r="BN42" s="54"/>
      <c r="BO42" s="284">
        <f t="shared" ref="BO42:BO63" si="63">BO10-BM10</f>
        <v>0</v>
      </c>
      <c r="BP42" s="52">
        <f t="shared" si="46"/>
        <v>0</v>
      </c>
      <c r="BQ42" s="52">
        <f t="shared" si="46"/>
        <v>0</v>
      </c>
      <c r="BR42" s="52">
        <f t="shared" si="47"/>
        <v>0</v>
      </c>
      <c r="BS42" s="53">
        <f t="shared" ref="BS42:BS63" si="64">BS10-BM10</f>
        <v>0</v>
      </c>
      <c r="BT42" s="54"/>
      <c r="BU42" s="1221">
        <v>0</v>
      </c>
      <c r="BV42" s="224">
        <v>0</v>
      </c>
      <c r="BW42" s="224">
        <v>0</v>
      </c>
      <c r="BX42" s="224">
        <v>0</v>
      </c>
      <c r="BY42" s="53">
        <f t="shared" ref="BY42:BY63" si="65">BY10-BS10</f>
        <v>0</v>
      </c>
      <c r="CA42" s="1221">
        <v>0</v>
      </c>
      <c r="CB42" s="224">
        <v>0</v>
      </c>
      <c r="CC42" s="224">
        <v>0</v>
      </c>
      <c r="CD42" s="224">
        <v>0</v>
      </c>
      <c r="CE42" s="53">
        <f t="shared" ref="CE42:CE63" si="66">CE10-BY10</f>
        <v>0</v>
      </c>
      <c r="CG42" s="1221">
        <v>0</v>
      </c>
      <c r="CH42" s="224">
        <v>0</v>
      </c>
      <c r="CI42" s="224">
        <v>0</v>
      </c>
      <c r="CJ42" s="224">
        <v>0</v>
      </c>
      <c r="CK42" s="53">
        <f t="shared" ref="CK42:CK63" si="67">CK10-CE10</f>
        <v>0</v>
      </c>
      <c r="CM42" s="1221">
        <v>0</v>
      </c>
      <c r="CN42" s="224">
        <v>0</v>
      </c>
      <c r="CO42" s="224">
        <v>0</v>
      </c>
      <c r="CP42" s="224">
        <v>0</v>
      </c>
      <c r="CQ42" s="53">
        <f t="shared" ref="CQ42:CQ63" si="68">CQ10-CK10</f>
        <v>0</v>
      </c>
    </row>
    <row r="43" spans="1:131" ht="11.25" customHeight="1">
      <c r="A43" s="509" t="s">
        <v>281</v>
      </c>
      <c r="B43" s="509"/>
      <c r="C43" s="509"/>
      <c r="D43" s="54"/>
      <c r="E43" s="305"/>
      <c r="F43" s="54"/>
      <c r="G43" s="305">
        <f t="shared" si="29"/>
        <v>0</v>
      </c>
      <c r="H43" s="54"/>
      <c r="I43" s="305">
        <f t="shared" si="30"/>
        <v>0</v>
      </c>
      <c r="J43" s="54"/>
      <c r="K43" s="305">
        <f t="shared" si="31"/>
        <v>0</v>
      </c>
      <c r="L43" s="54"/>
      <c r="M43" s="305">
        <f t="shared" si="32"/>
        <v>0</v>
      </c>
      <c r="N43" s="54"/>
      <c r="O43" s="305">
        <f t="shared" si="33"/>
        <v>0</v>
      </c>
      <c r="P43" s="54"/>
      <c r="Q43" s="305">
        <f t="shared" si="34"/>
        <v>0</v>
      </c>
      <c r="R43" s="54"/>
      <c r="S43" s="284">
        <f t="shared" si="35"/>
        <v>0</v>
      </c>
      <c r="T43" s="54">
        <f t="shared" si="48"/>
        <v>0</v>
      </c>
      <c r="U43" s="54">
        <f t="shared" si="48"/>
        <v>0</v>
      </c>
      <c r="V43" s="54">
        <f t="shared" si="48"/>
        <v>0</v>
      </c>
      <c r="W43" s="53">
        <f t="shared" si="36"/>
        <v>0</v>
      </c>
      <c r="X43" s="54"/>
      <c r="Y43" s="284">
        <f t="shared" si="49"/>
        <v>0</v>
      </c>
      <c r="Z43" s="54">
        <f t="shared" si="37"/>
        <v>0</v>
      </c>
      <c r="AA43" s="54">
        <f t="shared" si="37"/>
        <v>0</v>
      </c>
      <c r="AB43" s="54">
        <f t="shared" si="37"/>
        <v>0</v>
      </c>
      <c r="AC43" s="53">
        <f t="shared" si="50"/>
        <v>0</v>
      </c>
      <c r="AD43" s="54"/>
      <c r="AE43" s="284">
        <f t="shared" si="51"/>
        <v>0</v>
      </c>
      <c r="AF43" s="54">
        <f t="shared" si="38"/>
        <v>0</v>
      </c>
      <c r="AG43" s="54">
        <f t="shared" si="38"/>
        <v>0</v>
      </c>
      <c r="AH43" s="54">
        <f t="shared" si="38"/>
        <v>0</v>
      </c>
      <c r="AI43" s="53">
        <f t="shared" si="52"/>
        <v>0</v>
      </c>
      <c r="AJ43" s="54"/>
      <c r="AK43" s="284">
        <f t="shared" si="53"/>
        <v>20</v>
      </c>
      <c r="AL43" s="54">
        <f t="shared" si="39"/>
        <v>0</v>
      </c>
      <c r="AM43" s="54">
        <f t="shared" si="39"/>
        <v>0</v>
      </c>
      <c r="AN43" s="54">
        <f t="shared" si="39"/>
        <v>0</v>
      </c>
      <c r="AO43" s="53">
        <f t="shared" si="54"/>
        <v>20</v>
      </c>
      <c r="AP43" s="54"/>
      <c r="AQ43" s="284">
        <f t="shared" si="55"/>
        <v>0</v>
      </c>
      <c r="AR43" s="52">
        <f t="shared" si="40"/>
        <v>0</v>
      </c>
      <c r="AS43" s="52">
        <f t="shared" si="40"/>
        <v>0</v>
      </c>
      <c r="AT43" s="52">
        <f t="shared" si="40"/>
        <v>0</v>
      </c>
      <c r="AU43" s="53">
        <f t="shared" si="56"/>
        <v>0</v>
      </c>
      <c r="AV43" s="54"/>
      <c r="AW43" s="284">
        <f t="shared" si="57"/>
        <v>0</v>
      </c>
      <c r="AX43" s="52">
        <f t="shared" si="41"/>
        <v>0</v>
      </c>
      <c r="AY43" s="52">
        <f t="shared" si="41"/>
        <v>0</v>
      </c>
      <c r="AZ43" s="52">
        <f t="shared" si="41"/>
        <v>0</v>
      </c>
      <c r="BA43" s="53">
        <f t="shared" si="58"/>
        <v>0</v>
      </c>
      <c r="BB43" s="54"/>
      <c r="BC43" s="284">
        <f t="shared" si="59"/>
        <v>0</v>
      </c>
      <c r="BD43" s="52">
        <f t="shared" si="42"/>
        <v>0</v>
      </c>
      <c r="BE43" s="52">
        <f t="shared" si="42"/>
        <v>0</v>
      </c>
      <c r="BF43" s="52">
        <f t="shared" si="43"/>
        <v>0</v>
      </c>
      <c r="BG43" s="53">
        <f t="shared" si="60"/>
        <v>0</v>
      </c>
      <c r="BH43" s="54"/>
      <c r="BI43" s="284">
        <f t="shared" si="61"/>
        <v>0</v>
      </c>
      <c r="BJ43" s="52">
        <f t="shared" si="44"/>
        <v>0</v>
      </c>
      <c r="BK43" s="52">
        <f t="shared" si="44"/>
        <v>0</v>
      </c>
      <c r="BL43" s="52">
        <f t="shared" si="45"/>
        <v>0</v>
      </c>
      <c r="BM43" s="53">
        <f t="shared" si="62"/>
        <v>0</v>
      </c>
      <c r="BN43" s="54"/>
      <c r="BO43" s="284">
        <f t="shared" si="63"/>
        <v>-20</v>
      </c>
      <c r="BP43" s="52">
        <f t="shared" si="46"/>
        <v>0</v>
      </c>
      <c r="BQ43" s="52">
        <f t="shared" si="46"/>
        <v>0</v>
      </c>
      <c r="BR43" s="52">
        <f t="shared" si="47"/>
        <v>0</v>
      </c>
      <c r="BS43" s="53">
        <f t="shared" si="64"/>
        <v>-20</v>
      </c>
      <c r="BT43" s="54"/>
      <c r="BU43" s="1221">
        <v>0</v>
      </c>
      <c r="BV43" s="224">
        <v>0</v>
      </c>
      <c r="BW43" s="224">
        <v>0</v>
      </c>
      <c r="BX43" s="224">
        <v>0</v>
      </c>
      <c r="BY43" s="53">
        <f t="shared" si="65"/>
        <v>0</v>
      </c>
      <c r="CA43" s="1221">
        <v>0</v>
      </c>
      <c r="CB43" s="224">
        <v>0</v>
      </c>
      <c r="CC43" s="224">
        <v>0</v>
      </c>
      <c r="CD43" s="224">
        <v>0</v>
      </c>
      <c r="CE43" s="53">
        <f t="shared" si="66"/>
        <v>0</v>
      </c>
      <c r="CG43" s="1221">
        <v>0</v>
      </c>
      <c r="CH43" s="224">
        <v>0</v>
      </c>
      <c r="CI43" s="224">
        <v>0</v>
      </c>
      <c r="CJ43" s="224">
        <v>0</v>
      </c>
      <c r="CK43" s="53">
        <f t="shared" si="67"/>
        <v>0</v>
      </c>
      <c r="CM43" s="1221">
        <v>0</v>
      </c>
      <c r="CN43" s="224">
        <v>0</v>
      </c>
      <c r="CO43" s="224">
        <v>0</v>
      </c>
      <c r="CP43" s="224">
        <v>0</v>
      </c>
      <c r="CQ43" s="53">
        <f t="shared" si="68"/>
        <v>0</v>
      </c>
    </row>
    <row r="44" spans="1:131" ht="11.25" customHeight="1">
      <c r="A44" s="509" t="s">
        <v>282</v>
      </c>
      <c r="B44" s="509"/>
      <c r="C44" s="509"/>
      <c r="D44" s="54"/>
      <c r="E44" s="305"/>
      <c r="F44" s="54"/>
      <c r="G44" s="305">
        <f t="shared" si="29"/>
        <v>0</v>
      </c>
      <c r="H44" s="54"/>
      <c r="I44" s="305">
        <f t="shared" si="30"/>
        <v>0</v>
      </c>
      <c r="J44" s="54"/>
      <c r="K44" s="305">
        <f t="shared" si="31"/>
        <v>0</v>
      </c>
      <c r="L44" s="54"/>
      <c r="M44" s="305">
        <f t="shared" si="32"/>
        <v>0</v>
      </c>
      <c r="N44" s="54"/>
      <c r="O44" s="305">
        <f t="shared" si="33"/>
        <v>0</v>
      </c>
      <c r="P44" s="54"/>
      <c r="Q44" s="305">
        <f t="shared" si="34"/>
        <v>0</v>
      </c>
      <c r="R44" s="54"/>
      <c r="S44" s="284">
        <f t="shared" si="35"/>
        <v>0</v>
      </c>
      <c r="T44" s="54">
        <f t="shared" si="48"/>
        <v>0</v>
      </c>
      <c r="U44" s="54">
        <f t="shared" si="48"/>
        <v>0</v>
      </c>
      <c r="V44" s="54">
        <f t="shared" si="48"/>
        <v>0</v>
      </c>
      <c r="W44" s="53">
        <f t="shared" si="36"/>
        <v>0</v>
      </c>
      <c r="X44" s="54"/>
      <c r="Y44" s="284">
        <f t="shared" si="49"/>
        <v>0</v>
      </c>
      <c r="Z44" s="54">
        <f t="shared" si="37"/>
        <v>0</v>
      </c>
      <c r="AA44" s="54">
        <f t="shared" si="37"/>
        <v>0</v>
      </c>
      <c r="AB44" s="54">
        <f t="shared" si="37"/>
        <v>0</v>
      </c>
      <c r="AC44" s="53">
        <f t="shared" si="50"/>
        <v>0</v>
      </c>
      <c r="AD44" s="54"/>
      <c r="AE44" s="284">
        <f t="shared" si="51"/>
        <v>0</v>
      </c>
      <c r="AF44" s="54">
        <f t="shared" si="38"/>
        <v>0</v>
      </c>
      <c r="AG44" s="54">
        <f t="shared" si="38"/>
        <v>0</v>
      </c>
      <c r="AH44" s="54">
        <f t="shared" si="38"/>
        <v>0</v>
      </c>
      <c r="AI44" s="53">
        <f t="shared" si="52"/>
        <v>0</v>
      </c>
      <c r="AJ44" s="54"/>
      <c r="AK44" s="284">
        <f t="shared" si="53"/>
        <v>15</v>
      </c>
      <c r="AL44" s="54">
        <f t="shared" si="39"/>
        <v>0</v>
      </c>
      <c r="AM44" s="54">
        <f t="shared" si="39"/>
        <v>0</v>
      </c>
      <c r="AN44" s="54">
        <f t="shared" si="39"/>
        <v>0</v>
      </c>
      <c r="AO44" s="53">
        <f t="shared" si="54"/>
        <v>15</v>
      </c>
      <c r="AP44" s="54"/>
      <c r="AQ44" s="284">
        <f t="shared" si="55"/>
        <v>0</v>
      </c>
      <c r="AR44" s="52">
        <f t="shared" si="40"/>
        <v>0</v>
      </c>
      <c r="AS44" s="52">
        <f t="shared" si="40"/>
        <v>0</v>
      </c>
      <c r="AT44" s="52">
        <f t="shared" si="40"/>
        <v>0</v>
      </c>
      <c r="AU44" s="53">
        <f t="shared" si="56"/>
        <v>0</v>
      </c>
      <c r="AV44" s="54"/>
      <c r="AW44" s="284">
        <f t="shared" si="57"/>
        <v>0</v>
      </c>
      <c r="AX44" s="52">
        <f t="shared" si="41"/>
        <v>0</v>
      </c>
      <c r="AY44" s="52">
        <f t="shared" si="41"/>
        <v>0</v>
      </c>
      <c r="AZ44" s="52">
        <f t="shared" si="41"/>
        <v>0</v>
      </c>
      <c r="BA44" s="53">
        <f t="shared" si="58"/>
        <v>0</v>
      </c>
      <c r="BB44" s="54"/>
      <c r="BC44" s="284">
        <f t="shared" si="59"/>
        <v>0</v>
      </c>
      <c r="BD44" s="52">
        <f t="shared" si="42"/>
        <v>0</v>
      </c>
      <c r="BE44" s="52">
        <f t="shared" si="42"/>
        <v>0</v>
      </c>
      <c r="BF44" s="52">
        <f t="shared" si="43"/>
        <v>0</v>
      </c>
      <c r="BG44" s="53">
        <f t="shared" si="60"/>
        <v>0</v>
      </c>
      <c r="BH44" s="54"/>
      <c r="BI44" s="284">
        <f t="shared" si="61"/>
        <v>0</v>
      </c>
      <c r="BJ44" s="52">
        <f t="shared" si="44"/>
        <v>0</v>
      </c>
      <c r="BK44" s="52">
        <f t="shared" si="44"/>
        <v>0</v>
      </c>
      <c r="BL44" s="52">
        <f t="shared" si="45"/>
        <v>0</v>
      </c>
      <c r="BM44" s="53">
        <f t="shared" si="62"/>
        <v>0</v>
      </c>
      <c r="BN44" s="54"/>
      <c r="BO44" s="284">
        <f t="shared" si="63"/>
        <v>0</v>
      </c>
      <c r="BP44" s="52">
        <f t="shared" si="46"/>
        <v>0</v>
      </c>
      <c r="BQ44" s="52">
        <f t="shared" si="46"/>
        <v>0</v>
      </c>
      <c r="BR44" s="52">
        <f t="shared" si="47"/>
        <v>0</v>
      </c>
      <c r="BS44" s="53">
        <f t="shared" si="64"/>
        <v>0</v>
      </c>
      <c r="BT44" s="54"/>
      <c r="BU44" s="1221">
        <v>0</v>
      </c>
      <c r="BV44" s="224">
        <v>0</v>
      </c>
      <c r="BW44" s="224">
        <v>0</v>
      </c>
      <c r="BX44" s="224">
        <v>0</v>
      </c>
      <c r="BY44" s="53">
        <f t="shared" si="65"/>
        <v>0</v>
      </c>
      <c r="CA44" s="1221">
        <v>0</v>
      </c>
      <c r="CB44" s="224">
        <v>0</v>
      </c>
      <c r="CC44" s="224">
        <v>0</v>
      </c>
      <c r="CD44" s="224">
        <v>0</v>
      </c>
      <c r="CE44" s="53">
        <f t="shared" si="66"/>
        <v>0</v>
      </c>
      <c r="CG44" s="1221">
        <v>0</v>
      </c>
      <c r="CH44" s="224">
        <v>0</v>
      </c>
      <c r="CI44" s="224">
        <v>0</v>
      </c>
      <c r="CJ44" s="224">
        <v>0</v>
      </c>
      <c r="CK44" s="53">
        <f t="shared" si="67"/>
        <v>0</v>
      </c>
      <c r="CM44" s="1221">
        <v>0</v>
      </c>
      <c r="CN44" s="224">
        <v>0</v>
      </c>
      <c r="CO44" s="224">
        <v>0</v>
      </c>
      <c r="CP44" s="224">
        <v>0</v>
      </c>
      <c r="CQ44" s="53">
        <f t="shared" si="68"/>
        <v>0</v>
      </c>
    </row>
    <row r="45" spans="1:131" ht="11.25" customHeight="1">
      <c r="A45" s="509" t="s">
        <v>283</v>
      </c>
      <c r="B45" s="509"/>
      <c r="C45" s="509"/>
      <c r="D45" s="54"/>
      <c r="E45" s="305"/>
      <c r="F45" s="54"/>
      <c r="G45" s="305">
        <f t="shared" si="29"/>
        <v>0</v>
      </c>
      <c r="H45" s="54"/>
      <c r="I45" s="305">
        <f t="shared" si="30"/>
        <v>0</v>
      </c>
      <c r="J45" s="54"/>
      <c r="K45" s="305">
        <f t="shared" si="31"/>
        <v>0</v>
      </c>
      <c r="L45" s="54"/>
      <c r="M45" s="305">
        <f t="shared" si="32"/>
        <v>0</v>
      </c>
      <c r="N45" s="54"/>
      <c r="O45" s="305">
        <f t="shared" si="33"/>
        <v>0</v>
      </c>
      <c r="P45" s="54"/>
      <c r="Q45" s="305">
        <f t="shared" si="34"/>
        <v>0</v>
      </c>
      <c r="R45" s="54"/>
      <c r="S45" s="284">
        <f t="shared" si="35"/>
        <v>0</v>
      </c>
      <c r="T45" s="54">
        <f t="shared" si="48"/>
        <v>0</v>
      </c>
      <c r="U45" s="54">
        <f t="shared" si="48"/>
        <v>0</v>
      </c>
      <c r="V45" s="54">
        <f t="shared" si="48"/>
        <v>0</v>
      </c>
      <c r="W45" s="53">
        <f t="shared" si="36"/>
        <v>0</v>
      </c>
      <c r="X45" s="54"/>
      <c r="Y45" s="284">
        <f t="shared" si="49"/>
        <v>0</v>
      </c>
      <c r="Z45" s="54">
        <f t="shared" si="37"/>
        <v>0</v>
      </c>
      <c r="AA45" s="54">
        <f t="shared" si="37"/>
        <v>0</v>
      </c>
      <c r="AB45" s="54">
        <f t="shared" si="37"/>
        <v>0</v>
      </c>
      <c r="AC45" s="53">
        <f t="shared" si="50"/>
        <v>0</v>
      </c>
      <c r="AD45" s="54"/>
      <c r="AE45" s="284">
        <f t="shared" si="51"/>
        <v>0</v>
      </c>
      <c r="AF45" s="54">
        <f t="shared" si="38"/>
        <v>0</v>
      </c>
      <c r="AG45" s="54">
        <f t="shared" si="38"/>
        <v>0</v>
      </c>
      <c r="AH45" s="54">
        <f t="shared" si="38"/>
        <v>0</v>
      </c>
      <c r="AI45" s="53">
        <f t="shared" si="52"/>
        <v>0</v>
      </c>
      <c r="AJ45" s="54"/>
      <c r="AK45" s="284">
        <f t="shared" si="53"/>
        <v>105</v>
      </c>
      <c r="AL45" s="54">
        <f t="shared" si="39"/>
        <v>0</v>
      </c>
      <c r="AM45" s="54">
        <f t="shared" si="39"/>
        <v>0</v>
      </c>
      <c r="AN45" s="54">
        <f t="shared" si="39"/>
        <v>0</v>
      </c>
      <c r="AO45" s="53">
        <f t="shared" si="54"/>
        <v>105</v>
      </c>
      <c r="AP45" s="54"/>
      <c r="AQ45" s="284">
        <f t="shared" si="55"/>
        <v>0</v>
      </c>
      <c r="AR45" s="52">
        <f t="shared" si="40"/>
        <v>0</v>
      </c>
      <c r="AS45" s="52">
        <f t="shared" si="40"/>
        <v>0</v>
      </c>
      <c r="AT45" s="52">
        <f t="shared" si="40"/>
        <v>0</v>
      </c>
      <c r="AU45" s="53">
        <f t="shared" si="56"/>
        <v>0</v>
      </c>
      <c r="AV45" s="54"/>
      <c r="AW45" s="284">
        <f t="shared" si="57"/>
        <v>0</v>
      </c>
      <c r="AX45" s="52">
        <f t="shared" si="41"/>
        <v>0</v>
      </c>
      <c r="AY45" s="52">
        <f t="shared" si="41"/>
        <v>0</v>
      </c>
      <c r="AZ45" s="52">
        <f t="shared" si="41"/>
        <v>0</v>
      </c>
      <c r="BA45" s="53">
        <f t="shared" si="58"/>
        <v>0</v>
      </c>
      <c r="BB45" s="54"/>
      <c r="BC45" s="284">
        <f t="shared" si="59"/>
        <v>0</v>
      </c>
      <c r="BD45" s="52">
        <f t="shared" si="42"/>
        <v>0</v>
      </c>
      <c r="BE45" s="52">
        <f t="shared" si="42"/>
        <v>0</v>
      </c>
      <c r="BF45" s="52">
        <f t="shared" si="43"/>
        <v>0</v>
      </c>
      <c r="BG45" s="53">
        <f t="shared" si="60"/>
        <v>0</v>
      </c>
      <c r="BH45" s="54"/>
      <c r="BI45" s="284">
        <f t="shared" si="61"/>
        <v>0</v>
      </c>
      <c r="BJ45" s="52">
        <f t="shared" si="44"/>
        <v>0</v>
      </c>
      <c r="BK45" s="52">
        <f t="shared" si="44"/>
        <v>0</v>
      </c>
      <c r="BL45" s="52">
        <f t="shared" si="45"/>
        <v>0</v>
      </c>
      <c r="BM45" s="53">
        <f t="shared" si="62"/>
        <v>0</v>
      </c>
      <c r="BN45" s="54"/>
      <c r="BO45" s="284">
        <f t="shared" si="63"/>
        <v>0</v>
      </c>
      <c r="BP45" s="52">
        <f t="shared" si="46"/>
        <v>0</v>
      </c>
      <c r="BQ45" s="52">
        <f t="shared" si="46"/>
        <v>0</v>
      </c>
      <c r="BR45" s="52">
        <f t="shared" si="47"/>
        <v>0</v>
      </c>
      <c r="BS45" s="53">
        <f t="shared" si="64"/>
        <v>0</v>
      </c>
      <c r="BT45" s="54"/>
      <c r="BU45" s="1221">
        <v>0</v>
      </c>
      <c r="BV45" s="224">
        <v>0</v>
      </c>
      <c r="BW45" s="224">
        <v>0</v>
      </c>
      <c r="BX45" s="224">
        <v>0</v>
      </c>
      <c r="BY45" s="53">
        <f t="shared" si="65"/>
        <v>0</v>
      </c>
      <c r="CA45" s="1221">
        <v>0</v>
      </c>
      <c r="CB45" s="224">
        <v>0</v>
      </c>
      <c r="CC45" s="224">
        <v>0</v>
      </c>
      <c r="CD45" s="224">
        <v>0</v>
      </c>
      <c r="CE45" s="53">
        <f t="shared" si="66"/>
        <v>0</v>
      </c>
      <c r="CG45" s="1221">
        <v>0</v>
      </c>
      <c r="CH45" s="224">
        <v>0</v>
      </c>
      <c r="CI45" s="224">
        <v>0</v>
      </c>
      <c r="CJ45" s="224">
        <v>0</v>
      </c>
      <c r="CK45" s="53">
        <f t="shared" si="67"/>
        <v>0</v>
      </c>
      <c r="CM45" s="1221">
        <v>0</v>
      </c>
      <c r="CN45" s="224">
        <v>0</v>
      </c>
      <c r="CO45" s="224">
        <v>0</v>
      </c>
      <c r="CP45" s="224">
        <v>0</v>
      </c>
      <c r="CQ45" s="53">
        <f t="shared" si="68"/>
        <v>0</v>
      </c>
    </row>
    <row r="46" spans="1:131" ht="11.25" customHeight="1">
      <c r="A46" s="509" t="s">
        <v>284</v>
      </c>
      <c r="B46" s="509"/>
      <c r="C46" s="509"/>
      <c r="D46" s="54"/>
      <c r="E46" s="305"/>
      <c r="F46" s="54"/>
      <c r="G46" s="305">
        <f t="shared" si="29"/>
        <v>0</v>
      </c>
      <c r="H46" s="54"/>
      <c r="I46" s="305">
        <f t="shared" si="30"/>
        <v>0</v>
      </c>
      <c r="J46" s="54"/>
      <c r="K46" s="305">
        <f t="shared" si="31"/>
        <v>0</v>
      </c>
      <c r="L46" s="54"/>
      <c r="M46" s="305">
        <f t="shared" si="32"/>
        <v>0</v>
      </c>
      <c r="N46" s="54"/>
      <c r="O46" s="305">
        <f t="shared" si="33"/>
        <v>0</v>
      </c>
      <c r="P46" s="54"/>
      <c r="Q46" s="305">
        <f t="shared" si="34"/>
        <v>0</v>
      </c>
      <c r="R46" s="54"/>
      <c r="S46" s="284">
        <f t="shared" si="35"/>
        <v>0</v>
      </c>
      <c r="T46" s="54">
        <f t="shared" si="48"/>
        <v>0</v>
      </c>
      <c r="U46" s="54">
        <f t="shared" si="48"/>
        <v>0</v>
      </c>
      <c r="V46" s="54">
        <f t="shared" si="48"/>
        <v>0</v>
      </c>
      <c r="W46" s="53">
        <f t="shared" si="36"/>
        <v>0</v>
      </c>
      <c r="X46" s="54"/>
      <c r="Y46" s="284">
        <f t="shared" si="49"/>
        <v>0</v>
      </c>
      <c r="Z46" s="54">
        <f t="shared" si="37"/>
        <v>0</v>
      </c>
      <c r="AA46" s="54">
        <f t="shared" si="37"/>
        <v>0</v>
      </c>
      <c r="AB46" s="54">
        <f t="shared" si="37"/>
        <v>0</v>
      </c>
      <c r="AC46" s="53">
        <f t="shared" si="50"/>
        <v>0</v>
      </c>
      <c r="AD46" s="54"/>
      <c r="AE46" s="284">
        <f t="shared" si="51"/>
        <v>0</v>
      </c>
      <c r="AF46" s="54">
        <f t="shared" si="38"/>
        <v>0</v>
      </c>
      <c r="AG46" s="54">
        <f t="shared" si="38"/>
        <v>0</v>
      </c>
      <c r="AH46" s="54">
        <f t="shared" si="38"/>
        <v>0</v>
      </c>
      <c r="AI46" s="53">
        <f t="shared" si="52"/>
        <v>0</v>
      </c>
      <c r="AJ46" s="54"/>
      <c r="AK46" s="284">
        <f t="shared" si="53"/>
        <v>100</v>
      </c>
      <c r="AL46" s="54">
        <f t="shared" si="39"/>
        <v>0</v>
      </c>
      <c r="AM46" s="54">
        <f t="shared" si="39"/>
        <v>0</v>
      </c>
      <c r="AN46" s="54">
        <f t="shared" si="39"/>
        <v>0</v>
      </c>
      <c r="AO46" s="53">
        <f t="shared" si="54"/>
        <v>100</v>
      </c>
      <c r="AP46" s="54"/>
      <c r="AQ46" s="284">
        <f t="shared" si="55"/>
        <v>0</v>
      </c>
      <c r="AR46" s="52">
        <f t="shared" si="40"/>
        <v>0</v>
      </c>
      <c r="AS46" s="52">
        <f t="shared" si="40"/>
        <v>0</v>
      </c>
      <c r="AT46" s="52">
        <f t="shared" si="40"/>
        <v>0</v>
      </c>
      <c r="AU46" s="53">
        <f t="shared" si="56"/>
        <v>0</v>
      </c>
      <c r="AV46" s="54"/>
      <c r="AW46" s="284">
        <f t="shared" si="57"/>
        <v>0</v>
      </c>
      <c r="AX46" s="52">
        <f t="shared" si="41"/>
        <v>0</v>
      </c>
      <c r="AY46" s="52">
        <f t="shared" si="41"/>
        <v>0</v>
      </c>
      <c r="AZ46" s="52">
        <f t="shared" si="41"/>
        <v>0</v>
      </c>
      <c r="BA46" s="53">
        <f t="shared" si="58"/>
        <v>0</v>
      </c>
      <c r="BB46" s="54"/>
      <c r="BC46" s="284">
        <f t="shared" si="59"/>
        <v>0</v>
      </c>
      <c r="BD46" s="52">
        <f t="shared" si="42"/>
        <v>0</v>
      </c>
      <c r="BE46" s="52">
        <f t="shared" si="42"/>
        <v>0</v>
      </c>
      <c r="BF46" s="52">
        <f t="shared" si="43"/>
        <v>0</v>
      </c>
      <c r="BG46" s="53">
        <f t="shared" si="60"/>
        <v>0</v>
      </c>
      <c r="BH46" s="54"/>
      <c r="BI46" s="284">
        <f t="shared" si="61"/>
        <v>0</v>
      </c>
      <c r="BJ46" s="52">
        <f t="shared" si="44"/>
        <v>0</v>
      </c>
      <c r="BK46" s="52">
        <f t="shared" si="44"/>
        <v>0</v>
      </c>
      <c r="BL46" s="52">
        <f t="shared" si="45"/>
        <v>0</v>
      </c>
      <c r="BM46" s="53">
        <f t="shared" si="62"/>
        <v>0</v>
      </c>
      <c r="BN46" s="54"/>
      <c r="BO46" s="284">
        <f t="shared" si="63"/>
        <v>0</v>
      </c>
      <c r="BP46" s="52">
        <f t="shared" si="46"/>
        <v>0</v>
      </c>
      <c r="BQ46" s="52">
        <f t="shared" si="46"/>
        <v>0</v>
      </c>
      <c r="BR46" s="52">
        <f t="shared" si="47"/>
        <v>0</v>
      </c>
      <c r="BS46" s="53">
        <f t="shared" si="64"/>
        <v>0</v>
      </c>
      <c r="BT46" s="54"/>
      <c r="BU46" s="1221">
        <v>0</v>
      </c>
      <c r="BV46" s="224">
        <v>0</v>
      </c>
      <c r="BW46" s="224">
        <v>0</v>
      </c>
      <c r="BX46" s="224">
        <v>0</v>
      </c>
      <c r="BY46" s="53">
        <f t="shared" si="65"/>
        <v>0</v>
      </c>
      <c r="CA46" s="1221">
        <v>0</v>
      </c>
      <c r="CB46" s="224">
        <v>0</v>
      </c>
      <c r="CC46" s="224">
        <v>0</v>
      </c>
      <c r="CD46" s="224">
        <v>0</v>
      </c>
      <c r="CE46" s="53">
        <f t="shared" si="66"/>
        <v>0</v>
      </c>
      <c r="CG46" s="1221">
        <v>0</v>
      </c>
      <c r="CH46" s="224">
        <v>0</v>
      </c>
      <c r="CI46" s="224">
        <v>0</v>
      </c>
      <c r="CJ46" s="224">
        <v>0</v>
      </c>
      <c r="CK46" s="53">
        <f t="shared" si="67"/>
        <v>0</v>
      </c>
      <c r="CM46" s="1221">
        <v>0</v>
      </c>
      <c r="CN46" s="224">
        <v>0</v>
      </c>
      <c r="CO46" s="224">
        <v>0</v>
      </c>
      <c r="CP46" s="224">
        <v>0</v>
      </c>
      <c r="CQ46" s="53">
        <f t="shared" si="68"/>
        <v>0</v>
      </c>
    </row>
    <row r="47" spans="1:131" ht="11.25" customHeight="1">
      <c r="A47" s="514" t="s">
        <v>277</v>
      </c>
      <c r="B47" s="509"/>
      <c r="C47" s="509"/>
      <c r="D47" s="54"/>
      <c r="E47" s="305"/>
      <c r="F47" s="54"/>
      <c r="G47" s="305">
        <f t="shared" si="29"/>
        <v>0</v>
      </c>
      <c r="H47" s="54"/>
      <c r="I47" s="305">
        <f t="shared" si="30"/>
        <v>0</v>
      </c>
      <c r="J47" s="54"/>
      <c r="K47" s="305">
        <f t="shared" si="31"/>
        <v>0</v>
      </c>
      <c r="L47" s="54"/>
      <c r="M47" s="305">
        <f t="shared" si="32"/>
        <v>0</v>
      </c>
      <c r="N47" s="54"/>
      <c r="O47" s="305">
        <f t="shared" si="33"/>
        <v>3</v>
      </c>
      <c r="P47" s="54"/>
      <c r="Q47" s="305">
        <f t="shared" si="34"/>
        <v>2.2999999999999998</v>
      </c>
      <c r="R47" s="54"/>
      <c r="S47" s="284">
        <f t="shared" si="35"/>
        <v>-0.5</v>
      </c>
      <c r="T47" s="54">
        <f t="shared" si="48"/>
        <v>0.10000000000000053</v>
      </c>
      <c r="U47" s="54">
        <f t="shared" si="48"/>
        <v>0</v>
      </c>
      <c r="V47" s="54">
        <f t="shared" si="48"/>
        <v>1.0999999999999996</v>
      </c>
      <c r="W47" s="53">
        <f t="shared" si="36"/>
        <v>0.70000000000000018</v>
      </c>
      <c r="X47" s="54"/>
      <c r="Y47" s="284">
        <f t="shared" si="49"/>
        <v>-0.5</v>
      </c>
      <c r="Z47" s="54">
        <f t="shared" si="37"/>
        <v>-0.70000000000000018</v>
      </c>
      <c r="AA47" s="54">
        <f t="shared" si="37"/>
        <v>0.29999999999999982</v>
      </c>
      <c r="AB47" s="54">
        <f t="shared" si="37"/>
        <v>-0.19999999999999929</v>
      </c>
      <c r="AC47" s="53">
        <f t="shared" si="50"/>
        <v>-1.0999999999999996</v>
      </c>
      <c r="AD47" s="54"/>
      <c r="AE47" s="284">
        <f t="shared" si="51"/>
        <v>0</v>
      </c>
      <c r="AF47" s="54">
        <f t="shared" si="38"/>
        <v>-0.10000000000000053</v>
      </c>
      <c r="AG47" s="54">
        <f t="shared" si="38"/>
        <v>-0.39999999999999947</v>
      </c>
      <c r="AH47" s="54">
        <f t="shared" si="38"/>
        <v>-0.30000000000000071</v>
      </c>
      <c r="AI47" s="53">
        <f t="shared" si="52"/>
        <v>-0.80000000000000071</v>
      </c>
      <c r="AJ47" s="54"/>
      <c r="AK47" s="284">
        <f t="shared" si="53"/>
        <v>0.5</v>
      </c>
      <c r="AL47" s="54">
        <f t="shared" si="39"/>
        <v>0</v>
      </c>
      <c r="AM47" s="54">
        <f t="shared" si="39"/>
        <v>-0.19999999999999929</v>
      </c>
      <c r="AN47" s="54">
        <f t="shared" si="39"/>
        <v>-0.20000000000000018</v>
      </c>
      <c r="AO47" s="53">
        <f t="shared" si="54"/>
        <v>0.10000000000000053</v>
      </c>
      <c r="AP47" s="54"/>
      <c r="AQ47" s="284">
        <f t="shared" si="55"/>
        <v>-0.60000000000000009</v>
      </c>
      <c r="AR47" s="52">
        <f t="shared" si="40"/>
        <v>-0.10000000000000009</v>
      </c>
      <c r="AS47" s="52">
        <f t="shared" si="40"/>
        <v>-0.29999999999999982</v>
      </c>
      <c r="AT47" s="52">
        <f t="shared" si="40"/>
        <v>-0.70000000000000018</v>
      </c>
      <c r="AU47" s="53">
        <f t="shared" si="56"/>
        <v>-1.7000000000000002</v>
      </c>
      <c r="AV47" s="54"/>
      <c r="AW47" s="284">
        <f t="shared" si="57"/>
        <v>-0.20000000000000018</v>
      </c>
      <c r="AX47" s="52">
        <f t="shared" si="41"/>
        <v>0.90000000000000036</v>
      </c>
      <c r="AY47" s="52">
        <f t="shared" si="41"/>
        <v>-0.5</v>
      </c>
      <c r="AZ47" s="52">
        <f t="shared" si="41"/>
        <v>-0.20000000000000018</v>
      </c>
      <c r="BA47" s="53">
        <f t="shared" si="58"/>
        <v>0</v>
      </c>
      <c r="BB47" s="54"/>
      <c r="BC47" s="284">
        <f t="shared" si="59"/>
        <v>-0.39999999999999991</v>
      </c>
      <c r="BD47" s="52">
        <f t="shared" si="42"/>
        <v>0</v>
      </c>
      <c r="BE47" s="52">
        <f t="shared" si="42"/>
        <v>-0.20000000000000018</v>
      </c>
      <c r="BF47" s="52">
        <f t="shared" si="43"/>
        <v>-0.19999999999999996</v>
      </c>
      <c r="BG47" s="53">
        <f t="shared" si="60"/>
        <v>-0.8</v>
      </c>
      <c r="BH47" s="54"/>
      <c r="BI47" s="284">
        <f t="shared" si="61"/>
        <v>-0.49999999999999978</v>
      </c>
      <c r="BJ47" s="52">
        <f t="shared" si="44"/>
        <v>-0.20000000000000029</v>
      </c>
      <c r="BK47" s="52">
        <f t="shared" si="44"/>
        <v>-9.9999999999999978E-2</v>
      </c>
      <c r="BL47" s="52">
        <f t="shared" si="45"/>
        <v>-0.19999999999999996</v>
      </c>
      <c r="BM47" s="53">
        <f t="shared" si="62"/>
        <v>-1</v>
      </c>
      <c r="BN47" s="54"/>
      <c r="BO47" s="284">
        <f t="shared" si="63"/>
        <v>0.10000000000000009</v>
      </c>
      <c r="BP47" s="52">
        <f t="shared" si="46"/>
        <v>0</v>
      </c>
      <c r="BQ47" s="52">
        <f t="shared" si="46"/>
        <v>-0.30000000000000004</v>
      </c>
      <c r="BR47" s="52">
        <f t="shared" si="47"/>
        <v>0.10000000000000009</v>
      </c>
      <c r="BS47" s="53">
        <f t="shared" si="64"/>
        <v>-9.9999999999999867E-2</v>
      </c>
      <c r="BT47" s="54"/>
      <c r="BU47" s="1221">
        <v>0</v>
      </c>
      <c r="BV47" s="224">
        <v>0</v>
      </c>
      <c r="BW47" s="224">
        <v>0</v>
      </c>
      <c r="BX47" s="224">
        <v>0</v>
      </c>
      <c r="BY47" s="53">
        <f t="shared" si="65"/>
        <v>0</v>
      </c>
      <c r="CA47" s="1221">
        <v>0</v>
      </c>
      <c r="CB47" s="224">
        <v>0</v>
      </c>
      <c r="CC47" s="224">
        <v>0</v>
      </c>
      <c r="CD47" s="224">
        <v>0</v>
      </c>
      <c r="CE47" s="53">
        <f t="shared" si="66"/>
        <v>0</v>
      </c>
      <c r="CG47" s="1221">
        <v>0</v>
      </c>
      <c r="CH47" s="224">
        <v>0</v>
      </c>
      <c r="CI47" s="224">
        <v>0</v>
      </c>
      <c r="CJ47" s="224">
        <v>0</v>
      </c>
      <c r="CK47" s="53">
        <f t="shared" si="67"/>
        <v>0</v>
      </c>
      <c r="CM47" s="1221">
        <v>0</v>
      </c>
      <c r="CN47" s="224">
        <v>0</v>
      </c>
      <c r="CO47" s="224">
        <v>0</v>
      </c>
      <c r="CP47" s="224">
        <v>0</v>
      </c>
      <c r="CQ47" s="53">
        <f t="shared" si="68"/>
        <v>0</v>
      </c>
    </row>
    <row r="48" spans="1:131" ht="11.25" hidden="1" customHeight="1" outlineLevel="1">
      <c r="A48" s="514" t="s">
        <v>288</v>
      </c>
      <c r="B48" s="509"/>
      <c r="C48" s="509"/>
      <c r="D48" s="54"/>
      <c r="E48" s="305"/>
      <c r="F48" s="54"/>
      <c r="G48" s="305">
        <f t="shared" si="29"/>
        <v>4.0759999999999996</v>
      </c>
      <c r="H48" s="54"/>
      <c r="I48" s="305">
        <f t="shared" si="30"/>
        <v>-0.33699999999999974</v>
      </c>
      <c r="J48" s="54"/>
      <c r="K48" s="305">
        <f t="shared" si="31"/>
        <v>-1.0920000000000001</v>
      </c>
      <c r="L48" s="54"/>
      <c r="M48" s="305">
        <f t="shared" si="32"/>
        <v>-0.36499999999999977</v>
      </c>
      <c r="N48" s="54"/>
      <c r="O48" s="305">
        <f t="shared" si="33"/>
        <v>-0.48199999999999998</v>
      </c>
      <c r="P48" s="54"/>
      <c r="Q48" s="305">
        <f t="shared" si="34"/>
        <v>-0.8</v>
      </c>
      <c r="R48" s="54"/>
      <c r="S48" s="284">
        <f t="shared" si="35"/>
        <v>-0.19999999999999996</v>
      </c>
      <c r="T48" s="54">
        <f t="shared" si="48"/>
        <v>-0.20000000000000007</v>
      </c>
      <c r="U48" s="54">
        <f t="shared" si="48"/>
        <v>-9.9999999999999978E-2</v>
      </c>
      <c r="V48" s="54">
        <f t="shared" si="48"/>
        <v>-0.2</v>
      </c>
      <c r="W48" s="53">
        <f t="shared" si="36"/>
        <v>-0.7</v>
      </c>
      <c r="X48" s="54"/>
      <c r="Y48" s="284">
        <f t="shared" si="49"/>
        <v>-0.19999999999999998</v>
      </c>
      <c r="Z48" s="54">
        <f t="shared" si="37"/>
        <v>-0.1</v>
      </c>
      <c r="AA48" s="54">
        <f t="shared" si="37"/>
        <v>0</v>
      </c>
      <c r="AB48" s="54">
        <f t="shared" si="37"/>
        <v>0</v>
      </c>
      <c r="AC48" s="53">
        <f t="shared" si="50"/>
        <v>-0.3</v>
      </c>
      <c r="AD48" s="54"/>
      <c r="AE48" s="284">
        <f t="shared" si="51"/>
        <v>0</v>
      </c>
      <c r="AF48" s="54">
        <f t="shared" si="38"/>
        <v>0</v>
      </c>
      <c r="AG48" s="54">
        <f t="shared" si="38"/>
        <v>0</v>
      </c>
      <c r="AH48" s="54">
        <f t="shared" si="38"/>
        <v>0</v>
      </c>
      <c r="AI48" s="53">
        <f t="shared" si="52"/>
        <v>0</v>
      </c>
      <c r="AJ48" s="54"/>
      <c r="AK48" s="284">
        <f t="shared" si="53"/>
        <v>0</v>
      </c>
      <c r="AL48" s="54">
        <f t="shared" si="39"/>
        <v>0</v>
      </c>
      <c r="AM48" s="54">
        <f t="shared" si="39"/>
        <v>0</v>
      </c>
      <c r="AN48" s="54">
        <f t="shared" si="39"/>
        <v>0</v>
      </c>
      <c r="AO48" s="53">
        <f t="shared" si="54"/>
        <v>0</v>
      </c>
      <c r="AP48" s="54"/>
      <c r="AQ48" s="284">
        <f t="shared" si="55"/>
        <v>0</v>
      </c>
      <c r="AR48" s="52">
        <f t="shared" si="40"/>
        <v>0</v>
      </c>
      <c r="AS48" s="52">
        <f t="shared" si="40"/>
        <v>0</v>
      </c>
      <c r="AT48" s="52">
        <f t="shared" si="40"/>
        <v>0</v>
      </c>
      <c r="AU48" s="53">
        <f t="shared" si="56"/>
        <v>0</v>
      </c>
      <c r="AV48" s="54"/>
      <c r="AW48" s="284">
        <f t="shared" si="57"/>
        <v>0</v>
      </c>
      <c r="AX48" s="52">
        <f t="shared" si="41"/>
        <v>0</v>
      </c>
      <c r="AY48" s="52">
        <f t="shared" si="41"/>
        <v>0</v>
      </c>
      <c r="AZ48" s="52">
        <f t="shared" si="41"/>
        <v>0</v>
      </c>
      <c r="BA48" s="53">
        <f t="shared" si="58"/>
        <v>0</v>
      </c>
      <c r="BB48" s="54"/>
      <c r="BC48" s="284">
        <f t="shared" si="59"/>
        <v>0</v>
      </c>
      <c r="BD48" s="52">
        <f t="shared" si="42"/>
        <v>0</v>
      </c>
      <c r="BE48" s="52">
        <f t="shared" si="42"/>
        <v>0</v>
      </c>
      <c r="BF48" s="52">
        <f t="shared" si="43"/>
        <v>0</v>
      </c>
      <c r="BG48" s="53">
        <f t="shared" si="60"/>
        <v>0</v>
      </c>
      <c r="BH48" s="54"/>
      <c r="BI48" s="284">
        <f t="shared" si="61"/>
        <v>0</v>
      </c>
      <c r="BJ48" s="52">
        <f t="shared" si="44"/>
        <v>0</v>
      </c>
      <c r="BK48" s="52">
        <f t="shared" si="44"/>
        <v>0</v>
      </c>
      <c r="BL48" s="52">
        <f t="shared" si="45"/>
        <v>0</v>
      </c>
      <c r="BM48" s="53">
        <f t="shared" si="62"/>
        <v>0</v>
      </c>
      <c r="BN48" s="54"/>
      <c r="BO48" s="284">
        <f t="shared" si="63"/>
        <v>0</v>
      </c>
      <c r="BP48" s="52">
        <f t="shared" si="46"/>
        <v>0</v>
      </c>
      <c r="BQ48" s="52">
        <f t="shared" si="46"/>
        <v>0</v>
      </c>
      <c r="BR48" s="52">
        <f t="shared" si="47"/>
        <v>0</v>
      </c>
      <c r="BS48" s="53">
        <f t="shared" si="64"/>
        <v>0</v>
      </c>
      <c r="BT48" s="54"/>
      <c r="BU48" s="1221">
        <v>0</v>
      </c>
      <c r="BV48" s="224">
        <v>0</v>
      </c>
      <c r="BW48" s="224">
        <v>0</v>
      </c>
      <c r="BX48" s="224">
        <v>0</v>
      </c>
      <c r="BY48" s="53">
        <f t="shared" si="65"/>
        <v>0</v>
      </c>
      <c r="CA48" s="1221">
        <v>0</v>
      </c>
      <c r="CB48" s="224">
        <v>0</v>
      </c>
      <c r="CC48" s="224">
        <v>0</v>
      </c>
      <c r="CD48" s="224">
        <v>0</v>
      </c>
      <c r="CE48" s="53">
        <f t="shared" si="66"/>
        <v>0</v>
      </c>
      <c r="CG48" s="1221">
        <v>0</v>
      </c>
      <c r="CH48" s="224">
        <v>0</v>
      </c>
      <c r="CI48" s="224">
        <v>0</v>
      </c>
      <c r="CJ48" s="224">
        <v>0</v>
      </c>
      <c r="CK48" s="53">
        <f t="shared" si="67"/>
        <v>0</v>
      </c>
      <c r="CM48" s="1221">
        <v>0</v>
      </c>
      <c r="CN48" s="224">
        <v>0</v>
      </c>
      <c r="CO48" s="224">
        <v>0</v>
      </c>
      <c r="CP48" s="224">
        <v>0</v>
      </c>
      <c r="CQ48" s="53">
        <f t="shared" si="68"/>
        <v>0</v>
      </c>
    </row>
    <row r="49" spans="1:95" ht="11.25" hidden="1" customHeight="1" outlineLevel="1">
      <c r="A49" s="514" t="s">
        <v>289</v>
      </c>
      <c r="B49" s="509"/>
      <c r="C49" s="509"/>
      <c r="D49" s="54"/>
      <c r="E49" s="305"/>
      <c r="F49" s="54"/>
      <c r="G49" s="305">
        <f t="shared" si="29"/>
        <v>0</v>
      </c>
      <c r="H49" s="54"/>
      <c r="I49" s="305">
        <f t="shared" si="30"/>
        <v>0</v>
      </c>
      <c r="J49" s="54"/>
      <c r="K49" s="305">
        <f t="shared" si="31"/>
        <v>0</v>
      </c>
      <c r="L49" s="54"/>
      <c r="M49" s="305">
        <f t="shared" si="32"/>
        <v>0</v>
      </c>
      <c r="N49" s="54"/>
      <c r="O49" s="305">
        <f t="shared" si="33"/>
        <v>2.9</v>
      </c>
      <c r="P49" s="54"/>
      <c r="Q49" s="305">
        <f t="shared" si="34"/>
        <v>-0.69999999999999973</v>
      </c>
      <c r="R49" s="54"/>
      <c r="S49" s="284">
        <f t="shared" si="35"/>
        <v>-0.10000000000000009</v>
      </c>
      <c r="T49" s="54">
        <f t="shared" si="48"/>
        <v>-0.10000000000000009</v>
      </c>
      <c r="U49" s="54">
        <f t="shared" si="48"/>
        <v>0</v>
      </c>
      <c r="V49" s="54">
        <f t="shared" si="48"/>
        <v>-2</v>
      </c>
      <c r="W49" s="53">
        <f t="shared" si="36"/>
        <v>-2.2000000000000002</v>
      </c>
      <c r="X49" s="54"/>
      <c r="Y49" s="284">
        <f t="shared" si="49"/>
        <v>0</v>
      </c>
      <c r="Z49" s="54">
        <f t="shared" si="37"/>
        <v>0</v>
      </c>
      <c r="AA49" s="54">
        <f t="shared" si="37"/>
        <v>0</v>
      </c>
      <c r="AB49" s="54">
        <f t="shared" si="37"/>
        <v>0</v>
      </c>
      <c r="AC49" s="53">
        <f t="shared" si="50"/>
        <v>0</v>
      </c>
      <c r="AD49" s="54"/>
      <c r="AE49" s="284">
        <f t="shared" si="51"/>
        <v>0</v>
      </c>
      <c r="AF49" s="54">
        <f t="shared" si="38"/>
        <v>0</v>
      </c>
      <c r="AG49" s="54">
        <f t="shared" si="38"/>
        <v>0</v>
      </c>
      <c r="AH49" s="54">
        <f t="shared" si="38"/>
        <v>0</v>
      </c>
      <c r="AI49" s="53">
        <f t="shared" si="52"/>
        <v>0</v>
      </c>
      <c r="AJ49" s="54"/>
      <c r="AK49" s="284">
        <f t="shared" si="53"/>
        <v>0</v>
      </c>
      <c r="AL49" s="54">
        <f t="shared" si="39"/>
        <v>0</v>
      </c>
      <c r="AM49" s="54">
        <f t="shared" si="39"/>
        <v>0</v>
      </c>
      <c r="AN49" s="54">
        <f t="shared" si="39"/>
        <v>0</v>
      </c>
      <c r="AO49" s="53">
        <f t="shared" si="54"/>
        <v>0</v>
      </c>
      <c r="AP49" s="54"/>
      <c r="AQ49" s="284">
        <f t="shared" si="55"/>
        <v>0</v>
      </c>
      <c r="AR49" s="52">
        <f t="shared" si="40"/>
        <v>0</v>
      </c>
      <c r="AS49" s="52">
        <f t="shared" si="40"/>
        <v>0</v>
      </c>
      <c r="AT49" s="52">
        <f t="shared" si="40"/>
        <v>0</v>
      </c>
      <c r="AU49" s="53">
        <f t="shared" si="56"/>
        <v>0</v>
      </c>
      <c r="AV49" s="54"/>
      <c r="AW49" s="284">
        <f t="shared" si="57"/>
        <v>0</v>
      </c>
      <c r="AX49" s="52">
        <f t="shared" si="41"/>
        <v>0</v>
      </c>
      <c r="AY49" s="52">
        <f t="shared" si="41"/>
        <v>0</v>
      </c>
      <c r="AZ49" s="52">
        <f t="shared" si="41"/>
        <v>0</v>
      </c>
      <c r="BA49" s="53">
        <f t="shared" si="58"/>
        <v>0</v>
      </c>
      <c r="BB49" s="54"/>
      <c r="BC49" s="284">
        <f t="shared" si="59"/>
        <v>0</v>
      </c>
      <c r="BD49" s="52">
        <f t="shared" si="42"/>
        <v>0</v>
      </c>
      <c r="BE49" s="52">
        <f t="shared" si="42"/>
        <v>0</v>
      </c>
      <c r="BF49" s="52">
        <f t="shared" si="43"/>
        <v>0</v>
      </c>
      <c r="BG49" s="53">
        <f t="shared" si="60"/>
        <v>0</v>
      </c>
      <c r="BH49" s="54"/>
      <c r="BI49" s="284">
        <f t="shared" si="61"/>
        <v>0</v>
      </c>
      <c r="BJ49" s="52">
        <f t="shared" si="44"/>
        <v>0</v>
      </c>
      <c r="BK49" s="52">
        <f t="shared" si="44"/>
        <v>0</v>
      </c>
      <c r="BL49" s="52">
        <f t="shared" si="45"/>
        <v>0</v>
      </c>
      <c r="BM49" s="53">
        <f t="shared" si="62"/>
        <v>0</v>
      </c>
      <c r="BN49" s="54"/>
      <c r="BO49" s="284">
        <f t="shared" si="63"/>
        <v>0</v>
      </c>
      <c r="BP49" s="52">
        <f t="shared" si="46"/>
        <v>0</v>
      </c>
      <c r="BQ49" s="52">
        <f t="shared" si="46"/>
        <v>0</v>
      </c>
      <c r="BR49" s="52">
        <f t="shared" si="47"/>
        <v>0</v>
      </c>
      <c r="BS49" s="53">
        <f t="shared" si="64"/>
        <v>0</v>
      </c>
      <c r="BT49" s="54"/>
      <c r="BU49" s="1221">
        <v>0</v>
      </c>
      <c r="BV49" s="224">
        <v>0</v>
      </c>
      <c r="BW49" s="224">
        <v>0</v>
      </c>
      <c r="BX49" s="224">
        <v>0</v>
      </c>
      <c r="BY49" s="53">
        <f t="shared" si="65"/>
        <v>0</v>
      </c>
      <c r="CA49" s="1221">
        <v>0</v>
      </c>
      <c r="CB49" s="224">
        <v>0</v>
      </c>
      <c r="CC49" s="224">
        <v>0</v>
      </c>
      <c r="CD49" s="224">
        <v>0</v>
      </c>
      <c r="CE49" s="53">
        <f t="shared" si="66"/>
        <v>0</v>
      </c>
      <c r="CG49" s="1221">
        <v>0</v>
      </c>
      <c r="CH49" s="224">
        <v>0</v>
      </c>
      <c r="CI49" s="224">
        <v>0</v>
      </c>
      <c r="CJ49" s="224">
        <v>0</v>
      </c>
      <c r="CK49" s="53">
        <f t="shared" si="67"/>
        <v>0</v>
      </c>
      <c r="CM49" s="1221">
        <v>0</v>
      </c>
      <c r="CN49" s="224">
        <v>0</v>
      </c>
      <c r="CO49" s="224">
        <v>0</v>
      </c>
      <c r="CP49" s="224">
        <v>0</v>
      </c>
      <c r="CQ49" s="53">
        <f t="shared" si="68"/>
        <v>0</v>
      </c>
    </row>
    <row r="50" spans="1:95" ht="11.25" hidden="1" customHeight="1" outlineLevel="1">
      <c r="A50" s="514" t="s">
        <v>290</v>
      </c>
      <c r="B50" s="509"/>
      <c r="C50" s="509"/>
      <c r="D50" s="54"/>
      <c r="E50" s="305"/>
      <c r="F50" s="54"/>
      <c r="G50" s="305">
        <f t="shared" si="29"/>
        <v>0</v>
      </c>
      <c r="H50" s="54"/>
      <c r="I50" s="305">
        <f t="shared" si="30"/>
        <v>0</v>
      </c>
      <c r="J50" s="54"/>
      <c r="K50" s="305">
        <f t="shared" si="31"/>
        <v>0.28499999999999998</v>
      </c>
      <c r="L50" s="54"/>
      <c r="M50" s="305">
        <f t="shared" si="32"/>
        <v>1.4000000000000012E-2</v>
      </c>
      <c r="N50" s="54"/>
      <c r="O50" s="305">
        <f t="shared" si="33"/>
        <v>1.0000000000000009E-3</v>
      </c>
      <c r="P50" s="54"/>
      <c r="Q50" s="305">
        <f t="shared" si="34"/>
        <v>0</v>
      </c>
      <c r="R50" s="54"/>
      <c r="S50" s="284">
        <f t="shared" si="35"/>
        <v>0</v>
      </c>
      <c r="T50" s="54">
        <f t="shared" si="48"/>
        <v>0</v>
      </c>
      <c r="U50" s="54">
        <f t="shared" si="48"/>
        <v>-0.3</v>
      </c>
      <c r="V50" s="54">
        <f t="shared" si="48"/>
        <v>0</v>
      </c>
      <c r="W50" s="53">
        <f t="shared" si="36"/>
        <v>-0.3</v>
      </c>
      <c r="X50" s="54"/>
      <c r="Y50" s="284">
        <f t="shared" si="49"/>
        <v>0</v>
      </c>
      <c r="Z50" s="54">
        <f t="shared" si="37"/>
        <v>0</v>
      </c>
      <c r="AA50" s="54">
        <f t="shared" si="37"/>
        <v>0</v>
      </c>
      <c r="AB50" s="54">
        <f t="shared" si="37"/>
        <v>0</v>
      </c>
      <c r="AC50" s="53">
        <f t="shared" si="50"/>
        <v>0</v>
      </c>
      <c r="AD50" s="54"/>
      <c r="AE50" s="284">
        <f t="shared" si="51"/>
        <v>0</v>
      </c>
      <c r="AF50" s="54">
        <f t="shared" si="38"/>
        <v>0</v>
      </c>
      <c r="AG50" s="54">
        <f t="shared" si="38"/>
        <v>0</v>
      </c>
      <c r="AH50" s="54">
        <f t="shared" si="38"/>
        <v>0</v>
      </c>
      <c r="AI50" s="53">
        <f t="shared" si="52"/>
        <v>0</v>
      </c>
      <c r="AJ50" s="54"/>
      <c r="AK50" s="284">
        <f t="shared" si="53"/>
        <v>0</v>
      </c>
      <c r="AL50" s="54">
        <f t="shared" si="39"/>
        <v>0</v>
      </c>
      <c r="AM50" s="54">
        <f t="shared" si="39"/>
        <v>0</v>
      </c>
      <c r="AN50" s="54">
        <f t="shared" si="39"/>
        <v>0</v>
      </c>
      <c r="AO50" s="53">
        <f t="shared" si="54"/>
        <v>0</v>
      </c>
      <c r="AP50" s="54"/>
      <c r="AQ50" s="284">
        <f t="shared" si="55"/>
        <v>0</v>
      </c>
      <c r="AR50" s="52">
        <f t="shared" si="40"/>
        <v>0</v>
      </c>
      <c r="AS50" s="52">
        <f t="shared" si="40"/>
        <v>0</v>
      </c>
      <c r="AT50" s="52">
        <f t="shared" si="40"/>
        <v>0</v>
      </c>
      <c r="AU50" s="53">
        <f t="shared" si="56"/>
        <v>0</v>
      </c>
      <c r="AV50" s="54"/>
      <c r="AW50" s="284">
        <f t="shared" si="57"/>
        <v>0</v>
      </c>
      <c r="AX50" s="52">
        <f t="shared" si="41"/>
        <v>0</v>
      </c>
      <c r="AY50" s="52">
        <f t="shared" si="41"/>
        <v>0</v>
      </c>
      <c r="AZ50" s="52">
        <f t="shared" si="41"/>
        <v>0</v>
      </c>
      <c r="BA50" s="53">
        <f t="shared" si="58"/>
        <v>0</v>
      </c>
      <c r="BB50" s="54"/>
      <c r="BC50" s="284">
        <f t="shared" si="59"/>
        <v>0</v>
      </c>
      <c r="BD50" s="52">
        <f t="shared" si="42"/>
        <v>0</v>
      </c>
      <c r="BE50" s="52">
        <f t="shared" si="42"/>
        <v>0</v>
      </c>
      <c r="BF50" s="52">
        <f t="shared" si="43"/>
        <v>0</v>
      </c>
      <c r="BG50" s="53">
        <f t="shared" si="60"/>
        <v>0</v>
      </c>
      <c r="BH50" s="54"/>
      <c r="BI50" s="284">
        <f t="shared" si="61"/>
        <v>0</v>
      </c>
      <c r="BJ50" s="52">
        <f t="shared" si="44"/>
        <v>0</v>
      </c>
      <c r="BK50" s="52">
        <f t="shared" si="44"/>
        <v>0</v>
      </c>
      <c r="BL50" s="52">
        <f t="shared" si="45"/>
        <v>0</v>
      </c>
      <c r="BM50" s="53">
        <f t="shared" si="62"/>
        <v>0</v>
      </c>
      <c r="BN50" s="54"/>
      <c r="BO50" s="284">
        <f t="shared" si="63"/>
        <v>0</v>
      </c>
      <c r="BP50" s="52">
        <f t="shared" si="46"/>
        <v>0</v>
      </c>
      <c r="BQ50" s="52">
        <f t="shared" si="46"/>
        <v>0</v>
      </c>
      <c r="BR50" s="52">
        <f t="shared" si="47"/>
        <v>0</v>
      </c>
      <c r="BS50" s="53">
        <f t="shared" si="64"/>
        <v>0</v>
      </c>
      <c r="BT50" s="54"/>
      <c r="BU50" s="1221">
        <v>0</v>
      </c>
      <c r="BV50" s="224">
        <v>0</v>
      </c>
      <c r="BW50" s="224">
        <v>0</v>
      </c>
      <c r="BX50" s="224">
        <v>0</v>
      </c>
      <c r="BY50" s="53">
        <f t="shared" si="65"/>
        <v>0</v>
      </c>
      <c r="CA50" s="1221">
        <v>0</v>
      </c>
      <c r="CB50" s="224">
        <v>0</v>
      </c>
      <c r="CC50" s="224">
        <v>0</v>
      </c>
      <c r="CD50" s="224">
        <v>0</v>
      </c>
      <c r="CE50" s="53">
        <f t="shared" si="66"/>
        <v>0</v>
      </c>
      <c r="CG50" s="1221">
        <v>0</v>
      </c>
      <c r="CH50" s="224">
        <v>0</v>
      </c>
      <c r="CI50" s="224">
        <v>0</v>
      </c>
      <c r="CJ50" s="224">
        <v>0</v>
      </c>
      <c r="CK50" s="53">
        <f t="shared" si="67"/>
        <v>0</v>
      </c>
      <c r="CM50" s="1221">
        <v>0</v>
      </c>
      <c r="CN50" s="224">
        <v>0</v>
      </c>
      <c r="CO50" s="224">
        <v>0</v>
      </c>
      <c r="CP50" s="224">
        <v>0</v>
      </c>
      <c r="CQ50" s="53">
        <f t="shared" si="68"/>
        <v>0</v>
      </c>
    </row>
    <row r="51" spans="1:95" ht="11.25" hidden="1" customHeight="1" outlineLevel="1">
      <c r="A51" s="514" t="s">
        <v>291</v>
      </c>
      <c r="B51" s="509"/>
      <c r="C51" s="509"/>
      <c r="D51" s="54"/>
      <c r="E51" s="305"/>
      <c r="F51" s="54"/>
      <c r="G51" s="305">
        <f t="shared" si="29"/>
        <v>0</v>
      </c>
      <c r="H51" s="54"/>
      <c r="I51" s="305">
        <f t="shared" si="30"/>
        <v>0</v>
      </c>
      <c r="J51" s="54"/>
      <c r="K51" s="305">
        <f t="shared" si="31"/>
        <v>0</v>
      </c>
      <c r="L51" s="54"/>
      <c r="M51" s="305">
        <f t="shared" si="32"/>
        <v>0</v>
      </c>
      <c r="N51" s="54"/>
      <c r="O51" s="305">
        <f t="shared" si="33"/>
        <v>0</v>
      </c>
      <c r="P51" s="54"/>
      <c r="Q51" s="305">
        <f t="shared" si="34"/>
        <v>10.7</v>
      </c>
      <c r="R51" s="54"/>
      <c r="S51" s="284">
        <f t="shared" si="35"/>
        <v>-0.59999999999999964</v>
      </c>
      <c r="T51" s="54">
        <f t="shared" si="48"/>
        <v>-8.9</v>
      </c>
      <c r="U51" s="54">
        <f t="shared" si="48"/>
        <v>-1.2</v>
      </c>
      <c r="V51" s="54">
        <f t="shared" si="48"/>
        <v>0</v>
      </c>
      <c r="W51" s="53">
        <f t="shared" si="36"/>
        <v>-10.7</v>
      </c>
      <c r="X51" s="54"/>
      <c r="Y51" s="284">
        <f t="shared" si="49"/>
        <v>0</v>
      </c>
      <c r="Z51" s="54">
        <f t="shared" si="37"/>
        <v>0</v>
      </c>
      <c r="AA51" s="54">
        <f t="shared" si="37"/>
        <v>0</v>
      </c>
      <c r="AB51" s="54">
        <f t="shared" si="37"/>
        <v>0</v>
      </c>
      <c r="AC51" s="53">
        <f t="shared" si="50"/>
        <v>0</v>
      </c>
      <c r="AD51" s="54"/>
      <c r="AE51" s="284">
        <f t="shared" si="51"/>
        <v>0</v>
      </c>
      <c r="AF51" s="54">
        <f t="shared" si="38"/>
        <v>0</v>
      </c>
      <c r="AG51" s="54">
        <f t="shared" si="38"/>
        <v>0</v>
      </c>
      <c r="AH51" s="54">
        <f t="shared" si="38"/>
        <v>0</v>
      </c>
      <c r="AI51" s="53">
        <f t="shared" si="52"/>
        <v>0</v>
      </c>
      <c r="AJ51" s="54"/>
      <c r="AK51" s="284">
        <f t="shared" si="53"/>
        <v>0</v>
      </c>
      <c r="AL51" s="54">
        <f t="shared" si="39"/>
        <v>0</v>
      </c>
      <c r="AM51" s="54">
        <f t="shared" si="39"/>
        <v>0</v>
      </c>
      <c r="AN51" s="54">
        <f t="shared" si="39"/>
        <v>0</v>
      </c>
      <c r="AO51" s="53">
        <f t="shared" si="54"/>
        <v>0</v>
      </c>
      <c r="AP51" s="54"/>
      <c r="AQ51" s="284">
        <f t="shared" si="55"/>
        <v>0</v>
      </c>
      <c r="AR51" s="52">
        <f t="shared" si="40"/>
        <v>0</v>
      </c>
      <c r="AS51" s="52">
        <f t="shared" si="40"/>
        <v>0</v>
      </c>
      <c r="AT51" s="52">
        <f t="shared" si="40"/>
        <v>0</v>
      </c>
      <c r="AU51" s="53">
        <f t="shared" si="56"/>
        <v>0</v>
      </c>
      <c r="AV51" s="54"/>
      <c r="AW51" s="284">
        <f t="shared" si="57"/>
        <v>0</v>
      </c>
      <c r="AX51" s="52">
        <f t="shared" si="41"/>
        <v>0</v>
      </c>
      <c r="AY51" s="52">
        <f t="shared" si="41"/>
        <v>0</v>
      </c>
      <c r="AZ51" s="52">
        <f t="shared" si="41"/>
        <v>0</v>
      </c>
      <c r="BA51" s="53">
        <f t="shared" si="58"/>
        <v>0</v>
      </c>
      <c r="BB51" s="54"/>
      <c r="BC51" s="284">
        <f t="shared" si="59"/>
        <v>0</v>
      </c>
      <c r="BD51" s="52">
        <f t="shared" si="42"/>
        <v>0</v>
      </c>
      <c r="BE51" s="52">
        <f t="shared" si="42"/>
        <v>0</v>
      </c>
      <c r="BF51" s="52">
        <f t="shared" si="43"/>
        <v>0</v>
      </c>
      <c r="BG51" s="53">
        <f t="shared" si="60"/>
        <v>0</v>
      </c>
      <c r="BH51" s="54"/>
      <c r="BI51" s="284">
        <f t="shared" si="61"/>
        <v>0</v>
      </c>
      <c r="BJ51" s="52">
        <f t="shared" si="44"/>
        <v>0</v>
      </c>
      <c r="BK51" s="52">
        <f t="shared" si="44"/>
        <v>0</v>
      </c>
      <c r="BL51" s="52">
        <f t="shared" si="45"/>
        <v>0</v>
      </c>
      <c r="BM51" s="53">
        <f t="shared" si="62"/>
        <v>0</v>
      </c>
      <c r="BN51" s="54"/>
      <c r="BO51" s="284">
        <f t="shared" si="63"/>
        <v>0</v>
      </c>
      <c r="BP51" s="52">
        <f t="shared" si="46"/>
        <v>0</v>
      </c>
      <c r="BQ51" s="52">
        <f t="shared" si="46"/>
        <v>0</v>
      </c>
      <c r="BR51" s="52">
        <f t="shared" si="47"/>
        <v>0</v>
      </c>
      <c r="BS51" s="53">
        <f t="shared" si="64"/>
        <v>0</v>
      </c>
      <c r="BT51" s="54"/>
      <c r="BU51" s="1221">
        <v>0</v>
      </c>
      <c r="BV51" s="224">
        <v>0</v>
      </c>
      <c r="BW51" s="224">
        <v>0</v>
      </c>
      <c r="BX51" s="224">
        <v>0</v>
      </c>
      <c r="BY51" s="53">
        <f t="shared" si="65"/>
        <v>0</v>
      </c>
      <c r="CA51" s="1221">
        <v>0</v>
      </c>
      <c r="CB51" s="224">
        <v>0</v>
      </c>
      <c r="CC51" s="224">
        <v>0</v>
      </c>
      <c r="CD51" s="224">
        <v>0</v>
      </c>
      <c r="CE51" s="53">
        <f t="shared" si="66"/>
        <v>0</v>
      </c>
      <c r="CG51" s="1221">
        <v>0</v>
      </c>
      <c r="CH51" s="224">
        <v>0</v>
      </c>
      <c r="CI51" s="224">
        <v>0</v>
      </c>
      <c r="CJ51" s="224">
        <v>0</v>
      </c>
      <c r="CK51" s="53">
        <f t="shared" si="67"/>
        <v>0</v>
      </c>
      <c r="CM51" s="1221">
        <v>0</v>
      </c>
      <c r="CN51" s="224">
        <v>0</v>
      </c>
      <c r="CO51" s="224">
        <v>0</v>
      </c>
      <c r="CP51" s="224">
        <v>0</v>
      </c>
      <c r="CQ51" s="53">
        <f t="shared" si="68"/>
        <v>0</v>
      </c>
    </row>
    <row r="52" spans="1:95" ht="11.25" hidden="1" customHeight="1" outlineLevel="1">
      <c r="A52" s="514" t="s">
        <v>292</v>
      </c>
      <c r="B52" s="509"/>
      <c r="C52" s="509"/>
      <c r="D52" s="54"/>
      <c r="E52" s="305"/>
      <c r="F52" s="54"/>
      <c r="G52" s="305">
        <f t="shared" si="29"/>
        <v>0</v>
      </c>
      <c r="H52" s="54"/>
      <c r="I52" s="305">
        <f t="shared" si="30"/>
        <v>0</v>
      </c>
      <c r="J52" s="54"/>
      <c r="K52" s="305">
        <f t="shared" si="31"/>
        <v>0</v>
      </c>
      <c r="L52" s="54"/>
      <c r="M52" s="305">
        <f t="shared" si="32"/>
        <v>0</v>
      </c>
      <c r="N52" s="54"/>
      <c r="O52" s="305">
        <f t="shared" si="33"/>
        <v>1.8</v>
      </c>
      <c r="P52" s="54"/>
      <c r="Q52" s="305">
        <f t="shared" si="34"/>
        <v>-0.19999999999999996</v>
      </c>
      <c r="R52" s="54"/>
      <c r="S52" s="284">
        <f t="shared" si="35"/>
        <v>-0.20000000000000018</v>
      </c>
      <c r="T52" s="54">
        <f t="shared" si="48"/>
        <v>-1.4</v>
      </c>
      <c r="U52" s="54">
        <f t="shared" si="48"/>
        <v>0</v>
      </c>
      <c r="V52" s="54">
        <f t="shared" si="48"/>
        <v>0</v>
      </c>
      <c r="W52" s="53">
        <f t="shared" si="36"/>
        <v>-1.6</v>
      </c>
      <c r="X52" s="54"/>
      <c r="Y52" s="284">
        <f t="shared" si="49"/>
        <v>0</v>
      </c>
      <c r="Z52" s="54">
        <f t="shared" si="37"/>
        <v>0</v>
      </c>
      <c r="AA52" s="54">
        <f t="shared" si="37"/>
        <v>0</v>
      </c>
      <c r="AB52" s="54">
        <f t="shared" si="37"/>
        <v>0</v>
      </c>
      <c r="AC52" s="53">
        <f t="shared" si="50"/>
        <v>0</v>
      </c>
      <c r="AD52" s="54"/>
      <c r="AE52" s="284">
        <f t="shared" si="51"/>
        <v>0</v>
      </c>
      <c r="AF52" s="54">
        <f t="shared" si="38"/>
        <v>0</v>
      </c>
      <c r="AG52" s="54">
        <f t="shared" si="38"/>
        <v>0</v>
      </c>
      <c r="AH52" s="54">
        <f t="shared" si="38"/>
        <v>0</v>
      </c>
      <c r="AI52" s="53">
        <f t="shared" si="52"/>
        <v>0</v>
      </c>
      <c r="AJ52" s="54"/>
      <c r="AK52" s="284">
        <f t="shared" si="53"/>
        <v>0</v>
      </c>
      <c r="AL52" s="54">
        <f t="shared" si="39"/>
        <v>0</v>
      </c>
      <c r="AM52" s="54">
        <f t="shared" si="39"/>
        <v>0</v>
      </c>
      <c r="AN52" s="54">
        <f t="shared" si="39"/>
        <v>0</v>
      </c>
      <c r="AO52" s="53">
        <f t="shared" si="54"/>
        <v>0</v>
      </c>
      <c r="AP52" s="54"/>
      <c r="AQ52" s="284">
        <f t="shared" si="55"/>
        <v>0</v>
      </c>
      <c r="AR52" s="52">
        <f t="shared" si="40"/>
        <v>0</v>
      </c>
      <c r="AS52" s="52">
        <f t="shared" si="40"/>
        <v>0</v>
      </c>
      <c r="AT52" s="52">
        <f t="shared" si="40"/>
        <v>0</v>
      </c>
      <c r="AU52" s="53">
        <f t="shared" si="56"/>
        <v>0</v>
      </c>
      <c r="AV52" s="54"/>
      <c r="AW52" s="284">
        <f t="shared" si="57"/>
        <v>0</v>
      </c>
      <c r="AX52" s="52">
        <f t="shared" si="41"/>
        <v>0</v>
      </c>
      <c r="AY52" s="52">
        <f t="shared" si="41"/>
        <v>0</v>
      </c>
      <c r="AZ52" s="52">
        <f t="shared" si="41"/>
        <v>0</v>
      </c>
      <c r="BA52" s="53">
        <f t="shared" si="58"/>
        <v>0</v>
      </c>
      <c r="BB52" s="54"/>
      <c r="BC52" s="284">
        <f t="shared" si="59"/>
        <v>0</v>
      </c>
      <c r="BD52" s="52">
        <f t="shared" si="42"/>
        <v>0</v>
      </c>
      <c r="BE52" s="52">
        <f t="shared" si="42"/>
        <v>0</v>
      </c>
      <c r="BF52" s="52">
        <f t="shared" si="43"/>
        <v>0</v>
      </c>
      <c r="BG52" s="53">
        <f t="shared" si="60"/>
        <v>0</v>
      </c>
      <c r="BH52" s="54"/>
      <c r="BI52" s="284">
        <f t="shared" si="61"/>
        <v>0</v>
      </c>
      <c r="BJ52" s="52">
        <f t="shared" si="44"/>
        <v>0</v>
      </c>
      <c r="BK52" s="52">
        <f t="shared" si="44"/>
        <v>0</v>
      </c>
      <c r="BL52" s="52">
        <f t="shared" si="45"/>
        <v>0</v>
      </c>
      <c r="BM52" s="53">
        <f t="shared" si="62"/>
        <v>0</v>
      </c>
      <c r="BN52" s="54"/>
      <c r="BO52" s="284">
        <f t="shared" si="63"/>
        <v>0</v>
      </c>
      <c r="BP52" s="52">
        <f t="shared" si="46"/>
        <v>0</v>
      </c>
      <c r="BQ52" s="52">
        <f t="shared" si="46"/>
        <v>0</v>
      </c>
      <c r="BR52" s="52">
        <f t="shared" si="47"/>
        <v>0</v>
      </c>
      <c r="BS52" s="53">
        <f t="shared" si="64"/>
        <v>0</v>
      </c>
      <c r="BT52" s="54"/>
      <c r="BU52" s="1221">
        <v>0</v>
      </c>
      <c r="BV52" s="224">
        <v>0</v>
      </c>
      <c r="BW52" s="224">
        <v>0</v>
      </c>
      <c r="BX52" s="224">
        <v>0</v>
      </c>
      <c r="BY52" s="53">
        <f t="shared" si="65"/>
        <v>0</v>
      </c>
      <c r="CA52" s="1221">
        <v>0</v>
      </c>
      <c r="CB52" s="224">
        <v>0</v>
      </c>
      <c r="CC52" s="224">
        <v>0</v>
      </c>
      <c r="CD52" s="224">
        <v>0</v>
      </c>
      <c r="CE52" s="53">
        <f t="shared" si="66"/>
        <v>0</v>
      </c>
      <c r="CG52" s="1221">
        <v>0</v>
      </c>
      <c r="CH52" s="224">
        <v>0</v>
      </c>
      <c r="CI52" s="224">
        <v>0</v>
      </c>
      <c r="CJ52" s="224">
        <v>0</v>
      </c>
      <c r="CK52" s="53">
        <f t="shared" si="67"/>
        <v>0</v>
      </c>
      <c r="CM52" s="1221">
        <v>0</v>
      </c>
      <c r="CN52" s="224">
        <v>0</v>
      </c>
      <c r="CO52" s="224">
        <v>0</v>
      </c>
      <c r="CP52" s="224">
        <v>0</v>
      </c>
      <c r="CQ52" s="53">
        <f t="shared" si="68"/>
        <v>0</v>
      </c>
    </row>
    <row r="53" spans="1:95" ht="11.25" hidden="1" customHeight="1" outlineLevel="1">
      <c r="A53" s="514" t="s">
        <v>293</v>
      </c>
      <c r="B53" s="509"/>
      <c r="C53" s="509"/>
      <c r="D53" s="54"/>
      <c r="E53" s="305"/>
      <c r="F53" s="54"/>
      <c r="G53" s="305">
        <f t="shared" si="29"/>
        <v>0</v>
      </c>
      <c r="H53" s="54"/>
      <c r="I53" s="305">
        <f t="shared" si="30"/>
        <v>0</v>
      </c>
      <c r="J53" s="54"/>
      <c r="K53" s="305">
        <f t="shared" si="31"/>
        <v>0</v>
      </c>
      <c r="L53" s="54"/>
      <c r="M53" s="305">
        <f t="shared" si="32"/>
        <v>2.2679999999999998</v>
      </c>
      <c r="N53" s="54"/>
      <c r="O53" s="305">
        <f t="shared" si="33"/>
        <v>0.73200000000000021</v>
      </c>
      <c r="P53" s="54"/>
      <c r="Q53" s="305">
        <f t="shared" si="34"/>
        <v>-3</v>
      </c>
      <c r="R53" s="54"/>
      <c r="S53" s="284">
        <f t="shared" si="35"/>
        <v>0</v>
      </c>
      <c r="T53" s="54">
        <f t="shared" si="48"/>
        <v>0</v>
      </c>
      <c r="U53" s="54">
        <f t="shared" si="48"/>
        <v>0</v>
      </c>
      <c r="V53" s="54">
        <f t="shared" si="48"/>
        <v>0</v>
      </c>
      <c r="W53" s="53">
        <f t="shared" si="36"/>
        <v>0</v>
      </c>
      <c r="X53" s="54"/>
      <c r="Y53" s="284">
        <f t="shared" si="49"/>
        <v>0</v>
      </c>
      <c r="Z53" s="54">
        <f t="shared" si="37"/>
        <v>0</v>
      </c>
      <c r="AA53" s="54">
        <f t="shared" si="37"/>
        <v>0</v>
      </c>
      <c r="AB53" s="54">
        <f t="shared" si="37"/>
        <v>0</v>
      </c>
      <c r="AC53" s="53">
        <f t="shared" si="50"/>
        <v>0</v>
      </c>
      <c r="AD53" s="54"/>
      <c r="AE53" s="284">
        <f t="shared" si="51"/>
        <v>0</v>
      </c>
      <c r="AF53" s="54">
        <f t="shared" si="38"/>
        <v>0</v>
      </c>
      <c r="AG53" s="54">
        <f t="shared" si="38"/>
        <v>0</v>
      </c>
      <c r="AH53" s="54">
        <f t="shared" si="38"/>
        <v>0</v>
      </c>
      <c r="AI53" s="53">
        <f t="shared" si="52"/>
        <v>0</v>
      </c>
      <c r="AJ53" s="54"/>
      <c r="AK53" s="284">
        <f t="shared" si="53"/>
        <v>0</v>
      </c>
      <c r="AL53" s="54">
        <f t="shared" si="39"/>
        <v>0</v>
      </c>
      <c r="AM53" s="54">
        <f t="shared" si="39"/>
        <v>0</v>
      </c>
      <c r="AN53" s="54">
        <f t="shared" si="39"/>
        <v>0</v>
      </c>
      <c r="AO53" s="53">
        <f t="shared" si="54"/>
        <v>0</v>
      </c>
      <c r="AP53" s="54"/>
      <c r="AQ53" s="284">
        <f t="shared" si="55"/>
        <v>0</v>
      </c>
      <c r="AR53" s="52">
        <f t="shared" si="40"/>
        <v>0</v>
      </c>
      <c r="AS53" s="52">
        <f t="shared" si="40"/>
        <v>0</v>
      </c>
      <c r="AT53" s="52">
        <f t="shared" si="40"/>
        <v>0</v>
      </c>
      <c r="AU53" s="53">
        <f t="shared" si="56"/>
        <v>0</v>
      </c>
      <c r="AV53" s="54"/>
      <c r="AW53" s="284">
        <f t="shared" si="57"/>
        <v>0</v>
      </c>
      <c r="AX53" s="52">
        <f t="shared" si="41"/>
        <v>0</v>
      </c>
      <c r="AY53" s="52">
        <f t="shared" si="41"/>
        <v>0</v>
      </c>
      <c r="AZ53" s="52">
        <f t="shared" si="41"/>
        <v>0</v>
      </c>
      <c r="BA53" s="53">
        <f t="shared" si="58"/>
        <v>0</v>
      </c>
      <c r="BB53" s="54"/>
      <c r="BC53" s="284">
        <f t="shared" si="59"/>
        <v>0</v>
      </c>
      <c r="BD53" s="52">
        <f t="shared" si="42"/>
        <v>0</v>
      </c>
      <c r="BE53" s="52">
        <f t="shared" si="42"/>
        <v>0</v>
      </c>
      <c r="BF53" s="52">
        <f t="shared" si="43"/>
        <v>0</v>
      </c>
      <c r="BG53" s="53">
        <f t="shared" si="60"/>
        <v>0</v>
      </c>
      <c r="BH53" s="54"/>
      <c r="BI53" s="284">
        <f t="shared" si="61"/>
        <v>0</v>
      </c>
      <c r="BJ53" s="52">
        <f t="shared" si="44"/>
        <v>0</v>
      </c>
      <c r="BK53" s="52">
        <f t="shared" si="44"/>
        <v>0</v>
      </c>
      <c r="BL53" s="52">
        <f t="shared" si="45"/>
        <v>0</v>
      </c>
      <c r="BM53" s="53">
        <f t="shared" si="62"/>
        <v>0</v>
      </c>
      <c r="BN53" s="54"/>
      <c r="BO53" s="284">
        <f t="shared" si="63"/>
        <v>0</v>
      </c>
      <c r="BP53" s="52">
        <f t="shared" si="46"/>
        <v>0</v>
      </c>
      <c r="BQ53" s="52">
        <f t="shared" si="46"/>
        <v>0</v>
      </c>
      <c r="BR53" s="52">
        <f t="shared" si="47"/>
        <v>0</v>
      </c>
      <c r="BS53" s="53">
        <f t="shared" si="64"/>
        <v>0</v>
      </c>
      <c r="BT53" s="54"/>
      <c r="BU53" s="1221">
        <v>0</v>
      </c>
      <c r="BV53" s="224">
        <v>0</v>
      </c>
      <c r="BW53" s="224">
        <v>0</v>
      </c>
      <c r="BX53" s="224">
        <v>0</v>
      </c>
      <c r="BY53" s="53">
        <f t="shared" si="65"/>
        <v>0</v>
      </c>
      <c r="CA53" s="1221">
        <v>0</v>
      </c>
      <c r="CB53" s="224">
        <v>0</v>
      </c>
      <c r="CC53" s="224">
        <v>0</v>
      </c>
      <c r="CD53" s="224">
        <v>0</v>
      </c>
      <c r="CE53" s="53">
        <f t="shared" si="66"/>
        <v>0</v>
      </c>
      <c r="CG53" s="1221">
        <v>0</v>
      </c>
      <c r="CH53" s="224">
        <v>0</v>
      </c>
      <c r="CI53" s="224">
        <v>0</v>
      </c>
      <c r="CJ53" s="224">
        <v>0</v>
      </c>
      <c r="CK53" s="53">
        <f t="shared" si="67"/>
        <v>0</v>
      </c>
      <c r="CM53" s="1221">
        <v>0</v>
      </c>
      <c r="CN53" s="224">
        <v>0</v>
      </c>
      <c r="CO53" s="224">
        <v>0</v>
      </c>
      <c r="CP53" s="224">
        <v>0</v>
      </c>
      <c r="CQ53" s="53">
        <f t="shared" si="68"/>
        <v>0</v>
      </c>
    </row>
    <row r="54" spans="1:95" ht="11.25" hidden="1" customHeight="1" outlineLevel="1">
      <c r="A54" s="514" t="s">
        <v>294</v>
      </c>
      <c r="B54" s="509"/>
      <c r="C54" s="509"/>
      <c r="D54" s="54"/>
      <c r="E54" s="305"/>
      <c r="F54" s="54"/>
      <c r="G54" s="305">
        <f t="shared" si="29"/>
        <v>1.5879999999999992</v>
      </c>
      <c r="H54" s="54"/>
      <c r="I54" s="305">
        <f t="shared" si="30"/>
        <v>0.8360000000000003</v>
      </c>
      <c r="J54" s="54"/>
      <c r="K54" s="305">
        <f t="shared" si="31"/>
        <v>-1.109</v>
      </c>
      <c r="L54" s="54"/>
      <c r="M54" s="305">
        <f t="shared" si="32"/>
        <v>0.76200000000000045</v>
      </c>
      <c r="N54" s="54"/>
      <c r="O54" s="305">
        <f t="shared" si="33"/>
        <v>1.0849999999999991</v>
      </c>
      <c r="P54" s="54"/>
      <c r="Q54" s="305">
        <f t="shared" si="34"/>
        <v>-11.2</v>
      </c>
      <c r="R54" s="54"/>
      <c r="S54" s="284">
        <f t="shared" si="35"/>
        <v>0</v>
      </c>
      <c r="T54" s="54">
        <f t="shared" si="48"/>
        <v>0</v>
      </c>
      <c r="U54" s="54">
        <f t="shared" si="48"/>
        <v>0</v>
      </c>
      <c r="V54" s="54">
        <f t="shared" si="48"/>
        <v>0</v>
      </c>
      <c r="W54" s="53">
        <f t="shared" si="36"/>
        <v>0</v>
      </c>
      <c r="X54" s="54"/>
      <c r="Y54" s="284">
        <f t="shared" si="49"/>
        <v>0</v>
      </c>
      <c r="Z54" s="54">
        <f t="shared" si="37"/>
        <v>0</v>
      </c>
      <c r="AA54" s="54">
        <f t="shared" si="37"/>
        <v>0</v>
      </c>
      <c r="AB54" s="54">
        <f t="shared" si="37"/>
        <v>0</v>
      </c>
      <c r="AC54" s="53">
        <f t="shared" si="50"/>
        <v>0</v>
      </c>
      <c r="AD54" s="54"/>
      <c r="AE54" s="284">
        <f t="shared" si="51"/>
        <v>0</v>
      </c>
      <c r="AF54" s="54">
        <f t="shared" si="38"/>
        <v>0</v>
      </c>
      <c r="AG54" s="54">
        <f t="shared" si="38"/>
        <v>0</v>
      </c>
      <c r="AH54" s="54">
        <f t="shared" si="38"/>
        <v>0</v>
      </c>
      <c r="AI54" s="53">
        <f t="shared" si="52"/>
        <v>0</v>
      </c>
      <c r="AJ54" s="54"/>
      <c r="AK54" s="284">
        <f t="shared" si="53"/>
        <v>0</v>
      </c>
      <c r="AL54" s="54">
        <f t="shared" si="39"/>
        <v>0</v>
      </c>
      <c r="AM54" s="54">
        <f t="shared" si="39"/>
        <v>0</v>
      </c>
      <c r="AN54" s="54">
        <f t="shared" si="39"/>
        <v>0</v>
      </c>
      <c r="AO54" s="53">
        <f t="shared" si="54"/>
        <v>0</v>
      </c>
      <c r="AP54" s="54"/>
      <c r="AQ54" s="284">
        <f t="shared" si="55"/>
        <v>0</v>
      </c>
      <c r="AR54" s="52">
        <f t="shared" si="40"/>
        <v>0</v>
      </c>
      <c r="AS54" s="52">
        <f t="shared" si="40"/>
        <v>0</v>
      </c>
      <c r="AT54" s="52">
        <f t="shared" si="40"/>
        <v>0</v>
      </c>
      <c r="AU54" s="53">
        <f t="shared" si="56"/>
        <v>0</v>
      </c>
      <c r="AV54" s="54"/>
      <c r="AW54" s="284">
        <f t="shared" si="57"/>
        <v>0</v>
      </c>
      <c r="AX54" s="52">
        <f t="shared" si="41"/>
        <v>0</v>
      </c>
      <c r="AY54" s="52">
        <f t="shared" si="41"/>
        <v>0</v>
      </c>
      <c r="AZ54" s="52">
        <f t="shared" si="41"/>
        <v>0</v>
      </c>
      <c r="BA54" s="53">
        <f t="shared" si="58"/>
        <v>0</v>
      </c>
      <c r="BB54" s="54"/>
      <c r="BC54" s="284">
        <f t="shared" si="59"/>
        <v>0</v>
      </c>
      <c r="BD54" s="52">
        <f t="shared" si="42"/>
        <v>0</v>
      </c>
      <c r="BE54" s="52">
        <f t="shared" si="42"/>
        <v>0</v>
      </c>
      <c r="BF54" s="52">
        <f t="shared" si="43"/>
        <v>0</v>
      </c>
      <c r="BG54" s="53">
        <f t="shared" si="60"/>
        <v>0</v>
      </c>
      <c r="BH54" s="54"/>
      <c r="BI54" s="284">
        <f t="shared" si="61"/>
        <v>0</v>
      </c>
      <c r="BJ54" s="52">
        <f t="shared" si="44"/>
        <v>0</v>
      </c>
      <c r="BK54" s="52">
        <f t="shared" si="44"/>
        <v>0</v>
      </c>
      <c r="BL54" s="52">
        <f t="shared" si="45"/>
        <v>0</v>
      </c>
      <c r="BM54" s="53">
        <f t="shared" si="62"/>
        <v>0</v>
      </c>
      <c r="BN54" s="54"/>
      <c r="BO54" s="284">
        <f t="shared" si="63"/>
        <v>0</v>
      </c>
      <c r="BP54" s="52">
        <f t="shared" si="46"/>
        <v>0</v>
      </c>
      <c r="BQ54" s="52">
        <f t="shared" si="46"/>
        <v>0</v>
      </c>
      <c r="BR54" s="52">
        <f t="shared" si="47"/>
        <v>0</v>
      </c>
      <c r="BS54" s="53">
        <f t="shared" si="64"/>
        <v>0</v>
      </c>
      <c r="BT54" s="54"/>
      <c r="BU54" s="1221">
        <v>0</v>
      </c>
      <c r="BV54" s="224">
        <v>0</v>
      </c>
      <c r="BW54" s="224">
        <v>0</v>
      </c>
      <c r="BX54" s="224">
        <v>0</v>
      </c>
      <c r="BY54" s="53">
        <f t="shared" si="65"/>
        <v>0</v>
      </c>
      <c r="CA54" s="1221">
        <v>0</v>
      </c>
      <c r="CB54" s="224">
        <v>0</v>
      </c>
      <c r="CC54" s="224">
        <v>0</v>
      </c>
      <c r="CD54" s="224">
        <v>0</v>
      </c>
      <c r="CE54" s="53">
        <f t="shared" si="66"/>
        <v>0</v>
      </c>
      <c r="CG54" s="1221">
        <v>0</v>
      </c>
      <c r="CH54" s="224">
        <v>0</v>
      </c>
      <c r="CI54" s="224">
        <v>0</v>
      </c>
      <c r="CJ54" s="224">
        <v>0</v>
      </c>
      <c r="CK54" s="53">
        <f t="shared" si="67"/>
        <v>0</v>
      </c>
      <c r="CM54" s="1221">
        <v>0</v>
      </c>
      <c r="CN54" s="224">
        <v>0</v>
      </c>
      <c r="CO54" s="224">
        <v>0</v>
      </c>
      <c r="CP54" s="224">
        <v>0</v>
      </c>
      <c r="CQ54" s="53">
        <f t="shared" si="68"/>
        <v>0</v>
      </c>
    </row>
    <row r="55" spans="1:95" ht="11.25" hidden="1" customHeight="1" outlineLevel="1">
      <c r="A55" s="514" t="s">
        <v>295</v>
      </c>
      <c r="B55" s="509"/>
      <c r="C55" s="509"/>
      <c r="D55" s="54"/>
      <c r="E55" s="305"/>
      <c r="F55" s="54"/>
      <c r="G55" s="305">
        <f t="shared" si="29"/>
        <v>4.3929999999999998</v>
      </c>
      <c r="H55" s="54"/>
      <c r="I55" s="305">
        <f t="shared" si="30"/>
        <v>0.38100000000000023</v>
      </c>
      <c r="J55" s="54"/>
      <c r="K55" s="305">
        <f t="shared" si="31"/>
        <v>-0.62900000000000045</v>
      </c>
      <c r="L55" s="54"/>
      <c r="M55" s="305">
        <f t="shared" si="32"/>
        <v>0.47100000000000009</v>
      </c>
      <c r="N55" s="54"/>
      <c r="O55" s="305">
        <f t="shared" si="33"/>
        <v>0.48399999999999999</v>
      </c>
      <c r="P55" s="54"/>
      <c r="Q55" s="305">
        <f t="shared" si="34"/>
        <v>-5.0999999999999996</v>
      </c>
      <c r="R55" s="54"/>
      <c r="S55" s="284">
        <f t="shared" si="35"/>
        <v>0</v>
      </c>
      <c r="T55" s="54">
        <f t="shared" si="48"/>
        <v>0</v>
      </c>
      <c r="U55" s="54">
        <f t="shared" si="48"/>
        <v>0</v>
      </c>
      <c r="V55" s="54">
        <f t="shared" si="48"/>
        <v>0</v>
      </c>
      <c r="W55" s="53">
        <f t="shared" si="36"/>
        <v>0</v>
      </c>
      <c r="X55" s="54"/>
      <c r="Y55" s="284">
        <f t="shared" si="49"/>
        <v>0</v>
      </c>
      <c r="Z55" s="54">
        <f t="shared" si="37"/>
        <v>0</v>
      </c>
      <c r="AA55" s="54">
        <f t="shared" si="37"/>
        <v>0</v>
      </c>
      <c r="AB55" s="54">
        <f t="shared" si="37"/>
        <v>0</v>
      </c>
      <c r="AC55" s="53">
        <f t="shared" si="50"/>
        <v>0</v>
      </c>
      <c r="AD55" s="54"/>
      <c r="AE55" s="284">
        <f t="shared" si="51"/>
        <v>0</v>
      </c>
      <c r="AF55" s="54">
        <f t="shared" si="38"/>
        <v>0</v>
      </c>
      <c r="AG55" s="54">
        <f t="shared" si="38"/>
        <v>0</v>
      </c>
      <c r="AH55" s="54">
        <f t="shared" si="38"/>
        <v>0</v>
      </c>
      <c r="AI55" s="53">
        <f t="shared" si="52"/>
        <v>0</v>
      </c>
      <c r="AJ55" s="54"/>
      <c r="AK55" s="284">
        <f t="shared" si="53"/>
        <v>0</v>
      </c>
      <c r="AL55" s="54">
        <f t="shared" si="39"/>
        <v>0</v>
      </c>
      <c r="AM55" s="54">
        <f t="shared" si="39"/>
        <v>0</v>
      </c>
      <c r="AN55" s="54">
        <f t="shared" si="39"/>
        <v>0</v>
      </c>
      <c r="AO55" s="53">
        <f t="shared" si="54"/>
        <v>0</v>
      </c>
      <c r="AP55" s="54"/>
      <c r="AQ55" s="284">
        <f t="shared" si="55"/>
        <v>0</v>
      </c>
      <c r="AR55" s="52">
        <f t="shared" si="40"/>
        <v>0</v>
      </c>
      <c r="AS55" s="52">
        <f t="shared" si="40"/>
        <v>0</v>
      </c>
      <c r="AT55" s="52">
        <f t="shared" si="40"/>
        <v>0</v>
      </c>
      <c r="AU55" s="53">
        <f t="shared" si="56"/>
        <v>0</v>
      </c>
      <c r="AV55" s="54"/>
      <c r="AW55" s="284">
        <f t="shared" si="57"/>
        <v>0</v>
      </c>
      <c r="AX55" s="52">
        <f t="shared" si="41"/>
        <v>0</v>
      </c>
      <c r="AY55" s="52">
        <f t="shared" si="41"/>
        <v>0</v>
      </c>
      <c r="AZ55" s="52">
        <f t="shared" si="41"/>
        <v>0</v>
      </c>
      <c r="BA55" s="53">
        <f t="shared" si="58"/>
        <v>0</v>
      </c>
      <c r="BB55" s="54"/>
      <c r="BC55" s="284">
        <f t="shared" si="59"/>
        <v>0</v>
      </c>
      <c r="BD55" s="52">
        <f t="shared" si="42"/>
        <v>0</v>
      </c>
      <c r="BE55" s="52">
        <f t="shared" si="42"/>
        <v>0</v>
      </c>
      <c r="BF55" s="52">
        <f t="shared" si="43"/>
        <v>0</v>
      </c>
      <c r="BG55" s="53">
        <f t="shared" si="60"/>
        <v>0</v>
      </c>
      <c r="BH55" s="54"/>
      <c r="BI55" s="284">
        <f t="shared" si="61"/>
        <v>0</v>
      </c>
      <c r="BJ55" s="52">
        <f t="shared" si="44"/>
        <v>0</v>
      </c>
      <c r="BK55" s="52">
        <f t="shared" si="44"/>
        <v>0</v>
      </c>
      <c r="BL55" s="52">
        <f t="shared" si="45"/>
        <v>0</v>
      </c>
      <c r="BM55" s="53">
        <f t="shared" si="62"/>
        <v>0</v>
      </c>
      <c r="BN55" s="54"/>
      <c r="BO55" s="284">
        <f t="shared" si="63"/>
        <v>0</v>
      </c>
      <c r="BP55" s="52">
        <f t="shared" si="46"/>
        <v>0</v>
      </c>
      <c r="BQ55" s="52">
        <f t="shared" si="46"/>
        <v>0</v>
      </c>
      <c r="BR55" s="52">
        <f t="shared" si="47"/>
        <v>0</v>
      </c>
      <c r="BS55" s="53">
        <f t="shared" si="64"/>
        <v>0</v>
      </c>
      <c r="BT55" s="54"/>
      <c r="BU55" s="1221">
        <v>0</v>
      </c>
      <c r="BV55" s="224">
        <v>0</v>
      </c>
      <c r="BW55" s="224">
        <v>0</v>
      </c>
      <c r="BX55" s="224">
        <v>0</v>
      </c>
      <c r="BY55" s="53">
        <f t="shared" si="65"/>
        <v>0</v>
      </c>
      <c r="CA55" s="1221">
        <v>0</v>
      </c>
      <c r="CB55" s="224">
        <v>0</v>
      </c>
      <c r="CC55" s="224">
        <v>0</v>
      </c>
      <c r="CD55" s="224">
        <v>0</v>
      </c>
      <c r="CE55" s="53">
        <f t="shared" si="66"/>
        <v>0</v>
      </c>
      <c r="CG55" s="1221">
        <v>0</v>
      </c>
      <c r="CH55" s="224">
        <v>0</v>
      </c>
      <c r="CI55" s="224">
        <v>0</v>
      </c>
      <c r="CJ55" s="224">
        <v>0</v>
      </c>
      <c r="CK55" s="53">
        <f t="shared" si="67"/>
        <v>0</v>
      </c>
      <c r="CM55" s="1221">
        <v>0</v>
      </c>
      <c r="CN55" s="224">
        <v>0</v>
      </c>
      <c r="CO55" s="224">
        <v>0</v>
      </c>
      <c r="CP55" s="224">
        <v>0</v>
      </c>
      <c r="CQ55" s="53">
        <f t="shared" si="68"/>
        <v>0</v>
      </c>
    </row>
    <row r="56" spans="1:95" ht="11.25" hidden="1" customHeight="1" outlineLevel="1">
      <c r="A56" s="514" t="s">
        <v>299</v>
      </c>
      <c r="B56" s="509"/>
      <c r="C56" s="509"/>
      <c r="D56" s="54"/>
      <c r="E56" s="305"/>
      <c r="F56" s="54"/>
      <c r="G56" s="305">
        <f t="shared" si="29"/>
        <v>0</v>
      </c>
      <c r="H56" s="54"/>
      <c r="I56" s="305">
        <f t="shared" si="30"/>
        <v>1.3169999999999999</v>
      </c>
      <c r="J56" s="54"/>
      <c r="K56" s="305">
        <f t="shared" si="31"/>
        <v>-0.42399999999999993</v>
      </c>
      <c r="L56" s="54"/>
      <c r="M56" s="305">
        <f t="shared" si="32"/>
        <v>-0.26400000000000001</v>
      </c>
      <c r="N56" s="54"/>
      <c r="O56" s="305">
        <f t="shared" si="33"/>
        <v>-0.22899999999999998</v>
      </c>
      <c r="P56" s="54"/>
      <c r="Q56" s="305">
        <f t="shared" si="34"/>
        <v>-0.4</v>
      </c>
      <c r="R56" s="54"/>
      <c r="S56" s="284">
        <f t="shared" si="35"/>
        <v>0</v>
      </c>
      <c r="T56" s="54">
        <f t="shared" si="48"/>
        <v>0</v>
      </c>
      <c r="U56" s="54">
        <f t="shared" si="48"/>
        <v>0</v>
      </c>
      <c r="V56" s="54">
        <f t="shared" si="48"/>
        <v>0</v>
      </c>
      <c r="W56" s="53">
        <f t="shared" si="36"/>
        <v>0</v>
      </c>
      <c r="X56" s="54"/>
      <c r="Y56" s="284">
        <f t="shared" si="49"/>
        <v>0</v>
      </c>
      <c r="Z56" s="54">
        <f t="shared" si="37"/>
        <v>0</v>
      </c>
      <c r="AA56" s="54">
        <f t="shared" si="37"/>
        <v>0</v>
      </c>
      <c r="AB56" s="54">
        <f t="shared" si="37"/>
        <v>0</v>
      </c>
      <c r="AC56" s="53">
        <f t="shared" si="50"/>
        <v>0</v>
      </c>
      <c r="AD56" s="54"/>
      <c r="AE56" s="284">
        <f t="shared" si="51"/>
        <v>0</v>
      </c>
      <c r="AF56" s="54">
        <f t="shared" si="38"/>
        <v>0</v>
      </c>
      <c r="AG56" s="54">
        <f t="shared" si="38"/>
        <v>0</v>
      </c>
      <c r="AH56" s="54">
        <f t="shared" si="38"/>
        <v>0</v>
      </c>
      <c r="AI56" s="53">
        <f t="shared" si="52"/>
        <v>0</v>
      </c>
      <c r="AJ56" s="54"/>
      <c r="AK56" s="284">
        <f t="shared" si="53"/>
        <v>0</v>
      </c>
      <c r="AL56" s="54">
        <f t="shared" si="39"/>
        <v>0</v>
      </c>
      <c r="AM56" s="54">
        <f t="shared" si="39"/>
        <v>0</v>
      </c>
      <c r="AN56" s="54">
        <f t="shared" si="39"/>
        <v>0</v>
      </c>
      <c r="AO56" s="53">
        <f t="shared" si="54"/>
        <v>0</v>
      </c>
      <c r="AP56" s="54"/>
      <c r="AQ56" s="284">
        <f t="shared" si="55"/>
        <v>0</v>
      </c>
      <c r="AR56" s="52">
        <f t="shared" si="40"/>
        <v>0</v>
      </c>
      <c r="AS56" s="52">
        <f t="shared" si="40"/>
        <v>0</v>
      </c>
      <c r="AT56" s="52">
        <f t="shared" si="40"/>
        <v>0</v>
      </c>
      <c r="AU56" s="53">
        <f t="shared" si="56"/>
        <v>0</v>
      </c>
      <c r="AV56" s="54"/>
      <c r="AW56" s="284">
        <f t="shared" si="57"/>
        <v>0</v>
      </c>
      <c r="AX56" s="52">
        <f t="shared" si="41"/>
        <v>0</v>
      </c>
      <c r="AY56" s="52">
        <f t="shared" si="41"/>
        <v>0</v>
      </c>
      <c r="AZ56" s="52">
        <f t="shared" si="41"/>
        <v>0</v>
      </c>
      <c r="BA56" s="53">
        <f t="shared" si="58"/>
        <v>0</v>
      </c>
      <c r="BB56" s="54"/>
      <c r="BC56" s="284">
        <f t="shared" si="59"/>
        <v>0</v>
      </c>
      <c r="BD56" s="52">
        <f t="shared" si="42"/>
        <v>0</v>
      </c>
      <c r="BE56" s="52">
        <f t="shared" si="42"/>
        <v>0</v>
      </c>
      <c r="BF56" s="52">
        <f t="shared" si="43"/>
        <v>0</v>
      </c>
      <c r="BG56" s="53">
        <f t="shared" si="60"/>
        <v>0</v>
      </c>
      <c r="BH56" s="54"/>
      <c r="BI56" s="284">
        <f t="shared" si="61"/>
        <v>0</v>
      </c>
      <c r="BJ56" s="52">
        <f t="shared" si="44"/>
        <v>0</v>
      </c>
      <c r="BK56" s="52">
        <f t="shared" si="44"/>
        <v>0</v>
      </c>
      <c r="BL56" s="52">
        <f t="shared" si="45"/>
        <v>0</v>
      </c>
      <c r="BM56" s="53">
        <f t="shared" si="62"/>
        <v>0</v>
      </c>
      <c r="BN56" s="54"/>
      <c r="BO56" s="284">
        <f t="shared" si="63"/>
        <v>0</v>
      </c>
      <c r="BP56" s="52">
        <f t="shared" si="46"/>
        <v>0</v>
      </c>
      <c r="BQ56" s="52">
        <f t="shared" si="46"/>
        <v>0</v>
      </c>
      <c r="BR56" s="52">
        <f t="shared" si="47"/>
        <v>0</v>
      </c>
      <c r="BS56" s="53">
        <f t="shared" si="64"/>
        <v>0</v>
      </c>
      <c r="BT56" s="54"/>
      <c r="BU56" s="1221">
        <v>0</v>
      </c>
      <c r="BV56" s="224">
        <v>0</v>
      </c>
      <c r="BW56" s="224">
        <v>0</v>
      </c>
      <c r="BX56" s="224">
        <v>0</v>
      </c>
      <c r="BY56" s="53">
        <f t="shared" si="65"/>
        <v>0</v>
      </c>
      <c r="CA56" s="1221">
        <v>0</v>
      </c>
      <c r="CB56" s="224">
        <v>0</v>
      </c>
      <c r="CC56" s="224">
        <v>0</v>
      </c>
      <c r="CD56" s="224">
        <v>0</v>
      </c>
      <c r="CE56" s="53">
        <f t="shared" si="66"/>
        <v>0</v>
      </c>
      <c r="CG56" s="1221">
        <v>0</v>
      </c>
      <c r="CH56" s="224">
        <v>0</v>
      </c>
      <c r="CI56" s="224">
        <v>0</v>
      </c>
      <c r="CJ56" s="224">
        <v>0</v>
      </c>
      <c r="CK56" s="53">
        <f t="shared" si="67"/>
        <v>0</v>
      </c>
      <c r="CM56" s="1221">
        <v>0</v>
      </c>
      <c r="CN56" s="224">
        <v>0</v>
      </c>
      <c r="CO56" s="224">
        <v>0</v>
      </c>
      <c r="CP56" s="224">
        <v>0</v>
      </c>
      <c r="CQ56" s="53">
        <f t="shared" si="68"/>
        <v>0</v>
      </c>
    </row>
    <row r="57" spans="1:95" ht="11.25" hidden="1" customHeight="1" outlineLevel="1">
      <c r="A57" s="514" t="s">
        <v>296</v>
      </c>
      <c r="B57" s="509"/>
      <c r="C57" s="509"/>
      <c r="D57" s="54"/>
      <c r="E57" s="305"/>
      <c r="F57" s="54"/>
      <c r="G57" s="305">
        <f t="shared" si="29"/>
        <v>0.69999999999999929</v>
      </c>
      <c r="H57" s="54"/>
      <c r="I57" s="305">
        <f t="shared" si="30"/>
        <v>5.5000000000000604E-2</v>
      </c>
      <c r="J57" s="54"/>
      <c r="K57" s="305">
        <f t="shared" si="31"/>
        <v>-2.9260000000000002</v>
      </c>
      <c r="L57" s="54"/>
      <c r="M57" s="305">
        <f t="shared" si="32"/>
        <v>-3.4000000000000252E-2</v>
      </c>
      <c r="N57" s="54"/>
      <c r="O57" s="305">
        <f t="shared" si="33"/>
        <v>-3.0329999999999999</v>
      </c>
      <c r="P57" s="54"/>
      <c r="Q57" s="305">
        <f t="shared" si="34"/>
        <v>0</v>
      </c>
      <c r="R57" s="54"/>
      <c r="S57" s="284">
        <f t="shared" si="35"/>
        <v>0</v>
      </c>
      <c r="T57" s="54">
        <f t="shared" si="48"/>
        <v>0</v>
      </c>
      <c r="U57" s="54">
        <f t="shared" si="48"/>
        <v>0</v>
      </c>
      <c r="V57" s="54">
        <f t="shared" si="48"/>
        <v>0</v>
      </c>
      <c r="W57" s="53">
        <f t="shared" si="36"/>
        <v>0</v>
      </c>
      <c r="X57" s="54"/>
      <c r="Y57" s="284">
        <f t="shared" si="49"/>
        <v>0</v>
      </c>
      <c r="Z57" s="54">
        <f t="shared" si="37"/>
        <v>0</v>
      </c>
      <c r="AA57" s="54">
        <f t="shared" si="37"/>
        <v>0</v>
      </c>
      <c r="AB57" s="54">
        <f t="shared" si="37"/>
        <v>0</v>
      </c>
      <c r="AC57" s="53">
        <f t="shared" si="50"/>
        <v>0</v>
      </c>
      <c r="AD57" s="54"/>
      <c r="AE57" s="284">
        <f t="shared" si="51"/>
        <v>0</v>
      </c>
      <c r="AF57" s="54">
        <f t="shared" si="38"/>
        <v>0</v>
      </c>
      <c r="AG57" s="54">
        <f t="shared" si="38"/>
        <v>0</v>
      </c>
      <c r="AH57" s="54">
        <f t="shared" si="38"/>
        <v>0</v>
      </c>
      <c r="AI57" s="53">
        <f t="shared" si="52"/>
        <v>0</v>
      </c>
      <c r="AJ57" s="54"/>
      <c r="AK57" s="284">
        <f t="shared" si="53"/>
        <v>0</v>
      </c>
      <c r="AL57" s="54">
        <f t="shared" si="39"/>
        <v>0</v>
      </c>
      <c r="AM57" s="54">
        <f t="shared" si="39"/>
        <v>0</v>
      </c>
      <c r="AN57" s="54">
        <f t="shared" si="39"/>
        <v>0</v>
      </c>
      <c r="AO57" s="53">
        <f t="shared" si="54"/>
        <v>0</v>
      </c>
      <c r="AP57" s="54"/>
      <c r="AQ57" s="284">
        <f t="shared" si="55"/>
        <v>0</v>
      </c>
      <c r="AR57" s="52">
        <f t="shared" si="40"/>
        <v>0</v>
      </c>
      <c r="AS57" s="52">
        <f t="shared" si="40"/>
        <v>0</v>
      </c>
      <c r="AT57" s="52">
        <f t="shared" si="40"/>
        <v>0</v>
      </c>
      <c r="AU57" s="53">
        <f t="shared" si="56"/>
        <v>0</v>
      </c>
      <c r="AV57" s="54"/>
      <c r="AW57" s="284">
        <f t="shared" si="57"/>
        <v>0</v>
      </c>
      <c r="AX57" s="52">
        <f t="shared" si="41"/>
        <v>0</v>
      </c>
      <c r="AY57" s="52">
        <f t="shared" si="41"/>
        <v>0</v>
      </c>
      <c r="AZ57" s="52">
        <f t="shared" si="41"/>
        <v>0</v>
      </c>
      <c r="BA57" s="53">
        <f t="shared" si="58"/>
        <v>0</v>
      </c>
      <c r="BB57" s="54"/>
      <c r="BC57" s="284">
        <f t="shared" si="59"/>
        <v>0</v>
      </c>
      <c r="BD57" s="52">
        <f t="shared" si="42"/>
        <v>0</v>
      </c>
      <c r="BE57" s="52">
        <f t="shared" si="42"/>
        <v>0</v>
      </c>
      <c r="BF57" s="52">
        <f t="shared" si="43"/>
        <v>0</v>
      </c>
      <c r="BG57" s="53">
        <f t="shared" si="60"/>
        <v>0</v>
      </c>
      <c r="BH57" s="54"/>
      <c r="BI57" s="284">
        <f t="shared" si="61"/>
        <v>0</v>
      </c>
      <c r="BJ57" s="52">
        <f t="shared" si="44"/>
        <v>0</v>
      </c>
      <c r="BK57" s="52">
        <f t="shared" si="44"/>
        <v>0</v>
      </c>
      <c r="BL57" s="52">
        <f t="shared" si="45"/>
        <v>0</v>
      </c>
      <c r="BM57" s="53">
        <f t="shared" si="62"/>
        <v>0</v>
      </c>
      <c r="BN57" s="54"/>
      <c r="BO57" s="284">
        <f t="shared" si="63"/>
        <v>0</v>
      </c>
      <c r="BP57" s="52">
        <f t="shared" si="46"/>
        <v>0</v>
      </c>
      <c r="BQ57" s="52">
        <f t="shared" si="46"/>
        <v>0</v>
      </c>
      <c r="BR57" s="52">
        <f t="shared" si="47"/>
        <v>0</v>
      </c>
      <c r="BS57" s="53">
        <f t="shared" si="64"/>
        <v>0</v>
      </c>
      <c r="BT57" s="54"/>
      <c r="BU57" s="1221">
        <v>0</v>
      </c>
      <c r="BV57" s="224">
        <v>0</v>
      </c>
      <c r="BW57" s="224">
        <v>0</v>
      </c>
      <c r="BX57" s="224">
        <v>0</v>
      </c>
      <c r="BY57" s="53">
        <f t="shared" si="65"/>
        <v>0</v>
      </c>
      <c r="CA57" s="1221">
        <v>0</v>
      </c>
      <c r="CB57" s="224">
        <v>0</v>
      </c>
      <c r="CC57" s="224">
        <v>0</v>
      </c>
      <c r="CD57" s="224">
        <v>0</v>
      </c>
      <c r="CE57" s="53">
        <f t="shared" si="66"/>
        <v>0</v>
      </c>
      <c r="CG57" s="1221">
        <v>0</v>
      </c>
      <c r="CH57" s="224">
        <v>0</v>
      </c>
      <c r="CI57" s="224">
        <v>0</v>
      </c>
      <c r="CJ57" s="224">
        <v>0</v>
      </c>
      <c r="CK57" s="53">
        <f t="shared" si="67"/>
        <v>0</v>
      </c>
      <c r="CM57" s="1221">
        <v>0</v>
      </c>
      <c r="CN57" s="224">
        <v>0</v>
      </c>
      <c r="CO57" s="224">
        <v>0</v>
      </c>
      <c r="CP57" s="224">
        <v>0</v>
      </c>
      <c r="CQ57" s="53">
        <f t="shared" si="68"/>
        <v>0</v>
      </c>
    </row>
    <row r="58" spans="1:95" ht="11.25" hidden="1" customHeight="1" outlineLevel="1">
      <c r="A58" s="514" t="s">
        <v>297</v>
      </c>
      <c r="B58" s="509"/>
      <c r="C58" s="509"/>
      <c r="D58" s="54"/>
      <c r="E58" s="305"/>
      <c r="F58" s="54"/>
      <c r="G58" s="305">
        <f t="shared" si="29"/>
        <v>0</v>
      </c>
      <c r="H58" s="54"/>
      <c r="I58" s="305">
        <f t="shared" si="30"/>
        <v>0</v>
      </c>
      <c r="J58" s="54"/>
      <c r="K58" s="305">
        <f t="shared" si="31"/>
        <v>4.7839999999999998</v>
      </c>
      <c r="L58" s="54"/>
      <c r="M58" s="305">
        <f t="shared" si="32"/>
        <v>-4.3620000000000001</v>
      </c>
      <c r="N58" s="54"/>
      <c r="O58" s="305">
        <f t="shared" si="33"/>
        <v>-0.42199999999999999</v>
      </c>
      <c r="P58" s="54"/>
      <c r="Q58" s="305">
        <f t="shared" si="34"/>
        <v>0</v>
      </c>
      <c r="R58" s="54"/>
      <c r="S58" s="284">
        <f t="shared" si="35"/>
        <v>0</v>
      </c>
      <c r="T58" s="54">
        <f t="shared" si="48"/>
        <v>0</v>
      </c>
      <c r="U58" s="54">
        <f t="shared" si="48"/>
        <v>0</v>
      </c>
      <c r="V58" s="54">
        <f t="shared" si="48"/>
        <v>0</v>
      </c>
      <c r="W58" s="53">
        <f t="shared" si="36"/>
        <v>0</v>
      </c>
      <c r="X58" s="54"/>
      <c r="Y58" s="284">
        <f t="shared" si="49"/>
        <v>0</v>
      </c>
      <c r="Z58" s="54">
        <f t="shared" si="37"/>
        <v>0</v>
      </c>
      <c r="AA58" s="54">
        <f t="shared" si="37"/>
        <v>0</v>
      </c>
      <c r="AB58" s="54">
        <f t="shared" si="37"/>
        <v>0</v>
      </c>
      <c r="AC58" s="53">
        <f t="shared" si="50"/>
        <v>0</v>
      </c>
      <c r="AD58" s="54"/>
      <c r="AE58" s="284">
        <f t="shared" si="51"/>
        <v>0</v>
      </c>
      <c r="AF58" s="54">
        <f t="shared" si="38"/>
        <v>0</v>
      </c>
      <c r="AG58" s="54">
        <f t="shared" si="38"/>
        <v>0</v>
      </c>
      <c r="AH58" s="54">
        <f t="shared" si="38"/>
        <v>0</v>
      </c>
      <c r="AI58" s="53">
        <f t="shared" si="52"/>
        <v>0</v>
      </c>
      <c r="AJ58" s="54"/>
      <c r="AK58" s="284">
        <f t="shared" si="53"/>
        <v>0</v>
      </c>
      <c r="AL58" s="54">
        <f t="shared" si="39"/>
        <v>0</v>
      </c>
      <c r="AM58" s="54">
        <f t="shared" si="39"/>
        <v>0</v>
      </c>
      <c r="AN58" s="54">
        <f t="shared" si="39"/>
        <v>0</v>
      </c>
      <c r="AO58" s="53">
        <f t="shared" si="54"/>
        <v>0</v>
      </c>
      <c r="AP58" s="54"/>
      <c r="AQ58" s="284">
        <f t="shared" si="55"/>
        <v>0</v>
      </c>
      <c r="AR58" s="52">
        <f t="shared" si="40"/>
        <v>0</v>
      </c>
      <c r="AS58" s="52">
        <f t="shared" si="40"/>
        <v>0</v>
      </c>
      <c r="AT58" s="52">
        <f t="shared" si="40"/>
        <v>0</v>
      </c>
      <c r="AU58" s="53">
        <f t="shared" si="56"/>
        <v>0</v>
      </c>
      <c r="AV58" s="54"/>
      <c r="AW58" s="284">
        <f t="shared" si="57"/>
        <v>0</v>
      </c>
      <c r="AX58" s="52">
        <f t="shared" si="41"/>
        <v>0</v>
      </c>
      <c r="AY58" s="52">
        <f t="shared" si="41"/>
        <v>0</v>
      </c>
      <c r="AZ58" s="52">
        <f t="shared" si="41"/>
        <v>0</v>
      </c>
      <c r="BA58" s="53">
        <f t="shared" si="58"/>
        <v>0</v>
      </c>
      <c r="BB58" s="54"/>
      <c r="BC58" s="284">
        <f t="shared" si="59"/>
        <v>0</v>
      </c>
      <c r="BD58" s="52">
        <f t="shared" si="42"/>
        <v>0</v>
      </c>
      <c r="BE58" s="52">
        <f t="shared" si="42"/>
        <v>0</v>
      </c>
      <c r="BF58" s="52">
        <f t="shared" si="43"/>
        <v>0</v>
      </c>
      <c r="BG58" s="53">
        <f t="shared" si="60"/>
        <v>0</v>
      </c>
      <c r="BH58" s="54"/>
      <c r="BI58" s="284">
        <f t="shared" si="61"/>
        <v>0</v>
      </c>
      <c r="BJ58" s="52">
        <f t="shared" si="44"/>
        <v>0</v>
      </c>
      <c r="BK58" s="52">
        <f t="shared" si="44"/>
        <v>0</v>
      </c>
      <c r="BL58" s="52">
        <f t="shared" si="45"/>
        <v>0</v>
      </c>
      <c r="BM58" s="53">
        <f t="shared" si="62"/>
        <v>0</v>
      </c>
      <c r="BN58" s="54"/>
      <c r="BO58" s="284">
        <f t="shared" si="63"/>
        <v>0</v>
      </c>
      <c r="BP58" s="52">
        <f t="shared" si="46"/>
        <v>0</v>
      </c>
      <c r="BQ58" s="52">
        <f t="shared" si="46"/>
        <v>0</v>
      </c>
      <c r="BR58" s="52">
        <f t="shared" si="47"/>
        <v>0</v>
      </c>
      <c r="BS58" s="53">
        <f t="shared" si="64"/>
        <v>0</v>
      </c>
      <c r="BT58" s="54"/>
      <c r="BU58" s="1221">
        <v>0</v>
      </c>
      <c r="BV58" s="224">
        <v>0</v>
      </c>
      <c r="BW58" s="224">
        <v>0</v>
      </c>
      <c r="BX58" s="224">
        <v>0</v>
      </c>
      <c r="BY58" s="53">
        <f t="shared" si="65"/>
        <v>0</v>
      </c>
      <c r="CA58" s="1221">
        <v>0</v>
      </c>
      <c r="CB58" s="224">
        <v>0</v>
      </c>
      <c r="CC58" s="224">
        <v>0</v>
      </c>
      <c r="CD58" s="224">
        <v>0</v>
      </c>
      <c r="CE58" s="53">
        <f t="shared" si="66"/>
        <v>0</v>
      </c>
      <c r="CG58" s="1221">
        <v>0</v>
      </c>
      <c r="CH58" s="224">
        <v>0</v>
      </c>
      <c r="CI58" s="224">
        <v>0</v>
      </c>
      <c r="CJ58" s="224">
        <v>0</v>
      </c>
      <c r="CK58" s="53">
        <f t="shared" si="67"/>
        <v>0</v>
      </c>
      <c r="CM58" s="1221">
        <v>0</v>
      </c>
      <c r="CN58" s="224">
        <v>0</v>
      </c>
      <c r="CO58" s="224">
        <v>0</v>
      </c>
      <c r="CP58" s="224">
        <v>0</v>
      </c>
      <c r="CQ58" s="53">
        <f t="shared" si="68"/>
        <v>0</v>
      </c>
    </row>
    <row r="59" spans="1:95" ht="11.25" hidden="1" customHeight="1" outlineLevel="1">
      <c r="A59" s="514" t="s">
        <v>298</v>
      </c>
      <c r="B59" s="509"/>
      <c r="C59" s="509"/>
      <c r="D59" s="54"/>
      <c r="E59" s="305"/>
      <c r="F59" s="54"/>
      <c r="G59" s="305">
        <f t="shared" si="29"/>
        <v>-0.58200000000000007</v>
      </c>
      <c r="H59" s="54"/>
      <c r="I59" s="305">
        <f t="shared" si="30"/>
        <v>-0.42099999999999993</v>
      </c>
      <c r="J59" s="54"/>
      <c r="K59" s="305">
        <f t="shared" si="31"/>
        <v>-0.7</v>
      </c>
      <c r="L59" s="54"/>
      <c r="M59" s="305">
        <f t="shared" si="32"/>
        <v>-0.28699999999999998</v>
      </c>
      <c r="N59" s="54"/>
      <c r="O59" s="305">
        <f t="shared" si="33"/>
        <v>0</v>
      </c>
      <c r="P59" s="54"/>
      <c r="Q59" s="305">
        <f t="shared" si="34"/>
        <v>0</v>
      </c>
      <c r="R59" s="54"/>
      <c r="S59" s="284">
        <f t="shared" si="35"/>
        <v>0</v>
      </c>
      <c r="T59" s="54">
        <f t="shared" si="48"/>
        <v>0</v>
      </c>
      <c r="U59" s="54">
        <f t="shared" si="48"/>
        <v>0</v>
      </c>
      <c r="V59" s="54">
        <f t="shared" si="48"/>
        <v>0</v>
      </c>
      <c r="W59" s="53">
        <f t="shared" si="36"/>
        <v>0</v>
      </c>
      <c r="X59" s="54"/>
      <c r="Y59" s="284">
        <f t="shared" si="49"/>
        <v>0</v>
      </c>
      <c r="Z59" s="54">
        <f t="shared" si="37"/>
        <v>0</v>
      </c>
      <c r="AA59" s="54">
        <f t="shared" si="37"/>
        <v>0</v>
      </c>
      <c r="AB59" s="54">
        <f t="shared" si="37"/>
        <v>0</v>
      </c>
      <c r="AC59" s="53">
        <f t="shared" si="50"/>
        <v>0</v>
      </c>
      <c r="AD59" s="54"/>
      <c r="AE59" s="284">
        <f t="shared" si="51"/>
        <v>0</v>
      </c>
      <c r="AF59" s="54">
        <f t="shared" si="38"/>
        <v>0</v>
      </c>
      <c r="AG59" s="54">
        <f t="shared" si="38"/>
        <v>0</v>
      </c>
      <c r="AH59" s="54">
        <f t="shared" si="38"/>
        <v>0</v>
      </c>
      <c r="AI59" s="53">
        <f t="shared" si="52"/>
        <v>0</v>
      </c>
      <c r="AJ59" s="54"/>
      <c r="AK59" s="284">
        <f t="shared" si="53"/>
        <v>0</v>
      </c>
      <c r="AL59" s="54">
        <f t="shared" si="39"/>
        <v>0</v>
      </c>
      <c r="AM59" s="54">
        <f t="shared" si="39"/>
        <v>0</v>
      </c>
      <c r="AN59" s="54">
        <f t="shared" si="39"/>
        <v>0</v>
      </c>
      <c r="AO59" s="53">
        <f t="shared" si="54"/>
        <v>0</v>
      </c>
      <c r="AP59" s="54"/>
      <c r="AQ59" s="284">
        <f t="shared" si="55"/>
        <v>0</v>
      </c>
      <c r="AR59" s="52">
        <f t="shared" si="40"/>
        <v>0</v>
      </c>
      <c r="AS59" s="52">
        <f t="shared" si="40"/>
        <v>0</v>
      </c>
      <c r="AT59" s="52">
        <f t="shared" si="40"/>
        <v>0</v>
      </c>
      <c r="AU59" s="53">
        <f t="shared" si="56"/>
        <v>0</v>
      </c>
      <c r="AV59" s="54"/>
      <c r="AW59" s="284">
        <f t="shared" si="57"/>
        <v>0</v>
      </c>
      <c r="AX59" s="52">
        <f t="shared" si="41"/>
        <v>0</v>
      </c>
      <c r="AY59" s="52">
        <f t="shared" si="41"/>
        <v>0</v>
      </c>
      <c r="AZ59" s="52">
        <f t="shared" si="41"/>
        <v>0</v>
      </c>
      <c r="BA59" s="53">
        <f t="shared" si="58"/>
        <v>0</v>
      </c>
      <c r="BB59" s="54"/>
      <c r="BC59" s="284">
        <f t="shared" si="59"/>
        <v>0</v>
      </c>
      <c r="BD59" s="52">
        <f t="shared" si="42"/>
        <v>0</v>
      </c>
      <c r="BE59" s="52">
        <f t="shared" si="42"/>
        <v>0</v>
      </c>
      <c r="BF59" s="52">
        <f t="shared" si="43"/>
        <v>0</v>
      </c>
      <c r="BG59" s="53">
        <f t="shared" si="60"/>
        <v>0</v>
      </c>
      <c r="BH59" s="54"/>
      <c r="BI59" s="284">
        <f t="shared" si="61"/>
        <v>0</v>
      </c>
      <c r="BJ59" s="52">
        <f t="shared" si="44"/>
        <v>0</v>
      </c>
      <c r="BK59" s="52">
        <f t="shared" si="44"/>
        <v>0</v>
      </c>
      <c r="BL59" s="52">
        <f t="shared" si="45"/>
        <v>0</v>
      </c>
      <c r="BM59" s="53">
        <f t="shared" si="62"/>
        <v>0</v>
      </c>
      <c r="BN59" s="54"/>
      <c r="BO59" s="284">
        <f t="shared" si="63"/>
        <v>0</v>
      </c>
      <c r="BP59" s="52">
        <f t="shared" si="46"/>
        <v>0</v>
      </c>
      <c r="BQ59" s="52">
        <f t="shared" si="46"/>
        <v>0</v>
      </c>
      <c r="BR59" s="52">
        <f t="shared" si="47"/>
        <v>0</v>
      </c>
      <c r="BS59" s="53">
        <f t="shared" si="64"/>
        <v>0</v>
      </c>
      <c r="BT59" s="54"/>
      <c r="BU59" s="1221">
        <v>0</v>
      </c>
      <c r="BV59" s="224">
        <v>0</v>
      </c>
      <c r="BW59" s="224">
        <v>0</v>
      </c>
      <c r="BX59" s="224">
        <v>0</v>
      </c>
      <c r="BY59" s="53">
        <f t="shared" si="65"/>
        <v>0</v>
      </c>
      <c r="CA59" s="1221">
        <v>0</v>
      </c>
      <c r="CB59" s="224">
        <v>0</v>
      </c>
      <c r="CC59" s="224">
        <v>0</v>
      </c>
      <c r="CD59" s="224">
        <v>0</v>
      </c>
      <c r="CE59" s="53">
        <f t="shared" si="66"/>
        <v>0</v>
      </c>
      <c r="CG59" s="1221">
        <v>0</v>
      </c>
      <c r="CH59" s="224">
        <v>0</v>
      </c>
      <c r="CI59" s="224">
        <v>0</v>
      </c>
      <c r="CJ59" s="224">
        <v>0</v>
      </c>
      <c r="CK59" s="53">
        <f t="shared" si="67"/>
        <v>0</v>
      </c>
      <c r="CM59" s="1221">
        <v>0</v>
      </c>
      <c r="CN59" s="224">
        <v>0</v>
      </c>
      <c r="CO59" s="224">
        <v>0</v>
      </c>
      <c r="CP59" s="224">
        <v>0</v>
      </c>
      <c r="CQ59" s="53">
        <f t="shared" si="68"/>
        <v>0</v>
      </c>
    </row>
    <row r="60" spans="1:95" ht="11.25" hidden="1" customHeight="1" outlineLevel="1">
      <c r="A60" s="514" t="s">
        <v>300</v>
      </c>
      <c r="B60" s="509"/>
      <c r="C60" s="509"/>
      <c r="D60" s="54"/>
      <c r="E60" s="305"/>
      <c r="F60" s="54"/>
      <c r="G60" s="305">
        <f t="shared" si="29"/>
        <v>-0.23499999999999988</v>
      </c>
      <c r="H60" s="54"/>
      <c r="I60" s="305">
        <f t="shared" si="30"/>
        <v>-0.29600000000000004</v>
      </c>
      <c r="J60" s="54"/>
      <c r="K60" s="305">
        <f t="shared" si="31"/>
        <v>-0.48</v>
      </c>
      <c r="L60" s="54"/>
      <c r="M60" s="305">
        <f t="shared" si="32"/>
        <v>0</v>
      </c>
      <c r="N60" s="54"/>
      <c r="O60" s="305">
        <f t="shared" si="33"/>
        <v>0</v>
      </c>
      <c r="P60" s="54"/>
      <c r="Q60" s="305">
        <f t="shared" si="34"/>
        <v>0</v>
      </c>
      <c r="R60" s="54"/>
      <c r="S60" s="284">
        <f t="shared" si="35"/>
        <v>0</v>
      </c>
      <c r="T60" s="54">
        <f t="shared" si="48"/>
        <v>0</v>
      </c>
      <c r="U60" s="54">
        <f t="shared" si="48"/>
        <v>0</v>
      </c>
      <c r="V60" s="54">
        <f t="shared" si="48"/>
        <v>0</v>
      </c>
      <c r="W60" s="53">
        <f t="shared" si="36"/>
        <v>0</v>
      </c>
      <c r="X60" s="54"/>
      <c r="Y60" s="284">
        <f t="shared" si="49"/>
        <v>0</v>
      </c>
      <c r="Z60" s="54">
        <f t="shared" si="37"/>
        <v>0</v>
      </c>
      <c r="AA60" s="54">
        <f t="shared" si="37"/>
        <v>0</v>
      </c>
      <c r="AB60" s="54">
        <f t="shared" si="37"/>
        <v>0</v>
      </c>
      <c r="AC60" s="53">
        <f t="shared" si="50"/>
        <v>0</v>
      </c>
      <c r="AD60" s="54"/>
      <c r="AE60" s="284">
        <f t="shared" si="51"/>
        <v>0</v>
      </c>
      <c r="AF60" s="54">
        <f t="shared" si="38"/>
        <v>0</v>
      </c>
      <c r="AG60" s="54">
        <f t="shared" si="38"/>
        <v>0</v>
      </c>
      <c r="AH60" s="54">
        <f t="shared" si="38"/>
        <v>0</v>
      </c>
      <c r="AI60" s="53">
        <f t="shared" si="52"/>
        <v>0</v>
      </c>
      <c r="AJ60" s="54"/>
      <c r="AK60" s="284">
        <f t="shared" si="53"/>
        <v>0</v>
      </c>
      <c r="AL60" s="54">
        <f t="shared" si="39"/>
        <v>0</v>
      </c>
      <c r="AM60" s="54">
        <f t="shared" si="39"/>
        <v>0</v>
      </c>
      <c r="AN60" s="54">
        <f t="shared" si="39"/>
        <v>0</v>
      </c>
      <c r="AO60" s="53">
        <f t="shared" si="54"/>
        <v>0</v>
      </c>
      <c r="AP60" s="54"/>
      <c r="AQ60" s="284">
        <f t="shared" si="55"/>
        <v>0</v>
      </c>
      <c r="AR60" s="52">
        <f t="shared" si="40"/>
        <v>0</v>
      </c>
      <c r="AS60" s="52">
        <f t="shared" si="40"/>
        <v>0</v>
      </c>
      <c r="AT60" s="52">
        <f t="shared" si="40"/>
        <v>0</v>
      </c>
      <c r="AU60" s="53">
        <f t="shared" si="56"/>
        <v>0</v>
      </c>
      <c r="AV60" s="54"/>
      <c r="AW60" s="284">
        <f t="shared" si="57"/>
        <v>0</v>
      </c>
      <c r="AX60" s="52">
        <f t="shared" si="41"/>
        <v>0</v>
      </c>
      <c r="AY60" s="52">
        <f t="shared" si="41"/>
        <v>0</v>
      </c>
      <c r="AZ60" s="52">
        <f t="shared" si="41"/>
        <v>0</v>
      </c>
      <c r="BA60" s="53">
        <f t="shared" si="58"/>
        <v>0</v>
      </c>
      <c r="BB60" s="54"/>
      <c r="BC60" s="284">
        <f t="shared" si="59"/>
        <v>0</v>
      </c>
      <c r="BD60" s="52">
        <f t="shared" si="42"/>
        <v>0</v>
      </c>
      <c r="BE60" s="52">
        <f t="shared" si="42"/>
        <v>0</v>
      </c>
      <c r="BF60" s="52">
        <f t="shared" si="43"/>
        <v>0</v>
      </c>
      <c r="BG60" s="53">
        <f t="shared" si="60"/>
        <v>0</v>
      </c>
      <c r="BH60" s="54"/>
      <c r="BI60" s="284">
        <f t="shared" si="61"/>
        <v>0</v>
      </c>
      <c r="BJ60" s="52">
        <f t="shared" si="44"/>
        <v>0</v>
      </c>
      <c r="BK60" s="52">
        <f t="shared" si="44"/>
        <v>0</v>
      </c>
      <c r="BL60" s="52">
        <f t="shared" si="45"/>
        <v>0</v>
      </c>
      <c r="BM60" s="53">
        <f t="shared" si="62"/>
        <v>0</v>
      </c>
      <c r="BN60" s="54"/>
      <c r="BO60" s="284">
        <f t="shared" si="63"/>
        <v>0</v>
      </c>
      <c r="BP60" s="52">
        <f t="shared" si="46"/>
        <v>0</v>
      </c>
      <c r="BQ60" s="52">
        <f t="shared" si="46"/>
        <v>0</v>
      </c>
      <c r="BR60" s="52">
        <f t="shared" si="47"/>
        <v>0</v>
      </c>
      <c r="BS60" s="53">
        <f t="shared" si="64"/>
        <v>0</v>
      </c>
      <c r="BT60" s="54"/>
      <c r="BU60" s="1221">
        <v>0</v>
      </c>
      <c r="BV60" s="224">
        <v>0</v>
      </c>
      <c r="BW60" s="224">
        <v>0</v>
      </c>
      <c r="BX60" s="224">
        <v>0</v>
      </c>
      <c r="BY60" s="53">
        <f t="shared" si="65"/>
        <v>0</v>
      </c>
      <c r="CA60" s="1221">
        <v>0</v>
      </c>
      <c r="CB60" s="224">
        <v>0</v>
      </c>
      <c r="CC60" s="224">
        <v>0</v>
      </c>
      <c r="CD60" s="224">
        <v>0</v>
      </c>
      <c r="CE60" s="53">
        <f t="shared" si="66"/>
        <v>0</v>
      </c>
      <c r="CG60" s="1221">
        <v>0</v>
      </c>
      <c r="CH60" s="224">
        <v>0</v>
      </c>
      <c r="CI60" s="224">
        <v>0</v>
      </c>
      <c r="CJ60" s="224">
        <v>0</v>
      </c>
      <c r="CK60" s="53">
        <f t="shared" si="67"/>
        <v>0</v>
      </c>
      <c r="CM60" s="1221">
        <v>0</v>
      </c>
      <c r="CN60" s="224">
        <v>0</v>
      </c>
      <c r="CO60" s="224">
        <v>0</v>
      </c>
      <c r="CP60" s="224">
        <v>0</v>
      </c>
      <c r="CQ60" s="53">
        <f t="shared" si="68"/>
        <v>0</v>
      </c>
    </row>
    <row r="61" spans="1:95" ht="11.25" hidden="1" customHeight="1" outlineLevel="1">
      <c r="A61" s="514" t="s">
        <v>301</v>
      </c>
      <c r="B61" s="509"/>
      <c r="C61" s="509"/>
      <c r="D61" s="54"/>
      <c r="E61" s="305"/>
      <c r="F61" s="54"/>
      <c r="G61" s="305">
        <f t="shared" si="29"/>
        <v>5.3999999999999992E-2</v>
      </c>
      <c r="H61" s="54"/>
      <c r="I61" s="305">
        <f t="shared" si="30"/>
        <v>-0.17499999999999999</v>
      </c>
      <c r="J61" s="54"/>
      <c r="K61" s="305">
        <f t="shared" si="31"/>
        <v>0</v>
      </c>
      <c r="L61" s="54"/>
      <c r="M61" s="305">
        <f t="shared" si="32"/>
        <v>0</v>
      </c>
      <c r="N61" s="54"/>
      <c r="O61" s="305">
        <f t="shared" si="33"/>
        <v>0</v>
      </c>
      <c r="P61" s="54"/>
      <c r="Q61" s="305">
        <f t="shared" si="34"/>
        <v>0</v>
      </c>
      <c r="R61" s="54"/>
      <c r="S61" s="284">
        <f t="shared" si="35"/>
        <v>0</v>
      </c>
      <c r="T61" s="54">
        <f t="shared" si="48"/>
        <v>0</v>
      </c>
      <c r="U61" s="54">
        <f t="shared" si="48"/>
        <v>0</v>
      </c>
      <c r="V61" s="54">
        <f t="shared" si="48"/>
        <v>0</v>
      </c>
      <c r="W61" s="53">
        <f t="shared" si="36"/>
        <v>0</v>
      </c>
      <c r="X61" s="54"/>
      <c r="Y61" s="284">
        <f t="shared" si="49"/>
        <v>0</v>
      </c>
      <c r="Z61" s="54">
        <f t="shared" si="37"/>
        <v>0</v>
      </c>
      <c r="AA61" s="54">
        <f t="shared" si="37"/>
        <v>0</v>
      </c>
      <c r="AB61" s="54">
        <f t="shared" si="37"/>
        <v>0</v>
      </c>
      <c r="AC61" s="53">
        <f t="shared" si="50"/>
        <v>0</v>
      </c>
      <c r="AD61" s="54"/>
      <c r="AE61" s="284">
        <f t="shared" si="51"/>
        <v>0</v>
      </c>
      <c r="AF61" s="54">
        <f t="shared" si="38"/>
        <v>0</v>
      </c>
      <c r="AG61" s="54">
        <f t="shared" si="38"/>
        <v>0</v>
      </c>
      <c r="AH61" s="54">
        <f t="shared" si="38"/>
        <v>0</v>
      </c>
      <c r="AI61" s="53">
        <f t="shared" si="52"/>
        <v>0</v>
      </c>
      <c r="AJ61" s="54"/>
      <c r="AK61" s="284">
        <f t="shared" si="53"/>
        <v>0</v>
      </c>
      <c r="AL61" s="54">
        <f t="shared" si="39"/>
        <v>0</v>
      </c>
      <c r="AM61" s="54">
        <f t="shared" si="39"/>
        <v>0</v>
      </c>
      <c r="AN61" s="54">
        <f t="shared" si="39"/>
        <v>0</v>
      </c>
      <c r="AO61" s="53">
        <f t="shared" si="54"/>
        <v>0</v>
      </c>
      <c r="AP61" s="54"/>
      <c r="AQ61" s="284">
        <f t="shared" si="55"/>
        <v>0</v>
      </c>
      <c r="AR61" s="52">
        <f t="shared" si="40"/>
        <v>0</v>
      </c>
      <c r="AS61" s="52">
        <f t="shared" si="40"/>
        <v>0</v>
      </c>
      <c r="AT61" s="52">
        <f t="shared" si="40"/>
        <v>0</v>
      </c>
      <c r="AU61" s="53">
        <f t="shared" si="56"/>
        <v>0</v>
      </c>
      <c r="AV61" s="54"/>
      <c r="AW61" s="284">
        <f t="shared" si="57"/>
        <v>0</v>
      </c>
      <c r="AX61" s="52">
        <f t="shared" si="41"/>
        <v>0</v>
      </c>
      <c r="AY61" s="52">
        <f t="shared" si="41"/>
        <v>0</v>
      </c>
      <c r="AZ61" s="52">
        <f t="shared" si="41"/>
        <v>0</v>
      </c>
      <c r="BA61" s="53">
        <f t="shared" si="58"/>
        <v>0</v>
      </c>
      <c r="BB61" s="54"/>
      <c r="BC61" s="284">
        <f t="shared" si="59"/>
        <v>0</v>
      </c>
      <c r="BD61" s="52">
        <f t="shared" si="42"/>
        <v>0</v>
      </c>
      <c r="BE61" s="52">
        <f t="shared" si="42"/>
        <v>0</v>
      </c>
      <c r="BF61" s="52">
        <f t="shared" si="43"/>
        <v>0</v>
      </c>
      <c r="BG61" s="53">
        <f t="shared" si="60"/>
        <v>0</v>
      </c>
      <c r="BH61" s="54"/>
      <c r="BI61" s="284">
        <f t="shared" si="61"/>
        <v>0</v>
      </c>
      <c r="BJ61" s="52">
        <f t="shared" si="44"/>
        <v>0</v>
      </c>
      <c r="BK61" s="52">
        <f t="shared" si="44"/>
        <v>0</v>
      </c>
      <c r="BL61" s="52">
        <f t="shared" si="45"/>
        <v>0</v>
      </c>
      <c r="BM61" s="53">
        <f t="shared" si="62"/>
        <v>0</v>
      </c>
      <c r="BN61" s="54"/>
      <c r="BO61" s="284">
        <f t="shared" si="63"/>
        <v>0</v>
      </c>
      <c r="BP61" s="52">
        <f t="shared" si="46"/>
        <v>0</v>
      </c>
      <c r="BQ61" s="52">
        <f t="shared" si="46"/>
        <v>0</v>
      </c>
      <c r="BR61" s="52">
        <f t="shared" si="47"/>
        <v>0</v>
      </c>
      <c r="BS61" s="53">
        <f t="shared" si="64"/>
        <v>0</v>
      </c>
      <c r="BT61" s="54"/>
      <c r="BU61" s="1221">
        <v>0</v>
      </c>
      <c r="BV61" s="224">
        <v>0</v>
      </c>
      <c r="BW61" s="224">
        <v>0</v>
      </c>
      <c r="BX61" s="224">
        <v>0</v>
      </c>
      <c r="BY61" s="53">
        <f t="shared" si="65"/>
        <v>0</v>
      </c>
      <c r="CA61" s="1221">
        <v>0</v>
      </c>
      <c r="CB61" s="224">
        <v>0</v>
      </c>
      <c r="CC61" s="224">
        <v>0</v>
      </c>
      <c r="CD61" s="224">
        <v>0</v>
      </c>
      <c r="CE61" s="53">
        <f t="shared" si="66"/>
        <v>0</v>
      </c>
      <c r="CG61" s="1221">
        <v>0</v>
      </c>
      <c r="CH61" s="224">
        <v>0</v>
      </c>
      <c r="CI61" s="224">
        <v>0</v>
      </c>
      <c r="CJ61" s="224">
        <v>0</v>
      </c>
      <c r="CK61" s="53">
        <f t="shared" si="67"/>
        <v>0</v>
      </c>
      <c r="CM61" s="1221">
        <v>0</v>
      </c>
      <c r="CN61" s="224">
        <v>0</v>
      </c>
      <c r="CO61" s="224">
        <v>0</v>
      </c>
      <c r="CP61" s="224">
        <v>0</v>
      </c>
      <c r="CQ61" s="53">
        <f t="shared" si="68"/>
        <v>0</v>
      </c>
    </row>
    <row r="62" spans="1:95" ht="11.25" hidden="1" customHeight="1" outlineLevel="1">
      <c r="A62" s="514" t="s">
        <v>302</v>
      </c>
      <c r="B62" s="509"/>
      <c r="C62" s="509"/>
      <c r="D62" s="54"/>
      <c r="E62" s="305"/>
      <c r="F62" s="54"/>
      <c r="G62" s="305">
        <f t="shared" si="29"/>
        <v>-5.359</v>
      </c>
      <c r="H62" s="54"/>
      <c r="I62" s="305">
        <f t="shared" si="30"/>
        <v>0</v>
      </c>
      <c r="J62" s="54"/>
      <c r="K62" s="305">
        <f t="shared" si="31"/>
        <v>0</v>
      </c>
      <c r="L62" s="54"/>
      <c r="M62" s="305">
        <f t="shared" si="32"/>
        <v>0</v>
      </c>
      <c r="N62" s="54"/>
      <c r="O62" s="305">
        <f t="shared" si="33"/>
        <v>0</v>
      </c>
      <c r="P62" s="54"/>
      <c r="Q62" s="305">
        <f t="shared" si="34"/>
        <v>0</v>
      </c>
      <c r="R62" s="54"/>
      <c r="S62" s="284">
        <f t="shared" si="35"/>
        <v>0</v>
      </c>
      <c r="T62" s="54">
        <f t="shared" si="48"/>
        <v>0</v>
      </c>
      <c r="U62" s="54">
        <f t="shared" si="48"/>
        <v>0</v>
      </c>
      <c r="V62" s="54">
        <f t="shared" si="48"/>
        <v>0</v>
      </c>
      <c r="W62" s="53">
        <f t="shared" si="36"/>
        <v>0</v>
      </c>
      <c r="X62" s="54"/>
      <c r="Y62" s="284">
        <f t="shared" si="49"/>
        <v>0</v>
      </c>
      <c r="Z62" s="54">
        <f t="shared" si="37"/>
        <v>0</v>
      </c>
      <c r="AA62" s="54">
        <f t="shared" si="37"/>
        <v>0</v>
      </c>
      <c r="AB62" s="54">
        <f t="shared" si="37"/>
        <v>0</v>
      </c>
      <c r="AC62" s="53">
        <f t="shared" si="50"/>
        <v>0</v>
      </c>
      <c r="AD62" s="54"/>
      <c r="AE62" s="284">
        <f t="shared" si="51"/>
        <v>0</v>
      </c>
      <c r="AF62" s="54">
        <f t="shared" si="38"/>
        <v>0</v>
      </c>
      <c r="AG62" s="54">
        <f t="shared" si="38"/>
        <v>0</v>
      </c>
      <c r="AH62" s="54">
        <f t="shared" si="38"/>
        <v>0</v>
      </c>
      <c r="AI62" s="53">
        <f t="shared" si="52"/>
        <v>0</v>
      </c>
      <c r="AJ62" s="54"/>
      <c r="AK62" s="284">
        <f t="shared" si="53"/>
        <v>0</v>
      </c>
      <c r="AL62" s="54">
        <f t="shared" si="39"/>
        <v>0</v>
      </c>
      <c r="AM62" s="54">
        <f t="shared" si="39"/>
        <v>0</v>
      </c>
      <c r="AN62" s="54">
        <f t="shared" si="39"/>
        <v>0</v>
      </c>
      <c r="AO62" s="53">
        <f t="shared" si="54"/>
        <v>0</v>
      </c>
      <c r="AP62" s="54"/>
      <c r="AQ62" s="284">
        <f t="shared" si="55"/>
        <v>0</v>
      </c>
      <c r="AR62" s="52">
        <f t="shared" si="40"/>
        <v>0</v>
      </c>
      <c r="AS62" s="52">
        <f t="shared" si="40"/>
        <v>0</v>
      </c>
      <c r="AT62" s="52">
        <f t="shared" si="40"/>
        <v>0</v>
      </c>
      <c r="AU62" s="53">
        <f t="shared" si="56"/>
        <v>0</v>
      </c>
      <c r="AV62" s="54"/>
      <c r="AW62" s="284">
        <f t="shared" si="57"/>
        <v>0</v>
      </c>
      <c r="AX62" s="52">
        <f t="shared" si="41"/>
        <v>0</v>
      </c>
      <c r="AY62" s="52">
        <f t="shared" si="41"/>
        <v>0</v>
      </c>
      <c r="AZ62" s="52">
        <f t="shared" si="41"/>
        <v>0</v>
      </c>
      <c r="BA62" s="53">
        <f t="shared" si="58"/>
        <v>0</v>
      </c>
      <c r="BB62" s="54"/>
      <c r="BC62" s="284">
        <f t="shared" si="59"/>
        <v>0</v>
      </c>
      <c r="BD62" s="52">
        <f t="shared" si="42"/>
        <v>0</v>
      </c>
      <c r="BE62" s="52">
        <f t="shared" si="42"/>
        <v>0</v>
      </c>
      <c r="BF62" s="52">
        <f t="shared" si="43"/>
        <v>0</v>
      </c>
      <c r="BG62" s="53">
        <f t="shared" si="60"/>
        <v>0</v>
      </c>
      <c r="BH62" s="54"/>
      <c r="BI62" s="284">
        <f t="shared" si="61"/>
        <v>0</v>
      </c>
      <c r="BJ62" s="52">
        <f t="shared" si="44"/>
        <v>0</v>
      </c>
      <c r="BK62" s="52">
        <f t="shared" si="44"/>
        <v>0</v>
      </c>
      <c r="BL62" s="52">
        <f t="shared" si="45"/>
        <v>0</v>
      </c>
      <c r="BM62" s="53">
        <f t="shared" si="62"/>
        <v>0</v>
      </c>
      <c r="BN62" s="54"/>
      <c r="BO62" s="284">
        <f t="shared" si="63"/>
        <v>0</v>
      </c>
      <c r="BP62" s="52">
        <f t="shared" si="46"/>
        <v>0</v>
      </c>
      <c r="BQ62" s="52">
        <f t="shared" si="46"/>
        <v>0</v>
      </c>
      <c r="BR62" s="52">
        <f t="shared" si="47"/>
        <v>0</v>
      </c>
      <c r="BS62" s="53">
        <f t="shared" si="64"/>
        <v>0</v>
      </c>
      <c r="BT62" s="54"/>
      <c r="BU62" s="1221">
        <v>0</v>
      </c>
      <c r="BV62" s="224">
        <v>0</v>
      </c>
      <c r="BW62" s="224">
        <v>0</v>
      </c>
      <c r="BX62" s="224">
        <v>0</v>
      </c>
      <c r="BY62" s="53">
        <f t="shared" si="65"/>
        <v>0</v>
      </c>
      <c r="CA62" s="1221">
        <v>0</v>
      </c>
      <c r="CB62" s="224">
        <v>0</v>
      </c>
      <c r="CC62" s="224">
        <v>0</v>
      </c>
      <c r="CD62" s="224">
        <v>0</v>
      </c>
      <c r="CE62" s="53">
        <f t="shared" si="66"/>
        <v>0</v>
      </c>
      <c r="CG62" s="1221">
        <v>0</v>
      </c>
      <c r="CH62" s="224">
        <v>0</v>
      </c>
      <c r="CI62" s="224">
        <v>0</v>
      </c>
      <c r="CJ62" s="224">
        <v>0</v>
      </c>
      <c r="CK62" s="53">
        <f t="shared" si="67"/>
        <v>0</v>
      </c>
      <c r="CM62" s="1221">
        <v>0</v>
      </c>
      <c r="CN62" s="224">
        <v>0</v>
      </c>
      <c r="CO62" s="224">
        <v>0</v>
      </c>
      <c r="CP62" s="224">
        <v>0</v>
      </c>
      <c r="CQ62" s="53">
        <f t="shared" si="68"/>
        <v>0</v>
      </c>
    </row>
    <row r="63" spans="1:95" ht="11.25" hidden="1" customHeight="1" outlineLevel="1">
      <c r="A63" s="514" t="s">
        <v>56</v>
      </c>
      <c r="B63" s="509"/>
      <c r="C63" s="509"/>
      <c r="D63" s="105"/>
      <c r="E63" s="305"/>
      <c r="F63" s="532"/>
      <c r="G63" s="305">
        <f t="shared" si="29"/>
        <v>0</v>
      </c>
      <c r="H63" s="105"/>
      <c r="I63" s="305">
        <f t="shared" si="30"/>
        <v>-0.17000000000000037</v>
      </c>
      <c r="J63" s="105"/>
      <c r="K63" s="305">
        <f t="shared" si="31"/>
        <v>-0.17999999999999972</v>
      </c>
      <c r="L63" s="105"/>
      <c r="M63" s="305">
        <f t="shared" si="32"/>
        <v>-0.19000000000000017</v>
      </c>
      <c r="N63" s="105"/>
      <c r="O63" s="305">
        <f t="shared" si="33"/>
        <v>-0.15999999999999992</v>
      </c>
      <c r="P63" s="105"/>
      <c r="Q63" s="305">
        <f t="shared" si="34"/>
        <v>-1.5</v>
      </c>
      <c r="R63" s="105"/>
      <c r="S63" s="284">
        <f t="shared" si="35"/>
        <v>0</v>
      </c>
      <c r="T63" s="105">
        <f t="shared" si="48"/>
        <v>0</v>
      </c>
      <c r="U63" s="105">
        <f t="shared" si="48"/>
        <v>0</v>
      </c>
      <c r="V63" s="105">
        <f t="shared" si="48"/>
        <v>0</v>
      </c>
      <c r="W63" s="53">
        <f t="shared" si="36"/>
        <v>0</v>
      </c>
      <c r="X63" s="105"/>
      <c r="Y63" s="284">
        <f t="shared" si="49"/>
        <v>0</v>
      </c>
      <c r="Z63" s="105">
        <f t="shared" si="37"/>
        <v>0</v>
      </c>
      <c r="AA63" s="105">
        <f t="shared" si="37"/>
        <v>0</v>
      </c>
      <c r="AB63" s="105">
        <f t="shared" si="37"/>
        <v>0</v>
      </c>
      <c r="AC63" s="53">
        <f t="shared" si="50"/>
        <v>0</v>
      </c>
      <c r="AD63" s="105"/>
      <c r="AE63" s="284">
        <f t="shared" si="51"/>
        <v>0</v>
      </c>
      <c r="AF63" s="105">
        <f t="shared" si="38"/>
        <v>0</v>
      </c>
      <c r="AG63" s="105">
        <f t="shared" si="38"/>
        <v>0</v>
      </c>
      <c r="AH63" s="105">
        <f t="shared" si="38"/>
        <v>0</v>
      </c>
      <c r="AI63" s="53">
        <f t="shared" si="52"/>
        <v>0</v>
      </c>
      <c r="AJ63" s="105"/>
      <c r="AK63" s="284">
        <f t="shared" si="53"/>
        <v>0</v>
      </c>
      <c r="AL63" s="105">
        <f t="shared" si="39"/>
        <v>0</v>
      </c>
      <c r="AM63" s="105">
        <f t="shared" si="39"/>
        <v>0</v>
      </c>
      <c r="AN63" s="105">
        <f t="shared" si="39"/>
        <v>0</v>
      </c>
      <c r="AO63" s="53">
        <f t="shared" si="54"/>
        <v>0</v>
      </c>
      <c r="AP63" s="105"/>
      <c r="AQ63" s="284">
        <f t="shared" si="55"/>
        <v>0</v>
      </c>
      <c r="AR63" s="52">
        <f t="shared" si="40"/>
        <v>0</v>
      </c>
      <c r="AS63" s="52">
        <f t="shared" si="40"/>
        <v>0</v>
      </c>
      <c r="AT63" s="52">
        <f t="shared" si="40"/>
        <v>0</v>
      </c>
      <c r="AU63" s="53">
        <f t="shared" si="56"/>
        <v>0</v>
      </c>
      <c r="AV63" s="105"/>
      <c r="AW63" s="284">
        <f t="shared" si="57"/>
        <v>0</v>
      </c>
      <c r="AX63" s="52">
        <f t="shared" si="41"/>
        <v>0</v>
      </c>
      <c r="AY63" s="52">
        <f t="shared" si="41"/>
        <v>0</v>
      </c>
      <c r="AZ63" s="52">
        <f t="shared" si="41"/>
        <v>0</v>
      </c>
      <c r="BA63" s="53">
        <f t="shared" si="58"/>
        <v>0</v>
      </c>
      <c r="BB63" s="105"/>
      <c r="BC63" s="284">
        <f t="shared" si="59"/>
        <v>0</v>
      </c>
      <c r="BD63" s="52">
        <f t="shared" si="42"/>
        <v>0</v>
      </c>
      <c r="BE63" s="52">
        <f t="shared" si="42"/>
        <v>0</v>
      </c>
      <c r="BF63" s="52">
        <f t="shared" si="43"/>
        <v>0</v>
      </c>
      <c r="BG63" s="53">
        <f t="shared" si="60"/>
        <v>0</v>
      </c>
      <c r="BH63" s="105"/>
      <c r="BI63" s="284">
        <f t="shared" si="61"/>
        <v>0</v>
      </c>
      <c r="BJ63" s="52">
        <f t="shared" si="44"/>
        <v>0</v>
      </c>
      <c r="BK63" s="52">
        <f t="shared" si="44"/>
        <v>0</v>
      </c>
      <c r="BL63" s="52">
        <f t="shared" si="45"/>
        <v>0</v>
      </c>
      <c r="BM63" s="53">
        <f t="shared" si="62"/>
        <v>0</v>
      </c>
      <c r="BN63" s="105"/>
      <c r="BO63" s="284">
        <f t="shared" si="63"/>
        <v>0</v>
      </c>
      <c r="BP63" s="52">
        <f t="shared" si="46"/>
        <v>0</v>
      </c>
      <c r="BQ63" s="52">
        <f t="shared" si="46"/>
        <v>0</v>
      </c>
      <c r="BR63" s="52">
        <f t="shared" si="47"/>
        <v>0</v>
      </c>
      <c r="BS63" s="53">
        <f t="shared" si="64"/>
        <v>0</v>
      </c>
      <c r="BT63" s="54"/>
      <c r="BU63" s="1221">
        <v>0</v>
      </c>
      <c r="BV63" s="140">
        <v>0</v>
      </c>
      <c r="BW63" s="140">
        <v>0</v>
      </c>
      <c r="BX63" s="140">
        <v>0</v>
      </c>
      <c r="BY63" s="53">
        <f t="shared" si="65"/>
        <v>0</v>
      </c>
      <c r="BZ63" s="21"/>
      <c r="CA63" s="1221">
        <v>0</v>
      </c>
      <c r="CB63" s="140">
        <v>0</v>
      </c>
      <c r="CC63" s="140">
        <v>0</v>
      </c>
      <c r="CD63" s="140">
        <v>0</v>
      </c>
      <c r="CE63" s="53">
        <f t="shared" si="66"/>
        <v>0</v>
      </c>
      <c r="CF63" s="21"/>
      <c r="CG63" s="1221">
        <v>0</v>
      </c>
      <c r="CH63" s="140">
        <v>0</v>
      </c>
      <c r="CI63" s="140">
        <v>0</v>
      </c>
      <c r="CJ63" s="140">
        <v>0</v>
      </c>
      <c r="CK63" s="53">
        <f t="shared" si="67"/>
        <v>0</v>
      </c>
      <c r="CM63" s="1221">
        <v>0</v>
      </c>
      <c r="CN63" s="140">
        <v>0</v>
      </c>
      <c r="CO63" s="140">
        <v>0</v>
      </c>
      <c r="CP63" s="140">
        <v>0</v>
      </c>
      <c r="CQ63" s="53">
        <f t="shared" si="68"/>
        <v>0</v>
      </c>
    </row>
    <row r="64" spans="1:95" ht="11.25" customHeight="1" collapsed="1">
      <c r="A64" s="1066" t="s">
        <v>331</v>
      </c>
      <c r="B64" s="1067"/>
      <c r="C64" s="1067"/>
      <c r="D64" s="1068"/>
      <c r="E64" s="1084"/>
      <c r="F64" s="1068"/>
      <c r="G64" s="1085">
        <f>SUM(G41:G63)</f>
        <v>4.634999999999998</v>
      </c>
      <c r="H64" s="1068"/>
      <c r="I64" s="1085">
        <f>SUM(I41:I63)</f>
        <v>1.1900000000000013</v>
      </c>
      <c r="J64" s="1068"/>
      <c r="K64" s="1085">
        <f>SUM(K41:K63)</f>
        <v>-2.471000000000001</v>
      </c>
      <c r="L64" s="1068"/>
      <c r="M64" s="1085">
        <f>SUM(M41:M63)</f>
        <v>-1.9870000000000003</v>
      </c>
      <c r="N64" s="1068"/>
      <c r="O64" s="1085">
        <f>SUM(O41:O63)</f>
        <v>5.6759999999999993</v>
      </c>
      <c r="P64" s="1068"/>
      <c r="Q64" s="1085">
        <f>SUM(Q41:Q63)</f>
        <v>170.10000000000002</v>
      </c>
      <c r="R64" s="1068"/>
      <c r="S64" s="1070">
        <f>SUM(S41:S63)</f>
        <v>-3.5000000000000058</v>
      </c>
      <c r="T64" s="1071">
        <f>SUM(T41:T63)</f>
        <v>-27.499999999999986</v>
      </c>
      <c r="U64" s="1071">
        <f>SUM(U41:U63)</f>
        <v>-19.200000000000014</v>
      </c>
      <c r="V64" s="1071">
        <f>SUM(V41:V63)</f>
        <v>-13.299999999999988</v>
      </c>
      <c r="W64" s="1072">
        <f>SUM(W41:W63)</f>
        <v>-63.499999999999993</v>
      </c>
      <c r="X64" s="1068"/>
      <c r="Y64" s="1070">
        <f>SUM(Y41:Y63)</f>
        <v>-4.5000000000000115</v>
      </c>
      <c r="Z64" s="1071">
        <f>SUM(Z41:Z63)</f>
        <v>-6.3999999999999941</v>
      </c>
      <c r="AA64" s="1071">
        <f>SUM(AA41:AA63)</f>
        <v>-5.3000000000000087</v>
      </c>
      <c r="AB64" s="1071">
        <f>SUM(AB41:AB63)</f>
        <v>-5.9000000000000021</v>
      </c>
      <c r="AC64" s="1072">
        <f>SUM(AC41:AC63)</f>
        <v>-22.100000000000019</v>
      </c>
      <c r="AD64" s="1068"/>
      <c r="AE64" s="1070">
        <f>SUM(AE41:AE63)</f>
        <v>-5.5999999999999943</v>
      </c>
      <c r="AF64" s="1071">
        <f>SUM(AF41:AF63)</f>
        <v>-7.6000000000000005</v>
      </c>
      <c r="AG64" s="1071">
        <f>SUM(AG41:AG63)</f>
        <v>-7.8999999999999995</v>
      </c>
      <c r="AH64" s="1071">
        <f>SUM(AH41:AH63)</f>
        <v>208.7</v>
      </c>
      <c r="AI64" s="1072">
        <f>SUM(AI41:AI63)</f>
        <v>187.6</v>
      </c>
      <c r="AJ64" s="1068"/>
      <c r="AK64" s="1070">
        <f>SUM(AK41:AK63)</f>
        <v>16.5</v>
      </c>
      <c r="AL64" s="1071">
        <f>SUM(AL41:AL63)</f>
        <v>1.2999999999999972</v>
      </c>
      <c r="AM64" s="1071">
        <f>SUM(AM41:AM63)</f>
        <v>16.000000000000004</v>
      </c>
      <c r="AN64" s="1073">
        <f>SUM(AN41:AN63)</f>
        <v>0.29999999999999982</v>
      </c>
      <c r="AO64" s="1072">
        <f>SUM(AO41:AO63)</f>
        <v>34.1</v>
      </c>
      <c r="AP64" s="1068"/>
      <c r="AQ64" s="1070">
        <f>SUM(AQ41:AQ63)</f>
        <v>-0.60000000000000009</v>
      </c>
      <c r="AR64" s="1071">
        <f>SUM(AR41:AR63)</f>
        <v>-0.10000000000000009</v>
      </c>
      <c r="AS64" s="1071">
        <f>SUM(AS41:AS63)</f>
        <v>19.2</v>
      </c>
      <c r="AT64" s="1071">
        <f>SUM(AT41:AT63)</f>
        <v>-0.70000000000000018</v>
      </c>
      <c r="AU64" s="1072">
        <f>SUM(AU41:AU63)</f>
        <v>17.8</v>
      </c>
      <c r="AV64" s="1068"/>
      <c r="AW64" s="1070">
        <f>SUM(AW41:AW63)</f>
        <v>-0.20000000000000018</v>
      </c>
      <c r="AX64" s="1071">
        <f>SUM(AX41:AX63)</f>
        <v>0.90000000000000036</v>
      </c>
      <c r="AY64" s="1071">
        <f>SUM(AY41:AY63)</f>
        <v>-0.5</v>
      </c>
      <c r="AZ64" s="1071">
        <f>SUM(AZ41:AZ63)</f>
        <v>-0.20000000000000018</v>
      </c>
      <c r="BA64" s="1072">
        <f>SUM(BA41:BA63)</f>
        <v>0</v>
      </c>
      <c r="BB64" s="1068"/>
      <c r="BC64" s="1075">
        <f>SUM(BC41:BC63)</f>
        <v>-0.39999999999999991</v>
      </c>
      <c r="BD64" s="1071">
        <f>SUM(BD41:BD63)</f>
        <v>10</v>
      </c>
      <c r="BE64" s="1071">
        <f>SUM(BE41:BE63)</f>
        <v>6.8</v>
      </c>
      <c r="BF64" s="1071">
        <f>SUM(BF41:BF63)</f>
        <v>-104.7</v>
      </c>
      <c r="BG64" s="1072">
        <f>SUM(BG41:BG63)</f>
        <v>-88.3</v>
      </c>
      <c r="BH64" s="1068"/>
      <c r="BI64" s="1075">
        <f>SUM(BI41:BI63)</f>
        <v>35.5</v>
      </c>
      <c r="BJ64" s="1071">
        <f>SUM(BJ41:BJ63)</f>
        <v>40.799999999999997</v>
      </c>
      <c r="BK64" s="1071">
        <f>SUM(BK41:BK63)</f>
        <v>21.9</v>
      </c>
      <c r="BL64" s="1071">
        <f>SUM(BL41:BL63)</f>
        <v>46.8</v>
      </c>
      <c r="BM64" s="1072">
        <f>SUM(BM41:BM63)</f>
        <v>145</v>
      </c>
      <c r="BN64" s="1068"/>
      <c r="BO64" s="1075">
        <f>SUM(BO41:BO63)</f>
        <v>-26.9</v>
      </c>
      <c r="BP64" s="1071">
        <f>SUM(BP41:BP63)</f>
        <v>46</v>
      </c>
      <c r="BQ64" s="1071">
        <f>SUM(BQ41:BQ63)</f>
        <v>49.7</v>
      </c>
      <c r="BR64" s="1071">
        <f>SUM(BR41:BR63)</f>
        <v>-64.900000000000006</v>
      </c>
      <c r="BS64" s="1072">
        <f>SUM(BS41:BS63)</f>
        <v>3.9000000000000004</v>
      </c>
      <c r="BT64" s="54"/>
      <c r="BU64" s="1075">
        <f>SUM(BU41:BU63)</f>
        <v>0</v>
      </c>
      <c r="BV64" s="1071">
        <f>SUM(BV41:BV63)</f>
        <v>0</v>
      </c>
      <c r="BW64" s="1071">
        <f>SUM(BW41:BW63)</f>
        <v>0</v>
      </c>
      <c r="BX64" s="1071">
        <f>SUM(BX41:BX63)</f>
        <v>0</v>
      </c>
      <c r="BY64" s="1072">
        <f>SUM(BY41:BY63)</f>
        <v>0</v>
      </c>
      <c r="CA64" s="1075">
        <f>SUM(CA41:CA63)</f>
        <v>0</v>
      </c>
      <c r="CB64" s="1071">
        <f>SUM(CB41:CB63)</f>
        <v>0</v>
      </c>
      <c r="CC64" s="1071">
        <f>SUM(CC41:CC63)</f>
        <v>0</v>
      </c>
      <c r="CD64" s="1071">
        <f>SUM(CD41:CD63)</f>
        <v>0</v>
      </c>
      <c r="CE64" s="1072">
        <f>SUM(CE41:CE63)</f>
        <v>0</v>
      </c>
      <c r="CG64" s="1075">
        <f>SUM(CG41:CG63)</f>
        <v>0</v>
      </c>
      <c r="CH64" s="1071">
        <f>SUM(CH41:CH63)</f>
        <v>0</v>
      </c>
      <c r="CI64" s="1071">
        <f>SUM(CI41:CI63)</f>
        <v>0</v>
      </c>
      <c r="CJ64" s="1071">
        <f>SUM(CJ41:CJ63)</f>
        <v>0</v>
      </c>
      <c r="CK64" s="1072">
        <f>SUM(CK41:CK63)</f>
        <v>0</v>
      </c>
      <c r="CM64" s="1075">
        <f>SUM(CM41:CM63)</f>
        <v>0</v>
      </c>
      <c r="CN64" s="1071">
        <f>SUM(CN41:CN63)</f>
        <v>0</v>
      </c>
      <c r="CO64" s="1071">
        <f>SUM(CO41:CO63)</f>
        <v>0</v>
      </c>
      <c r="CP64" s="1071">
        <f>SUM(CP41:CP63)</f>
        <v>0</v>
      </c>
      <c r="CQ64" s="1072">
        <f>SUM(CQ41:CQ63)</f>
        <v>0</v>
      </c>
    </row>
    <row r="65" spans="1:101" ht="11.25" customHeight="1">
      <c r="A65" s="1078" t="s">
        <v>278</v>
      </c>
      <c r="B65" s="1078"/>
      <c r="C65" s="1078"/>
      <c r="D65" s="1086"/>
      <c r="E65" s="1087"/>
      <c r="F65" s="1001"/>
      <c r="G65" s="1087">
        <f>G33-E33</f>
        <v>-4.3810000000000002</v>
      </c>
      <c r="H65" s="1001"/>
      <c r="I65" s="1087">
        <f>I33-G33</f>
        <v>-0.19899999999999984</v>
      </c>
      <c r="J65" s="105"/>
      <c r="K65" s="305">
        <f>K33-I33</f>
        <v>0.22199999999999998</v>
      </c>
      <c r="L65" s="105"/>
      <c r="M65" s="305">
        <f>M33-K33</f>
        <v>0.21999999999999975</v>
      </c>
      <c r="N65" s="105"/>
      <c r="O65" s="305">
        <f>O33-M33</f>
        <v>19.939</v>
      </c>
      <c r="P65" s="105"/>
      <c r="Q65" s="305">
        <f>Q33-O33</f>
        <v>-4.0999999999999979</v>
      </c>
      <c r="R65" s="105"/>
      <c r="S65" s="284">
        <f>S33-Q33</f>
        <v>6.5999999999999979</v>
      </c>
      <c r="T65" s="105">
        <f t="shared" ref="T65:V67" si="69">T33-S33</f>
        <v>17.600000000000001</v>
      </c>
      <c r="U65" s="105">
        <f t="shared" si="69"/>
        <v>-12</v>
      </c>
      <c r="V65" s="105">
        <f t="shared" si="69"/>
        <v>-8.6000000000000014</v>
      </c>
      <c r="W65" s="53">
        <f>W33-Q33</f>
        <v>3.5999999999999979</v>
      </c>
      <c r="X65" s="105"/>
      <c r="Y65" s="284">
        <f>Y33-W33</f>
        <v>1.6000000000000014</v>
      </c>
      <c r="Z65" s="105">
        <f t="shared" ref="Z65:AB67" si="70">Z33-Y33</f>
        <v>1.6000000000000014</v>
      </c>
      <c r="AA65" s="105">
        <f t="shared" si="70"/>
        <v>2</v>
      </c>
      <c r="AB65" s="105">
        <f t="shared" si="70"/>
        <v>1.7999999999999972</v>
      </c>
      <c r="AC65" s="53">
        <f>AC33-W33</f>
        <v>7</v>
      </c>
      <c r="AD65" s="105"/>
      <c r="AE65" s="284">
        <f>AE33-AC33</f>
        <v>2</v>
      </c>
      <c r="AF65" s="105">
        <f t="shared" ref="AF65:AH67" si="71">AF33-AE33</f>
        <v>11.200000000000003</v>
      </c>
      <c r="AG65" s="105">
        <f t="shared" si="71"/>
        <v>11.5</v>
      </c>
      <c r="AH65" s="105">
        <f t="shared" si="71"/>
        <v>30.1</v>
      </c>
      <c r="AI65" s="53">
        <f>AI33-AC33</f>
        <v>54.800000000000004</v>
      </c>
      <c r="AJ65" s="105"/>
      <c r="AK65" s="284">
        <f>AK33-AI33</f>
        <v>-7.4000000000000057</v>
      </c>
      <c r="AL65" s="105">
        <f t="shared" ref="AL65:AN67" si="72">AL33-AK33</f>
        <v>1.2999999999999972</v>
      </c>
      <c r="AM65" s="105">
        <f t="shared" si="72"/>
        <v>-38.699999999999996</v>
      </c>
      <c r="AN65" s="181">
        <f t="shared" si="72"/>
        <v>-37.6</v>
      </c>
      <c r="AO65" s="53">
        <f>AO33-AI33</f>
        <v>-82.4</v>
      </c>
      <c r="AP65" s="105"/>
      <c r="AQ65" s="284">
        <f>AQ33-AO33</f>
        <v>-0.19999999999999996</v>
      </c>
      <c r="AR65" s="105">
        <f t="shared" ref="AR65:AT67" si="73">AR33-AQ33</f>
        <v>0</v>
      </c>
      <c r="AS65" s="105">
        <f t="shared" si="73"/>
        <v>-0.10000000000000009</v>
      </c>
      <c r="AT65" s="105">
        <f t="shared" si="73"/>
        <v>-0.30000000000000004</v>
      </c>
      <c r="AU65" s="53">
        <f>AU33-AO33</f>
        <v>-0.60000000000000009</v>
      </c>
      <c r="AV65" s="105"/>
      <c r="AW65" s="284">
        <f>AW33-AU33</f>
        <v>0</v>
      </c>
      <c r="AX65" s="105">
        <f t="shared" ref="AX65:AZ67" si="74">AX33-AW33</f>
        <v>0.10000000000000009</v>
      </c>
      <c r="AY65" s="105">
        <f t="shared" si="74"/>
        <v>-0.10000000000000009</v>
      </c>
      <c r="AZ65" s="105">
        <f t="shared" si="74"/>
        <v>0.10000000000000009</v>
      </c>
      <c r="BA65" s="53">
        <f>BA33-AU33</f>
        <v>0.10000000000000009</v>
      </c>
      <c r="BB65" s="105"/>
      <c r="BC65" s="284">
        <f>BC33-BA33</f>
        <v>-0.10000000000000009</v>
      </c>
      <c r="BD65" s="105">
        <f t="shared" ref="BD65:BE67" si="75">BD33-BC33</f>
        <v>122.5</v>
      </c>
      <c r="BE65" s="105">
        <f t="shared" si="75"/>
        <v>7.1000000000000085</v>
      </c>
      <c r="BF65" s="105">
        <f>BF33-BE33</f>
        <v>-129.60000000000002</v>
      </c>
      <c r="BG65" s="53">
        <f>BG33-BA33</f>
        <v>-0.10000000000000009</v>
      </c>
      <c r="BH65" s="105"/>
      <c r="BI65" s="284">
        <f>BI33-BG33</f>
        <v>19.7</v>
      </c>
      <c r="BJ65" s="105">
        <f t="shared" ref="BJ65:BK67" si="76">BJ33-BI33</f>
        <v>-9.9999999999997868E-2</v>
      </c>
      <c r="BK65" s="105">
        <f t="shared" si="76"/>
        <v>-0.10000000000000142</v>
      </c>
      <c r="BL65" s="105">
        <f>BL33-BK33</f>
        <v>-9.9999999999997868E-2</v>
      </c>
      <c r="BM65" s="53">
        <f>BM33-BG33</f>
        <v>19.400000000000002</v>
      </c>
      <c r="BN65" s="105"/>
      <c r="BO65" s="284">
        <f>BO33-BM33</f>
        <v>-20</v>
      </c>
      <c r="BP65" s="105">
        <f t="shared" ref="BP65:BQ67" si="77">BP33-BO33</f>
        <v>0</v>
      </c>
      <c r="BQ65" s="105">
        <f t="shared" si="77"/>
        <v>-0.1</v>
      </c>
      <c r="BR65" s="105">
        <f>BR33-BQ33</f>
        <v>0</v>
      </c>
      <c r="BS65" s="53">
        <f>BS33-BM33</f>
        <v>-20.100000000000001</v>
      </c>
      <c r="BT65" s="54"/>
      <c r="BU65" s="1221">
        <v>0</v>
      </c>
      <c r="BV65" s="140">
        <v>0</v>
      </c>
      <c r="BW65" s="140">
        <v>0</v>
      </c>
      <c r="BX65" s="140">
        <v>0</v>
      </c>
      <c r="BY65" s="53">
        <f>BY33-BS33</f>
        <v>0</v>
      </c>
      <c r="BZ65" s="21"/>
      <c r="CA65" s="1221">
        <v>0</v>
      </c>
      <c r="CB65" s="140">
        <v>0</v>
      </c>
      <c r="CC65" s="140">
        <v>0</v>
      </c>
      <c r="CD65" s="140">
        <v>0</v>
      </c>
      <c r="CE65" s="53">
        <f>CE33-BY33</f>
        <v>0</v>
      </c>
      <c r="CF65" s="21"/>
      <c r="CG65" s="1221">
        <v>0</v>
      </c>
      <c r="CH65" s="140">
        <v>0</v>
      </c>
      <c r="CI65" s="140">
        <v>0</v>
      </c>
      <c r="CJ65" s="140">
        <v>0</v>
      </c>
      <c r="CK65" s="53">
        <f>CK33-CE33</f>
        <v>0</v>
      </c>
      <c r="CM65" s="1221">
        <v>0</v>
      </c>
      <c r="CN65" s="140">
        <v>0</v>
      </c>
      <c r="CO65" s="140">
        <v>0</v>
      </c>
      <c r="CP65" s="140">
        <v>0</v>
      </c>
      <c r="CQ65" s="53">
        <f>CQ33-CK33</f>
        <v>0</v>
      </c>
    </row>
    <row r="66" spans="1:101" ht="11.25" customHeight="1">
      <c r="A66" s="1076" t="s">
        <v>303</v>
      </c>
      <c r="B66" s="1077"/>
      <c r="C66" s="1077"/>
      <c r="D66" s="1068"/>
      <c r="E66" s="1084"/>
      <c r="F66" s="1068"/>
      <c r="G66" s="1085">
        <f>G34-E34</f>
        <v>9.0160000000000018</v>
      </c>
      <c r="H66" s="1068"/>
      <c r="I66" s="1085">
        <f>I34-G34</f>
        <v>1.3890000000000065</v>
      </c>
      <c r="J66" s="1068"/>
      <c r="K66" s="1085">
        <f>K34-I34</f>
        <v>-2.6930000000000049</v>
      </c>
      <c r="L66" s="1068"/>
      <c r="M66" s="1085">
        <f>M34-K34</f>
        <v>-2.2069999999999972</v>
      </c>
      <c r="N66" s="1068"/>
      <c r="O66" s="1085">
        <f>O34-M34</f>
        <v>-14.263000000000002</v>
      </c>
      <c r="P66" s="1068"/>
      <c r="Q66" s="1085">
        <f>Q34-O34</f>
        <v>174.2</v>
      </c>
      <c r="R66" s="1068"/>
      <c r="S66" s="1070">
        <f>S34-Q34</f>
        <v>-10.099999999999966</v>
      </c>
      <c r="T66" s="1071">
        <f t="shared" si="69"/>
        <v>-45.099999999999994</v>
      </c>
      <c r="U66" s="1071">
        <f t="shared" si="69"/>
        <v>-7.2000000000000171</v>
      </c>
      <c r="V66" s="1071">
        <f t="shared" si="69"/>
        <v>-4.6999999999999886</v>
      </c>
      <c r="W66" s="1072">
        <f>W34-Q34</f>
        <v>-67.099999999999966</v>
      </c>
      <c r="X66" s="1068"/>
      <c r="Y66" s="1070">
        <f>Y34-W34</f>
        <v>-6.1000000000000227</v>
      </c>
      <c r="Z66" s="1071">
        <f t="shared" si="70"/>
        <v>-8</v>
      </c>
      <c r="AA66" s="1071">
        <f t="shared" si="70"/>
        <v>-7.3000000000000114</v>
      </c>
      <c r="AB66" s="1071">
        <f t="shared" si="70"/>
        <v>-7.6999999999999886</v>
      </c>
      <c r="AC66" s="1072">
        <f>AC34-W34</f>
        <v>-29.100000000000023</v>
      </c>
      <c r="AD66" s="1068"/>
      <c r="AE66" s="1070">
        <f>AE34-AC34</f>
        <v>-7.5999999999999943</v>
      </c>
      <c r="AF66" s="1071">
        <f t="shared" si="71"/>
        <v>-18.800000000000004</v>
      </c>
      <c r="AG66" s="1071">
        <f t="shared" si="71"/>
        <v>-19.399999999999991</v>
      </c>
      <c r="AH66" s="1071">
        <f t="shared" si="71"/>
        <v>178.60000000000002</v>
      </c>
      <c r="AI66" s="1072">
        <f>AI34-AC34</f>
        <v>132.80000000000004</v>
      </c>
      <c r="AJ66" s="1068"/>
      <c r="AK66" s="1070">
        <f>AK34-AI34</f>
        <v>23.899999999999977</v>
      </c>
      <c r="AL66" s="1071">
        <f t="shared" si="72"/>
        <v>0</v>
      </c>
      <c r="AM66" s="1071">
        <f t="shared" si="72"/>
        <v>54.69999999999996</v>
      </c>
      <c r="AN66" s="1073">
        <f t="shared" si="72"/>
        <v>37.899999999999977</v>
      </c>
      <c r="AO66" s="1072">
        <f>AO34-AI34</f>
        <v>116.49999999999994</v>
      </c>
      <c r="AP66" s="1068"/>
      <c r="AQ66" s="1070">
        <f>AQ34-AO34</f>
        <v>-0.39999999999997726</v>
      </c>
      <c r="AR66" s="1071">
        <f t="shared" si="73"/>
        <v>-0.10000000000002274</v>
      </c>
      <c r="AS66" s="1071">
        <f t="shared" si="73"/>
        <v>19.300000000000011</v>
      </c>
      <c r="AT66" s="1071">
        <f t="shared" si="73"/>
        <v>-0.39999999999997726</v>
      </c>
      <c r="AU66" s="1072">
        <f>AU34-AO34</f>
        <v>18.400000000000034</v>
      </c>
      <c r="AV66" s="1068"/>
      <c r="AW66" s="1070">
        <f>AW34-AU34</f>
        <v>-0.19999999999998863</v>
      </c>
      <c r="AX66" s="1071">
        <f t="shared" si="74"/>
        <v>0.79999999999995453</v>
      </c>
      <c r="AY66" s="1071">
        <f t="shared" si="74"/>
        <v>-0.39999999999997726</v>
      </c>
      <c r="AZ66" s="1071">
        <f t="shared" si="74"/>
        <v>-0.30000000000001137</v>
      </c>
      <c r="BA66" s="1072">
        <f>BA34-AU34</f>
        <v>-0.10000000000002274</v>
      </c>
      <c r="BB66" s="1068"/>
      <c r="BC66" s="1075">
        <f>BC34-BA34</f>
        <v>-0.29999999999995453</v>
      </c>
      <c r="BD66" s="1071">
        <f t="shared" si="75"/>
        <v>-112.5</v>
      </c>
      <c r="BE66" s="1071">
        <f t="shared" si="75"/>
        <v>-0.30000000000006821</v>
      </c>
      <c r="BF66" s="1071">
        <f>BF34-BE34</f>
        <v>24.900000000000034</v>
      </c>
      <c r="BG66" s="1072">
        <f>BG34-BA34</f>
        <v>-88.199999999999989</v>
      </c>
      <c r="BH66" s="1068"/>
      <c r="BI66" s="1075">
        <f>BI34-BG34</f>
        <v>15.800000000000011</v>
      </c>
      <c r="BJ66" s="1071">
        <f t="shared" si="76"/>
        <v>40.899999999999977</v>
      </c>
      <c r="BK66" s="1071">
        <f t="shared" si="76"/>
        <v>22</v>
      </c>
      <c r="BL66" s="1071">
        <f>BL34-BK34</f>
        <v>46.899999999999977</v>
      </c>
      <c r="BM66" s="1072">
        <f>BM34-BG34</f>
        <v>125.59999999999997</v>
      </c>
      <c r="BN66" s="1068"/>
      <c r="BO66" s="1075">
        <f>BO34-BM34</f>
        <v>-6.8999999999999773</v>
      </c>
      <c r="BP66" s="1071">
        <f t="shared" si="77"/>
        <v>46</v>
      </c>
      <c r="BQ66" s="1071">
        <f t="shared" si="77"/>
        <v>49.800000000000011</v>
      </c>
      <c r="BR66" s="1071">
        <f>BR34-BQ34</f>
        <v>-64.899999999999977</v>
      </c>
      <c r="BS66" s="1072">
        <f>BS34-BM34</f>
        <v>24.000000000000057</v>
      </c>
      <c r="BT66" s="54"/>
      <c r="BU66" s="1075">
        <f>BU34-BS34</f>
        <v>0</v>
      </c>
      <c r="BV66" s="1071">
        <f>BV34-BU34</f>
        <v>0</v>
      </c>
      <c r="BW66" s="1071">
        <f>BW34-BV34</f>
        <v>0</v>
      </c>
      <c r="BX66" s="1071">
        <f>BX34-BW34</f>
        <v>0</v>
      </c>
      <c r="BY66" s="1072">
        <f>BY34-BS34</f>
        <v>0</v>
      </c>
      <c r="CA66" s="1075">
        <f>CA34-BY34</f>
        <v>0</v>
      </c>
      <c r="CB66" s="1071">
        <f>CB34-CA34</f>
        <v>0</v>
      </c>
      <c r="CC66" s="1071">
        <f>CC34-CB34</f>
        <v>0</v>
      </c>
      <c r="CD66" s="1071">
        <f>CD34-CC34</f>
        <v>0</v>
      </c>
      <c r="CE66" s="1072">
        <f>CE34-BY34</f>
        <v>0</v>
      </c>
      <c r="CG66" s="1075">
        <f>CG34-CE34</f>
        <v>0</v>
      </c>
      <c r="CH66" s="1071">
        <f>CH34-CG34</f>
        <v>0</v>
      </c>
      <c r="CI66" s="1071">
        <f>CI34-CH34</f>
        <v>0</v>
      </c>
      <c r="CJ66" s="1071">
        <f>CJ34-CI34</f>
        <v>0</v>
      </c>
      <c r="CK66" s="1072">
        <f>CK34-CE34</f>
        <v>0</v>
      </c>
      <c r="CM66" s="1075">
        <f>CM34-CK34</f>
        <v>0</v>
      </c>
      <c r="CN66" s="1071">
        <f>CN34-CM34</f>
        <v>0</v>
      </c>
      <c r="CO66" s="1071">
        <f>CO34-CN34</f>
        <v>0</v>
      </c>
      <c r="CP66" s="1071">
        <f>CP34-CO34</f>
        <v>0</v>
      </c>
      <c r="CQ66" s="1072">
        <f>CQ34-CK34</f>
        <v>0</v>
      </c>
    </row>
    <row r="67" spans="1:101" ht="11.25" customHeight="1">
      <c r="A67" s="1078" t="s">
        <v>287</v>
      </c>
      <c r="B67" s="1078"/>
      <c r="C67" s="1078"/>
      <c r="D67" s="1001"/>
      <c r="E67" s="1087"/>
      <c r="F67" s="1001"/>
      <c r="G67" s="1087">
        <f>G35-E35</f>
        <v>4.5579999999999998</v>
      </c>
      <c r="H67" s="1001"/>
      <c r="I67" s="1087">
        <f>I35-G35</f>
        <v>-6.1829999999999998</v>
      </c>
      <c r="J67" s="1001"/>
      <c r="K67" s="1087">
        <f>K35-I35</f>
        <v>-2.8629999999999995</v>
      </c>
      <c r="L67" s="1001"/>
      <c r="M67" s="1087">
        <f>M35-K35</f>
        <v>12.073</v>
      </c>
      <c r="N67" s="105"/>
      <c r="O67" s="305">
        <f>O35-M35</f>
        <v>-6.1960000000000015</v>
      </c>
      <c r="P67" s="105"/>
      <c r="Q67" s="305">
        <f>Q35-O35</f>
        <v>9.5</v>
      </c>
      <c r="R67" s="105"/>
      <c r="S67" s="284">
        <f>S35-Q35</f>
        <v>-16.7</v>
      </c>
      <c r="T67" s="105">
        <f t="shared" si="69"/>
        <v>-5.4</v>
      </c>
      <c r="U67" s="105">
        <f t="shared" si="69"/>
        <v>-0.19999999999999996</v>
      </c>
      <c r="V67" s="105">
        <f t="shared" si="69"/>
        <v>-0.30000000000000004</v>
      </c>
      <c r="W67" s="53">
        <f>W35-Q35</f>
        <v>-22.599999999999998</v>
      </c>
      <c r="X67" s="105"/>
      <c r="Y67" s="284">
        <f>Y35-W35</f>
        <v>0</v>
      </c>
      <c r="Z67" s="105">
        <f t="shared" si="70"/>
        <v>-0.1</v>
      </c>
      <c r="AA67" s="105">
        <f t="shared" si="70"/>
        <v>0</v>
      </c>
      <c r="AB67" s="105">
        <f t="shared" si="70"/>
        <v>185.5</v>
      </c>
      <c r="AC67" s="53">
        <f>AC35-W35</f>
        <v>185.4</v>
      </c>
      <c r="AD67" s="105"/>
      <c r="AE67" s="284">
        <f>AE35-AC35</f>
        <v>0</v>
      </c>
      <c r="AF67" s="105">
        <f t="shared" si="71"/>
        <v>0</v>
      </c>
      <c r="AG67" s="105">
        <f t="shared" si="71"/>
        <v>31.5</v>
      </c>
      <c r="AH67" s="105">
        <f t="shared" si="71"/>
        <v>-217</v>
      </c>
      <c r="AI67" s="53">
        <f>AI35-AC35</f>
        <v>-185.5</v>
      </c>
      <c r="AJ67" s="105"/>
      <c r="AK67" s="284">
        <f>AK35-AI35</f>
        <v>0</v>
      </c>
      <c r="AL67" s="105">
        <f t="shared" si="72"/>
        <v>0</v>
      </c>
      <c r="AM67" s="105">
        <f t="shared" si="72"/>
        <v>0</v>
      </c>
      <c r="AN67" s="105">
        <f t="shared" si="72"/>
        <v>0</v>
      </c>
      <c r="AO67" s="53">
        <f>AO35-AI35</f>
        <v>0</v>
      </c>
      <c r="AP67" s="105"/>
      <c r="AQ67" s="284">
        <f>AQ35-AO35</f>
        <v>0</v>
      </c>
      <c r="AR67" s="105">
        <f t="shared" si="73"/>
        <v>0</v>
      </c>
      <c r="AS67" s="105">
        <f t="shared" si="73"/>
        <v>0</v>
      </c>
      <c r="AT67" s="105">
        <f t="shared" si="73"/>
        <v>0</v>
      </c>
      <c r="AU67" s="53">
        <f>AU35-AO35</f>
        <v>0</v>
      </c>
      <c r="AV67" s="105"/>
      <c r="AW67" s="284">
        <f>AW35-AU35</f>
        <v>0</v>
      </c>
      <c r="AX67" s="105">
        <f t="shared" si="74"/>
        <v>0</v>
      </c>
      <c r="AY67" s="105">
        <f t="shared" si="74"/>
        <v>0</v>
      </c>
      <c r="AZ67" s="105">
        <f t="shared" si="74"/>
        <v>0</v>
      </c>
      <c r="BA67" s="53">
        <f>BA35-AU35</f>
        <v>0</v>
      </c>
      <c r="BB67" s="105"/>
      <c r="BC67" s="284">
        <f>BC35-BA35</f>
        <v>0</v>
      </c>
      <c r="BD67" s="105">
        <f t="shared" si="75"/>
        <v>0</v>
      </c>
      <c r="BE67" s="105">
        <f t="shared" si="75"/>
        <v>0</v>
      </c>
      <c r="BF67" s="105">
        <f>BF35-BE35</f>
        <v>0</v>
      </c>
      <c r="BG67" s="53">
        <f>BG35-BA35</f>
        <v>0</v>
      </c>
      <c r="BH67" s="105"/>
      <c r="BI67" s="284">
        <f>BI35-BG35</f>
        <v>0</v>
      </c>
      <c r="BJ67" s="105">
        <f t="shared" si="76"/>
        <v>0</v>
      </c>
      <c r="BK67" s="105">
        <f t="shared" si="76"/>
        <v>0</v>
      </c>
      <c r="BL67" s="105">
        <f>BL35-BK35</f>
        <v>0</v>
      </c>
      <c r="BM67" s="53">
        <f>BM35-BG35</f>
        <v>0</v>
      </c>
      <c r="BN67" s="105"/>
      <c r="BO67" s="284">
        <f>BO35-BM35</f>
        <v>0</v>
      </c>
      <c r="BP67" s="105">
        <f t="shared" si="77"/>
        <v>0</v>
      </c>
      <c r="BQ67" s="105">
        <f t="shared" si="77"/>
        <v>0</v>
      </c>
      <c r="BR67" s="105">
        <f>BR35-BQ35</f>
        <v>0</v>
      </c>
      <c r="BS67" s="53">
        <f>BS35-BM35</f>
        <v>0</v>
      </c>
      <c r="BT67" s="54"/>
      <c r="BU67" s="1221">
        <v>0</v>
      </c>
      <c r="BV67" s="140">
        <v>0</v>
      </c>
      <c r="BW67" s="140">
        <v>0</v>
      </c>
      <c r="BX67" s="140">
        <v>0</v>
      </c>
      <c r="BY67" s="53">
        <f>BY35-BS35</f>
        <v>0</v>
      </c>
      <c r="BZ67" s="21"/>
      <c r="CA67" s="1221">
        <v>0</v>
      </c>
      <c r="CB67" s="140">
        <v>0</v>
      </c>
      <c r="CC67" s="140">
        <v>0</v>
      </c>
      <c r="CD67" s="140">
        <v>0</v>
      </c>
      <c r="CE67" s="53">
        <f>CE35-BY35</f>
        <v>0</v>
      </c>
      <c r="CF67" s="21"/>
      <c r="CG67" s="1221">
        <v>0</v>
      </c>
      <c r="CH67" s="140">
        <v>0</v>
      </c>
      <c r="CI67" s="140">
        <v>0</v>
      </c>
      <c r="CJ67" s="140">
        <v>0</v>
      </c>
      <c r="CK67" s="53">
        <f>CK35-CE35</f>
        <v>0</v>
      </c>
      <c r="CL67" s="21"/>
      <c r="CM67" s="1221">
        <v>0</v>
      </c>
      <c r="CN67" s="140">
        <v>0</v>
      </c>
      <c r="CO67" s="140">
        <v>0</v>
      </c>
      <c r="CP67" s="140">
        <v>0</v>
      </c>
      <c r="CQ67" s="53">
        <f>CQ35-CK35</f>
        <v>0</v>
      </c>
      <c r="CR67" s="21"/>
      <c r="CS67" s="21"/>
      <c r="CT67" s="21"/>
      <c r="CU67" s="21"/>
      <c r="CV67" s="21"/>
    </row>
    <row r="68" spans="1:101" ht="11.25" customHeight="1">
      <c r="A68" s="1076" t="s">
        <v>96</v>
      </c>
      <c r="B68" s="1077"/>
      <c r="C68" s="1077"/>
      <c r="D68" s="1068"/>
      <c r="E68" s="1069"/>
      <c r="F68" s="1068"/>
      <c r="G68" s="1069">
        <f>G67+G64</f>
        <v>9.1929999999999978</v>
      </c>
      <c r="H68" s="1068"/>
      <c r="I68" s="1069">
        <f>I67+I64</f>
        <v>-4.9929999999999986</v>
      </c>
      <c r="J68" s="1068"/>
      <c r="K68" s="1069">
        <f>K67+K64</f>
        <v>-5.3340000000000005</v>
      </c>
      <c r="L68" s="1068"/>
      <c r="M68" s="1069">
        <f>M67+M64</f>
        <v>10.086</v>
      </c>
      <c r="N68" s="1068"/>
      <c r="O68" s="1069">
        <f>O67+O64</f>
        <v>-0.52000000000000224</v>
      </c>
      <c r="P68" s="1068"/>
      <c r="Q68" s="1069">
        <f>Q67+Q64</f>
        <v>179.60000000000002</v>
      </c>
      <c r="R68" s="1068"/>
      <c r="S68" s="1070">
        <f>S67+S64</f>
        <v>-20.200000000000006</v>
      </c>
      <c r="T68" s="1071">
        <f>T67+T64</f>
        <v>-32.899999999999984</v>
      </c>
      <c r="U68" s="1071">
        <f>U67+U64</f>
        <v>-19.400000000000013</v>
      </c>
      <c r="V68" s="1071">
        <f>V67+V64</f>
        <v>-13.599999999999989</v>
      </c>
      <c r="W68" s="1069">
        <f>W67+W64</f>
        <v>-86.1</v>
      </c>
      <c r="X68" s="1068"/>
      <c r="Y68" s="1070">
        <f>Y67+Y64</f>
        <v>-4.5000000000000115</v>
      </c>
      <c r="Z68" s="1071">
        <f>Z67+Z64</f>
        <v>-6.4999999999999938</v>
      </c>
      <c r="AA68" s="1071">
        <f>AA67+AA64</f>
        <v>-5.3000000000000087</v>
      </c>
      <c r="AB68" s="1071">
        <f>AB67+AB64</f>
        <v>179.6</v>
      </c>
      <c r="AC68" s="1072">
        <f>AC67+AC64</f>
        <v>163.29999999999998</v>
      </c>
      <c r="AD68" s="1068"/>
      <c r="AE68" s="1070">
        <f>AE67+AE64</f>
        <v>-5.5999999999999943</v>
      </c>
      <c r="AF68" s="1071">
        <f>AF67+AF64</f>
        <v>-7.6000000000000005</v>
      </c>
      <c r="AG68" s="1071">
        <f>AG67+AG64</f>
        <v>23.6</v>
      </c>
      <c r="AH68" s="1071">
        <f>AH67+AH64</f>
        <v>-8.3000000000000114</v>
      </c>
      <c r="AI68" s="1072">
        <f>AI67+AI64</f>
        <v>2.0999999999999943</v>
      </c>
      <c r="AJ68" s="1068"/>
      <c r="AK68" s="1070">
        <f>AK67+AK64</f>
        <v>16.5</v>
      </c>
      <c r="AL68" s="1071">
        <f>AL67+AL64</f>
        <v>1.2999999999999972</v>
      </c>
      <c r="AM68" s="1071">
        <f>AM67+AM64</f>
        <v>16.000000000000004</v>
      </c>
      <c r="AN68" s="1071">
        <f>AN67+AN64</f>
        <v>0.29999999999999982</v>
      </c>
      <c r="AO68" s="1072">
        <f>AO67+AO64</f>
        <v>34.1</v>
      </c>
      <c r="AP68" s="1068"/>
      <c r="AQ68" s="1070">
        <f>AQ67+AQ64</f>
        <v>-0.60000000000000009</v>
      </c>
      <c r="AR68" s="1071">
        <f>AR67+AR64</f>
        <v>-0.10000000000000009</v>
      </c>
      <c r="AS68" s="1071">
        <f>AS67+AS64</f>
        <v>19.2</v>
      </c>
      <c r="AT68" s="1071">
        <f>AT67+AT64</f>
        <v>-0.70000000000000018</v>
      </c>
      <c r="AU68" s="1072">
        <f>AU67+AU64</f>
        <v>17.8</v>
      </c>
      <c r="AV68" s="1068"/>
      <c r="AW68" s="1070">
        <f>AW67+AW64</f>
        <v>-0.20000000000000018</v>
      </c>
      <c r="AX68" s="1071">
        <f>AX67+AX64</f>
        <v>0.90000000000000036</v>
      </c>
      <c r="AY68" s="1071">
        <f>AY67+AY64</f>
        <v>-0.5</v>
      </c>
      <c r="AZ68" s="1071">
        <f>AZ67+AZ64</f>
        <v>-0.20000000000000018</v>
      </c>
      <c r="BA68" s="1072">
        <f>BA67+BA64</f>
        <v>0</v>
      </c>
      <c r="BB68" s="1068"/>
      <c r="BC68" s="1070">
        <f>BC67+BC64</f>
        <v>-0.39999999999999991</v>
      </c>
      <c r="BD68" s="1071">
        <f>BD67+BD64</f>
        <v>10</v>
      </c>
      <c r="BE68" s="1071">
        <f>BE67+BE64</f>
        <v>6.8</v>
      </c>
      <c r="BF68" s="1071">
        <f>BF67+BF64</f>
        <v>-104.7</v>
      </c>
      <c r="BG68" s="1072">
        <f>BG67+BG64</f>
        <v>-88.3</v>
      </c>
      <c r="BH68" s="1068"/>
      <c r="BI68" s="1070">
        <f>BI67+BI64</f>
        <v>35.5</v>
      </c>
      <c r="BJ68" s="1071">
        <f>BJ67+BJ64</f>
        <v>40.799999999999997</v>
      </c>
      <c r="BK68" s="1071">
        <f>BK67+BK64</f>
        <v>21.9</v>
      </c>
      <c r="BL68" s="1071">
        <f>BL67+BL64</f>
        <v>46.8</v>
      </c>
      <c r="BM68" s="1072">
        <f>BM67+BM64</f>
        <v>145</v>
      </c>
      <c r="BN68" s="1068"/>
      <c r="BO68" s="1070">
        <f>BO67+BO64</f>
        <v>-26.9</v>
      </c>
      <c r="BP68" s="1071">
        <f>BP67+BP64</f>
        <v>46</v>
      </c>
      <c r="BQ68" s="1071">
        <f>BQ67+BQ64</f>
        <v>49.7</v>
      </c>
      <c r="BR68" s="1071">
        <f>BR67+BR64</f>
        <v>-64.900000000000006</v>
      </c>
      <c r="BS68" s="1072">
        <f>BS67+BS64</f>
        <v>3.9000000000000004</v>
      </c>
      <c r="BT68" s="54"/>
      <c r="BU68" s="1070">
        <f>BU67+BU64</f>
        <v>0</v>
      </c>
      <c r="BV68" s="1071">
        <f>BV67+BV64</f>
        <v>0</v>
      </c>
      <c r="BW68" s="1071">
        <f>BW67+BW64</f>
        <v>0</v>
      </c>
      <c r="BX68" s="1071">
        <f>BX67+BX64</f>
        <v>0</v>
      </c>
      <c r="BY68" s="1072">
        <f>BY67+BY64</f>
        <v>0</v>
      </c>
      <c r="CA68" s="1070">
        <f>CA67+CA64</f>
        <v>0</v>
      </c>
      <c r="CB68" s="1071">
        <f>CB67+CB64</f>
        <v>0</v>
      </c>
      <c r="CC68" s="1071">
        <f>CC67+CC64</f>
        <v>0</v>
      </c>
      <c r="CD68" s="1071">
        <f>CD67+CD64</f>
        <v>0</v>
      </c>
      <c r="CE68" s="1072">
        <f>CE67+CE64</f>
        <v>0</v>
      </c>
      <c r="CG68" s="1070">
        <f>CG67+CG64</f>
        <v>0</v>
      </c>
      <c r="CH68" s="1071">
        <f>CH67+CH64</f>
        <v>0</v>
      </c>
      <c r="CI68" s="1071">
        <f>CI67+CI64</f>
        <v>0</v>
      </c>
      <c r="CJ68" s="1071">
        <f>CJ67+CJ64</f>
        <v>0</v>
      </c>
      <c r="CK68" s="1072">
        <f>CK67+CK64</f>
        <v>0</v>
      </c>
      <c r="CM68" s="1070">
        <f>CM67+CM64</f>
        <v>0</v>
      </c>
      <c r="CN68" s="1071">
        <f>CN67+CN64</f>
        <v>0</v>
      </c>
      <c r="CO68" s="1071">
        <f>CO67+CO64</f>
        <v>0</v>
      </c>
      <c r="CP68" s="1071">
        <f>CP67+CP64</f>
        <v>0</v>
      </c>
      <c r="CQ68" s="1072">
        <f>CQ67+CQ64</f>
        <v>0</v>
      </c>
    </row>
    <row r="69" spans="1:101" ht="11.25" customHeight="1">
      <c r="A69" s="510"/>
      <c r="B69" s="510"/>
      <c r="C69" s="510"/>
      <c r="D69" s="47"/>
      <c r="E69" s="508"/>
      <c r="F69" s="47"/>
      <c r="G69" s="508"/>
      <c r="H69" s="47"/>
      <c r="I69" s="508"/>
      <c r="J69" s="47"/>
      <c r="K69" s="508"/>
      <c r="L69" s="47"/>
      <c r="M69" s="508"/>
      <c r="N69" s="47"/>
      <c r="O69" s="508"/>
      <c r="P69" s="47"/>
      <c r="Q69" s="508"/>
      <c r="R69" s="47"/>
      <c r="S69" s="298"/>
      <c r="T69" s="47"/>
      <c r="U69" s="47"/>
      <c r="V69" s="47"/>
      <c r="W69" s="55"/>
      <c r="X69" s="47"/>
      <c r="Y69" s="298"/>
      <c r="Z69" s="47"/>
      <c r="AA69" s="47"/>
      <c r="AB69" s="47"/>
      <c r="AC69" s="55"/>
      <c r="AD69" s="47"/>
      <c r="AE69" s="298"/>
      <c r="AF69" s="47"/>
      <c r="AG69" s="47"/>
      <c r="AH69" s="47"/>
      <c r="AI69" s="55"/>
      <c r="AJ69" s="47"/>
      <c r="AK69" s="298"/>
      <c r="AL69" s="47"/>
      <c r="AM69" s="47"/>
      <c r="AN69" s="47"/>
      <c r="AO69" s="55"/>
      <c r="AP69" s="47"/>
      <c r="AQ69" s="298"/>
      <c r="AR69" s="47"/>
      <c r="AS69" s="47"/>
      <c r="AT69" s="47"/>
      <c r="AU69" s="55"/>
      <c r="AV69" s="47"/>
      <c r="AW69" s="298"/>
      <c r="AX69" s="47"/>
      <c r="AY69" s="47"/>
      <c r="AZ69" s="47"/>
      <c r="BA69" s="55"/>
      <c r="BB69" s="47"/>
      <c r="BC69" s="298"/>
      <c r="BD69" s="47"/>
      <c r="BE69" s="47"/>
      <c r="BF69" s="47"/>
      <c r="BG69" s="55"/>
      <c r="BH69" s="47"/>
      <c r="BI69" s="298"/>
      <c r="BJ69" s="47"/>
      <c r="BK69" s="47"/>
      <c r="BL69" s="47"/>
      <c r="BM69" s="55"/>
      <c r="BN69" s="47"/>
      <c r="BO69" s="298"/>
      <c r="BP69" s="47"/>
      <c r="BQ69" s="47"/>
      <c r="BR69" s="47"/>
      <c r="BS69" s="55"/>
      <c r="BT69" s="54"/>
      <c r="BU69" s="298"/>
      <c r="BV69" s="47"/>
      <c r="BW69" s="47"/>
      <c r="BX69" s="47"/>
      <c r="BY69" s="55"/>
      <c r="CA69" s="298"/>
      <c r="CB69" s="47"/>
      <c r="CC69" s="47"/>
      <c r="CD69" s="47"/>
      <c r="CE69" s="55"/>
      <c r="CG69" s="298"/>
      <c r="CH69" s="47"/>
      <c r="CI69" s="47"/>
      <c r="CJ69" s="47"/>
      <c r="CK69" s="55"/>
      <c r="CM69" s="298"/>
      <c r="CN69" s="47"/>
      <c r="CO69" s="47"/>
      <c r="CP69" s="47"/>
      <c r="CQ69" s="55"/>
    </row>
    <row r="70" spans="1:101" ht="11.25" customHeight="1">
      <c r="A70" s="1093" t="s">
        <v>304</v>
      </c>
      <c r="B70" s="1090"/>
      <c r="C70" s="1090"/>
      <c r="D70" s="1091"/>
      <c r="E70" s="1023">
        <f>-SUMPRODUCT(E9:E31,$B$9:$B$31)</f>
        <v>-1.0045607999999999</v>
      </c>
      <c r="F70" s="1094"/>
      <c r="G70" s="1023">
        <f>-SUMPRODUCT(G9:G31,$B$9:$B$31)</f>
        <v>-1.0844875</v>
      </c>
      <c r="H70" s="1094"/>
      <c r="I70" s="1023">
        <f>-SUMPRODUCT(I9:I31,$B$9:$B$31)</f>
        <v>-1.1282121000000001</v>
      </c>
      <c r="J70" s="1094"/>
      <c r="K70" s="1023">
        <f>-SUMPRODUCT(K9:K31,$B$9:$B$31)</f>
        <v>-1.1022353999999999</v>
      </c>
      <c r="L70" s="1094"/>
      <c r="M70" s="1023">
        <f>-SUMPRODUCT(M9:M31,$B$9:$B$31)</f>
        <v>-1.0135413</v>
      </c>
      <c r="N70" s="1094"/>
      <c r="O70" s="1023">
        <f>-SUMPRODUCT(O9:O31,$B$9:$B$31)</f>
        <v>-1.12758</v>
      </c>
      <c r="P70" s="1094"/>
      <c r="Q70" s="1023">
        <f>-SUMPRODUCT(Q9:Q31,$B$9:$B$31)</f>
        <v>-5.2682399999999987</v>
      </c>
      <c r="R70" s="1094"/>
      <c r="S70" s="1024">
        <f>-SUMPRODUCT(S9:S31,$B$9:$B$31)/4</f>
        <v>-1.2898049999999999</v>
      </c>
      <c r="T70" s="1021">
        <f>-SUMPRODUCT(T9:T31,$B$9:$B$31)/4</f>
        <v>-1.0949775000000002</v>
      </c>
      <c r="U70" s="1021">
        <f>-SUMPRODUCT(U9:U31,$B$9:$B$31)/4</f>
        <v>-0.99706249999999985</v>
      </c>
      <c r="V70" s="1021">
        <f>-SUMPRODUCT(V9:V31,$B$9:$B$31)/4</f>
        <v>-0.93348750000000003</v>
      </c>
      <c r="W70" s="1025">
        <f>SUM(S70:V70)</f>
        <v>-4.3153325000000002</v>
      </c>
      <c r="X70" s="1091"/>
      <c r="Y70" s="1024">
        <f>-SUMPRODUCT(Y9:Y31,$B$9:$B$31)/4</f>
        <v>-0.90261249999999993</v>
      </c>
      <c r="Z70" s="1021">
        <f>-SUMPRODUCT(Z9:Z31,$B$9:$B$31)/4</f>
        <v>-0.85882500000000006</v>
      </c>
      <c r="AA70" s="1021">
        <f>-SUMPRODUCT(AA9:AA31,$B$9:$B$31)/4</f>
        <v>-0.82327499999999998</v>
      </c>
      <c r="AB70" s="1021">
        <f>-SUMPRODUCT(AB9:AB31,$B$9:$B$31)/4</f>
        <v>-0.78329999999999989</v>
      </c>
      <c r="AC70" s="1025">
        <f>SUM(Y70:AB70)</f>
        <v>-3.3680124999999999</v>
      </c>
      <c r="AD70" s="1091"/>
      <c r="AE70" s="1024">
        <f>-SUMPRODUCT(AE9:AE31,$B$9:$B$31)/4</f>
        <v>-0.74549999999999994</v>
      </c>
      <c r="AF70" s="1021">
        <f>-SUMPRODUCT(AF9:AF31,$B$9:$B$31)/4</f>
        <v>-0.69412499999999999</v>
      </c>
      <c r="AG70" s="1021">
        <f>-SUMPRODUCT(AG9:AG31,$B$9:$B$31)/4</f>
        <v>-0.64050000000000007</v>
      </c>
      <c r="AH70" s="1021">
        <f>-SUMPRODUCT(AH9:AH31,$B$9:$B$31)/4</f>
        <v>-1.3995</v>
      </c>
      <c r="AI70" s="1025">
        <f>SUM(AE70:AH70)</f>
        <v>-3.4796249999999995</v>
      </c>
      <c r="AJ70" s="1091"/>
      <c r="AK70" s="1024">
        <f>-SUMPRODUCT(AK9:AK31,$B$9:$B$31)/4</f>
        <v>-3.085375</v>
      </c>
      <c r="AL70" s="1021">
        <f>-SUMPRODUCT(AL9:AL31,$B$9:$B$31)/4</f>
        <v>-3.0341499999999999</v>
      </c>
      <c r="AM70" s="1021">
        <f>-SUMPRODUCT(AM9:AM31,$B$9:$B$31)/4</f>
        <v>-3.0369999999999999</v>
      </c>
      <c r="AN70" s="1021">
        <f>-SUMPRODUCT(AN9:AN31,$B$9:$B$31)/4</f>
        <v>-3.2038749999999996</v>
      </c>
      <c r="AO70" s="1025">
        <f>SUM(AK70:AN70)</f>
        <v>-12.360399999999998</v>
      </c>
      <c r="AP70" s="1091"/>
      <c r="AQ70" s="1024">
        <f>-SUMPRODUCT(AQ9:AQ31,$B$9:$B$31)/4</f>
        <v>-3.1993749999999999</v>
      </c>
      <c r="AR70" s="1021">
        <f>-SUMPRODUCT(AR9:AR31,$B$9:$B$31)/4</f>
        <v>-3.1986249999999998</v>
      </c>
      <c r="AS70" s="1021">
        <f>-SUMPRODUCT(AS9:AS31,$B$9:$B$31)/4</f>
        <v>-3.3280000000000003</v>
      </c>
      <c r="AT70" s="1021">
        <f>-SUMPRODUCT(AT9:AT31,$B$9:$B$31)/4</f>
        <v>-3.3227500000000001</v>
      </c>
      <c r="AU70" s="1025">
        <f>SUM(AQ70:AT70)</f>
        <v>-13.048749999999998</v>
      </c>
      <c r="AV70" s="1091"/>
      <c r="AW70" s="1024">
        <f>-SUMPRODUCT(AW9:AW31,$B$9:$B$31)/4</f>
        <v>-3.3212500000000005</v>
      </c>
      <c r="AX70" s="1021">
        <f>-SUMPRODUCT(AX9:AX31,$B$9:$B$31)/4</f>
        <v>-3.3280000000000003</v>
      </c>
      <c r="AY70" s="1021">
        <f>-SUMPRODUCT(AY9:AY31,$B$9:$B$31)/4</f>
        <v>-3.3242500000000001</v>
      </c>
      <c r="AZ70" s="1021">
        <f>-SUMPRODUCT(AZ9:AZ31,$B$9:$B$31)/4</f>
        <v>-3.3227500000000001</v>
      </c>
      <c r="BA70" s="1025">
        <f>SUM(AW70:AZ70)</f>
        <v>-13.296250000000001</v>
      </c>
      <c r="BB70" s="1091"/>
      <c r="BC70" s="1024">
        <f>-SUMPRODUCT(BC9:BC31,$B$9:$B$31)/4</f>
        <v>-3.3197500000000004</v>
      </c>
      <c r="BD70" s="1021">
        <f>-SUMPRODUCT(BD9:BD31,$B$9:$B$31)/4</f>
        <v>-3.3872500000000003</v>
      </c>
      <c r="BE70" s="1021">
        <f>-SUMPRODUCT(BE9:BE31,$B$9:$B$31)/4</f>
        <v>-3.4330000000000003</v>
      </c>
      <c r="BF70" s="1021">
        <f>-SUMPRODUCT(BF9:BF31,$B$9:$B$31)/4</f>
        <v>-2.7261250000000001</v>
      </c>
      <c r="BG70" s="1025">
        <f>SUM(BC70:BF70)</f>
        <v>-12.866125</v>
      </c>
      <c r="BH70" s="1091"/>
      <c r="BI70" s="1024">
        <f>-SUMPRODUCT(BI9:BI31,$B$9:$B$31)/4</f>
        <v>-2.9653749999999999</v>
      </c>
      <c r="BJ70" s="1021">
        <f>-SUMPRODUCT(BJ9:BJ31,$B$9:$B$31)/4</f>
        <v>-3.2406250000000001</v>
      </c>
      <c r="BK70" s="1021">
        <f>-SUMPRODUCT(BK9:BK31,$B$9:$B$31)/4</f>
        <v>-3.3883750000000004</v>
      </c>
      <c r="BL70" s="1021">
        <f>-SUMPRODUCT(BL9:BL31,$B$9:$B$31)/4</f>
        <v>-3.7041250000000003</v>
      </c>
      <c r="BM70" s="1025">
        <f>SUM(BI70:BL70)</f>
        <v>-13.298500000000001</v>
      </c>
      <c r="BN70" s="1091"/>
      <c r="BO70" s="1024">
        <f>-SUMPRODUCT(BO9:BO31,$B$9:$B$31)/4</f>
        <v>-3.4996249999999995</v>
      </c>
      <c r="BP70" s="1021">
        <f>-SUMPRODUCT(BP9:BP31,$B$9:$B$31)/4</f>
        <v>-3.8101249999999998</v>
      </c>
      <c r="BQ70" s="1021">
        <f>-SUMPRODUCT(BQ9:BQ31,$B$9:$B$31)/4</f>
        <v>-4.1453750000000005</v>
      </c>
      <c r="BR70" s="1021">
        <f>-SUMPRODUCT(BR9:BR31,$B$9:$B$31)/4</f>
        <v>-3.7073749999999999</v>
      </c>
      <c r="BS70" s="1025">
        <f>SUM(BO70:BR70)</f>
        <v>-15.162499999999998</v>
      </c>
      <c r="BT70" s="54"/>
      <c r="BU70" s="1024">
        <f>-SUMPRODUCT(BU9:BU31,$B$9:$B$31)/4</f>
        <v>-3.7073749999999999</v>
      </c>
      <c r="BV70" s="1021">
        <f>-SUMPRODUCT(BV9:BV31,$B$9:$B$31)/4</f>
        <v>-3.7073749999999999</v>
      </c>
      <c r="BW70" s="1021">
        <f>-SUMPRODUCT(BW9:BW31,$B$9:$B$31)/4</f>
        <v>-3.7073749999999999</v>
      </c>
      <c r="BX70" s="1021">
        <f>-SUMPRODUCT(BX9:BX31,$B$9:$B$31)/4</f>
        <v>-3.7073749999999999</v>
      </c>
      <c r="BY70" s="1025">
        <f>SUM(BU70:BX70)</f>
        <v>-14.829499999999999</v>
      </c>
      <c r="BZ70" s="21"/>
      <c r="CA70" s="1024">
        <f>-SUMPRODUCT(CA9:CA31,$B$9:$B$31)/4</f>
        <v>-3.7073749999999999</v>
      </c>
      <c r="CB70" s="1021">
        <f>-SUMPRODUCT(CB9:CB31,$B$9:$B$31)/4</f>
        <v>-3.7073749999999999</v>
      </c>
      <c r="CC70" s="1021">
        <f>-SUMPRODUCT(CC9:CC31,$B$9:$B$31)/4</f>
        <v>-3.7073749999999999</v>
      </c>
      <c r="CD70" s="1021">
        <f>-SUMPRODUCT(CD9:CD31,$B$9:$B$31)/4</f>
        <v>-3.7073749999999999</v>
      </c>
      <c r="CE70" s="1025">
        <f>SUM(CA70:CD70)</f>
        <v>-14.829499999999999</v>
      </c>
      <c r="CF70" s="21"/>
      <c r="CG70" s="1024">
        <f>-SUMPRODUCT(CG9:CG31,$B$9:$B$31)/4</f>
        <v>-3.7073749999999999</v>
      </c>
      <c r="CH70" s="1021">
        <f>-SUMPRODUCT(CH9:CH31,$B$9:$B$31)/4</f>
        <v>-3.7073749999999999</v>
      </c>
      <c r="CI70" s="1021">
        <f>-SUMPRODUCT(CI9:CI31,$B$9:$B$31)/4</f>
        <v>-3.7073749999999999</v>
      </c>
      <c r="CJ70" s="1021">
        <f>-SUMPRODUCT(CJ9:CJ31,$B$9:$B$31)/4</f>
        <v>-3.7073749999999999</v>
      </c>
      <c r="CK70" s="1025">
        <f>SUM(CG70:CJ70)</f>
        <v>-14.829499999999999</v>
      </c>
      <c r="CL70" s="21"/>
      <c r="CM70" s="1024">
        <f>-SUMPRODUCT(CM9:CM31,$B$9:$B$31)/4</f>
        <v>-3.7073749999999999</v>
      </c>
      <c r="CN70" s="1021">
        <f>-SUMPRODUCT(CN9:CN31,$B$9:$B$31)/4</f>
        <v>-3.7073749999999999</v>
      </c>
      <c r="CO70" s="1021">
        <f>-SUMPRODUCT(CO9:CO31,$B$9:$B$31)/4</f>
        <v>-3.7073749999999999</v>
      </c>
      <c r="CP70" s="1021">
        <f>-SUMPRODUCT(CP9:CP31,$B$9:$B$31)/4</f>
        <v>-3.7073749999999999</v>
      </c>
      <c r="CQ70" s="1025">
        <f>SUM(CM70:CP70)</f>
        <v>-14.829499999999999</v>
      </c>
      <c r="CR70" s="21"/>
      <c r="CS70" s="21"/>
      <c r="CT70" s="21"/>
      <c r="CU70" s="21"/>
      <c r="CV70" s="21"/>
      <c r="CW70" s="21"/>
    </row>
    <row r="71" spans="1:101" ht="11.25" customHeight="1">
      <c r="A71" s="1092" t="s">
        <v>305</v>
      </c>
      <c r="B71" s="1088"/>
      <c r="C71" s="1088"/>
      <c r="D71" s="1089"/>
      <c r="E71" s="1222">
        <f>IS!K26</f>
        <v>-1.296</v>
      </c>
      <c r="F71" s="1223"/>
      <c r="G71" s="1222">
        <f>IS!M26</f>
        <v>-1.75</v>
      </c>
      <c r="H71" s="1223"/>
      <c r="I71" s="1222">
        <f>IS!O26</f>
        <v>-2.1579999999999999</v>
      </c>
      <c r="J71" s="1223"/>
      <c r="K71" s="1222">
        <f>IS!Q26</f>
        <v>-2.0590000000000002</v>
      </c>
      <c r="L71" s="1223"/>
      <c r="M71" s="1222">
        <f>IS!W26</f>
        <v>-2.1589999999999998</v>
      </c>
      <c r="N71" s="1223"/>
      <c r="O71" s="1222">
        <f>IS!AC26</f>
        <v>-2.2999999999999998</v>
      </c>
      <c r="P71" s="1223"/>
      <c r="Q71" s="1222">
        <f>IS!AI26</f>
        <v>-11.700000000000001</v>
      </c>
      <c r="R71" s="1223"/>
      <c r="S71" s="1224">
        <f>IS!AK26</f>
        <v>-2.2999999999999998</v>
      </c>
      <c r="T71" s="1223">
        <f>IS!AL26</f>
        <v>-2.1</v>
      </c>
      <c r="U71" s="1223">
        <f>IS!AM26</f>
        <v>-1.8</v>
      </c>
      <c r="V71" s="1223">
        <f>IS!AN26</f>
        <v>-1.2999999999999998</v>
      </c>
      <c r="W71" s="1225">
        <f>IS!AO26</f>
        <v>-7.5</v>
      </c>
      <c r="X71" s="1223"/>
      <c r="Y71" s="1224">
        <f>IS!AQ26</f>
        <v>-1.5</v>
      </c>
      <c r="Z71" s="1223">
        <f>IS!AR26</f>
        <v>-1.3</v>
      </c>
      <c r="AA71" s="1223">
        <f>IS!AS26</f>
        <v>-1.2</v>
      </c>
      <c r="AB71" s="1223">
        <f>IS!AT26</f>
        <v>-1.5999999999999996</v>
      </c>
      <c r="AC71" s="1225">
        <f>IS!AU26</f>
        <v>-5.6</v>
      </c>
      <c r="AD71" s="1223"/>
      <c r="AE71" s="1224">
        <f>IS!AW26</f>
        <v>-1.5</v>
      </c>
      <c r="AF71" s="1223">
        <f>IS!AX26</f>
        <v>-1.6</v>
      </c>
      <c r="AG71" s="1223">
        <f>IS!AY26</f>
        <v>-1.7</v>
      </c>
      <c r="AH71" s="1223">
        <f>IS!AZ26</f>
        <v>-2.5</v>
      </c>
      <c r="AI71" s="1225">
        <f>IS!BA26</f>
        <v>-7.3</v>
      </c>
      <c r="AJ71" s="1223"/>
      <c r="AK71" s="1224">
        <f>IS!BC26</f>
        <v>-3.5</v>
      </c>
      <c r="AL71" s="1223">
        <f>IS!BD26</f>
        <v>-3.6</v>
      </c>
      <c r="AM71" s="1223">
        <f>IS!BE26</f>
        <v>-3.6</v>
      </c>
      <c r="AN71" s="1223">
        <f>IS!BF26</f>
        <v>-7</v>
      </c>
      <c r="AO71" s="1225">
        <f>IS!BG26</f>
        <v>-17.7</v>
      </c>
      <c r="AP71" s="1223"/>
      <c r="AQ71" s="1224">
        <f>IS!BI26</f>
        <v>-3.1</v>
      </c>
      <c r="AR71" s="1223">
        <f>IS!BJ26</f>
        <v>-3.1</v>
      </c>
      <c r="AS71" s="1223">
        <f>IS!BK26</f>
        <v>-4.7</v>
      </c>
      <c r="AT71" s="1223">
        <f>IS!BL26</f>
        <v>-12.700000000000001</v>
      </c>
      <c r="AU71" s="1225">
        <f>IS!BM26</f>
        <v>-23.6</v>
      </c>
      <c r="AV71" s="1223"/>
      <c r="AW71" s="1224">
        <f>IS!BO26</f>
        <v>-3</v>
      </c>
      <c r="AX71" s="1223">
        <f>IS!BP26</f>
        <v>-3.1</v>
      </c>
      <c r="AY71" s="1223">
        <f>IS!BQ26</f>
        <v>-3.2</v>
      </c>
      <c r="AZ71" s="1223">
        <f>IS!BR26</f>
        <v>-3.1999999999999993</v>
      </c>
      <c r="BA71" s="1225">
        <f>IS!BS26</f>
        <v>-12.5</v>
      </c>
      <c r="BB71" s="1223"/>
      <c r="BC71" s="1224">
        <f>IS!BU26</f>
        <v>-3.1</v>
      </c>
      <c r="BD71" s="1223">
        <f>IS!BV26</f>
        <v>-6</v>
      </c>
      <c r="BE71" s="1223">
        <f>IS!BW26</f>
        <v>-2.1</v>
      </c>
      <c r="BF71" s="1223">
        <f>IS!BX26</f>
        <v>-1.8000000000000007</v>
      </c>
      <c r="BG71" s="1225">
        <f>IS!BY26</f>
        <v>-13</v>
      </c>
      <c r="BH71" s="1223"/>
      <c r="BI71" s="1224">
        <f>IS!CA26</f>
        <v>-5.6</v>
      </c>
      <c r="BJ71" s="1223">
        <f>IS!CB26</f>
        <v>-2.6</v>
      </c>
      <c r="BK71" s="1223">
        <f>IS!CC26</f>
        <v>-2.9</v>
      </c>
      <c r="BL71" s="1223">
        <f>IS!CD26</f>
        <v>2.2999999999999998</v>
      </c>
      <c r="BM71" s="1225">
        <f>IS!CE26</f>
        <v>-8.8000000000000007</v>
      </c>
      <c r="BN71" s="1223"/>
      <c r="BO71" s="1224">
        <f>IS!CG26</f>
        <v>-6</v>
      </c>
      <c r="BP71" s="1223">
        <f>IS!CH26</f>
        <v>-3.8</v>
      </c>
      <c r="BQ71" s="1223">
        <f>IS!CI26</f>
        <v>-2.5</v>
      </c>
      <c r="BR71" s="1223">
        <f>IS!CJ26</f>
        <v>-4.5999999999999996</v>
      </c>
      <c r="BS71" s="1225">
        <f>IS!CK26</f>
        <v>-16.899999999999999</v>
      </c>
      <c r="BT71" s="54"/>
      <c r="BU71" s="1224">
        <f>IS!CM26</f>
        <v>-3.7073749999999999</v>
      </c>
      <c r="BV71" s="1223">
        <f>IS!CN26</f>
        <v>-3.2406250000000001</v>
      </c>
      <c r="BW71" s="1223">
        <f>IS!CO26</f>
        <v>-3.7073749999999999</v>
      </c>
      <c r="BX71" s="1223">
        <f>IS!CP26</f>
        <v>-3.7073749999999999</v>
      </c>
      <c r="BY71" s="1225">
        <f>IS!CQ26</f>
        <v>-14.362749999999998</v>
      </c>
      <c r="CA71" s="1224">
        <f>IS!CS26</f>
        <v>-3.7073749999999999</v>
      </c>
      <c r="CB71" s="1223">
        <f>IS!CT26</f>
        <v>-3.8101249999999998</v>
      </c>
      <c r="CC71" s="1223">
        <f>IS!CU26</f>
        <v>-3.7073749999999999</v>
      </c>
      <c r="CD71" s="1223">
        <f>IS!CV26</f>
        <v>-3.7073749999999999</v>
      </c>
      <c r="CE71" s="1225">
        <f>IS!CW26</f>
        <v>-14.93225</v>
      </c>
      <c r="CG71" s="1224">
        <f>IS!CY26</f>
        <v>-3.7073749999999999</v>
      </c>
      <c r="CH71" s="1223">
        <f>IS!CZ26</f>
        <v>-3.7073749999999999</v>
      </c>
      <c r="CI71" s="1223">
        <f>IS!DA26</f>
        <v>-3.7073749999999999</v>
      </c>
      <c r="CJ71" s="1223">
        <f>IS!DB26</f>
        <v>-3.7073749999999999</v>
      </c>
      <c r="CK71" s="1225">
        <f>IS!DC26</f>
        <v>-14.829499999999999</v>
      </c>
      <c r="CM71" s="1224">
        <f>IS!DE26</f>
        <v>-3.7073749999999999</v>
      </c>
      <c r="CN71" s="1223">
        <f>IS!DF26</f>
        <v>-3.7073749999999999</v>
      </c>
      <c r="CO71" s="1223">
        <f>IS!DG26</f>
        <v>-3.7073749999999999</v>
      </c>
      <c r="CP71" s="1223">
        <f>IS!DH26</f>
        <v>-3.7073749999999999</v>
      </c>
      <c r="CQ71" s="1225">
        <f>IS!DI26</f>
        <v>-14.829499999999999</v>
      </c>
    </row>
    <row r="72" spans="1:101" ht="11.25" customHeight="1">
      <c r="BT72" s="54"/>
    </row>
    <row r="73" spans="1:101" ht="11.25" customHeight="1">
      <c r="A73" s="359" t="s">
        <v>306</v>
      </c>
      <c r="B73" s="360"/>
      <c r="C73" s="360"/>
      <c r="D73" s="360"/>
      <c r="E73" s="1226">
        <f>BS!I10</f>
        <v>8.3810000000000002</v>
      </c>
      <c r="F73" s="1227"/>
      <c r="G73" s="1226">
        <f>BS!K10</f>
        <v>84.811000000000007</v>
      </c>
      <c r="H73" s="1227"/>
      <c r="I73" s="1226">
        <f>BS!M10</f>
        <v>25.341999999999999</v>
      </c>
      <c r="J73" s="1227"/>
      <c r="K73" s="1226">
        <f>BS!O10</f>
        <v>32.546999999999997</v>
      </c>
      <c r="L73" s="1227"/>
      <c r="M73" s="1226">
        <f>BS!Q10</f>
        <v>62.631999999999998</v>
      </c>
      <c r="N73" s="1227"/>
      <c r="O73" s="1226">
        <f>BS!W10</f>
        <v>52.146999999999998</v>
      </c>
      <c r="P73" s="1227"/>
      <c r="Q73" s="1226">
        <f>BS!AC10</f>
        <v>332.4</v>
      </c>
      <c r="R73" s="1227"/>
      <c r="S73" s="1228">
        <f>BS!AI10</f>
        <v>166.2</v>
      </c>
      <c r="T73" s="1229">
        <f>BS!AK10</f>
        <v>148.4</v>
      </c>
      <c r="U73" s="1229">
        <f>BS!AL10</f>
        <v>152.6</v>
      </c>
      <c r="V73" s="1230">
        <f>BS!AM10</f>
        <v>148.5</v>
      </c>
      <c r="W73" s="1226">
        <f>BS!AI10</f>
        <v>166.2</v>
      </c>
      <c r="X73" s="1227"/>
      <c r="Y73" s="1228">
        <f>BS!AO10</f>
        <v>207.1</v>
      </c>
      <c r="Z73" s="1229">
        <f>BS!AQ10</f>
        <v>203.1</v>
      </c>
      <c r="AA73" s="1229">
        <f>BS!AR10</f>
        <v>187.6</v>
      </c>
      <c r="AB73" s="1230">
        <f>BS!AS10</f>
        <v>188</v>
      </c>
      <c r="AC73" s="1226">
        <f>BS!AO10</f>
        <v>207.1</v>
      </c>
      <c r="AD73" s="1227"/>
      <c r="AE73" s="1228">
        <f>BS!AU10</f>
        <v>230.4</v>
      </c>
      <c r="AF73" s="1229">
        <f>BS!AW10</f>
        <v>193.3</v>
      </c>
      <c r="AG73" s="1229">
        <f>BS!AX10</f>
        <v>169.8</v>
      </c>
      <c r="AH73" s="1230">
        <f>BS!AY10</f>
        <v>195.8</v>
      </c>
      <c r="AI73" s="1226">
        <f>BS!AU10</f>
        <v>230.4</v>
      </c>
      <c r="AJ73" s="1227"/>
      <c r="AK73" s="1228">
        <f>BS!BA10</f>
        <v>246</v>
      </c>
      <c r="AL73" s="1229">
        <f>BS!BC10</f>
        <v>229.5</v>
      </c>
      <c r="AM73" s="1229">
        <f>BS!BD10</f>
        <v>240.3</v>
      </c>
      <c r="AN73" s="1229">
        <f>BS!BE10</f>
        <v>242.1</v>
      </c>
      <c r="AO73" s="1226">
        <f>BS!BA10</f>
        <v>246</v>
      </c>
      <c r="AP73" s="1227"/>
      <c r="AQ73" s="1228">
        <f>BS!BG10</f>
        <v>310.60000000000002</v>
      </c>
      <c r="AR73" s="1229">
        <f>BS!BI10</f>
        <v>269.39999999999998</v>
      </c>
      <c r="AS73" s="1229">
        <f>BS!BJ10</f>
        <v>250.9</v>
      </c>
      <c r="AT73" s="1229">
        <f>BS!BK10</f>
        <v>306.8</v>
      </c>
      <c r="AU73" s="1226">
        <f>BS!BG10</f>
        <v>310.60000000000002</v>
      </c>
      <c r="AV73" s="1227"/>
      <c r="AW73" s="1228">
        <f>BS!BM10</f>
        <v>438.7</v>
      </c>
      <c r="AX73" s="1229">
        <f>BS!BO10</f>
        <v>454</v>
      </c>
      <c r="AY73" s="1229">
        <f>BS!BP10</f>
        <v>389.8</v>
      </c>
      <c r="AZ73" s="1230">
        <f>BS!BQ10</f>
        <v>329.20000000000016</v>
      </c>
      <c r="BA73" s="1226">
        <f>BS!BM10</f>
        <v>438.7</v>
      </c>
      <c r="BB73" s="1227"/>
      <c r="BC73" s="1228">
        <f>BS!BS10</f>
        <v>319.5</v>
      </c>
      <c r="BD73" s="1229">
        <f>BS!BU10</f>
        <v>334.5</v>
      </c>
      <c r="BE73" s="1229">
        <f>BS!BV10</f>
        <v>320.8</v>
      </c>
      <c r="BF73" s="1230">
        <f>BS!BW10</f>
        <v>331</v>
      </c>
      <c r="BG73" s="1226">
        <f>BS!BS10</f>
        <v>319.5</v>
      </c>
      <c r="BH73" s="1227"/>
      <c r="BI73" s="1228">
        <f>BS!BY10</f>
        <v>267.10000000000002</v>
      </c>
      <c r="BJ73" s="1229">
        <f>BS!CA10</f>
        <v>209.90000000000018</v>
      </c>
      <c r="BK73" s="1229">
        <f>BS!CB10</f>
        <v>232.5</v>
      </c>
      <c r="BL73" s="1230">
        <f>BS!CC10</f>
        <v>278.7</v>
      </c>
      <c r="BM73" s="1226">
        <f>BS!BY10</f>
        <v>267.10000000000002</v>
      </c>
      <c r="BN73" s="1227"/>
      <c r="BO73" s="1228">
        <f>BS!CE10</f>
        <v>342.4</v>
      </c>
      <c r="BP73" s="1229">
        <f>BS!CG10</f>
        <v>277.5</v>
      </c>
      <c r="BQ73" s="1229">
        <f>BS!CH10</f>
        <v>217.7</v>
      </c>
      <c r="BR73" s="1230">
        <f>BS!CI10</f>
        <v>263.89999999999998</v>
      </c>
      <c r="BS73" s="1226">
        <f>BS!CE10</f>
        <v>342.4</v>
      </c>
      <c r="BT73" s="54"/>
      <c r="BU73" s="1228">
        <f>BS!CK10</f>
        <v>325</v>
      </c>
      <c r="BV73" s="1229">
        <f>BS!CM10</f>
        <v>312.84184589911496</v>
      </c>
      <c r="BW73" s="1229">
        <f>BS!CN10</f>
        <v>246.96275147503138</v>
      </c>
      <c r="BX73" s="1230">
        <f>BS!CO10</f>
        <v>261.09176076787952</v>
      </c>
      <c r="BY73" s="1226">
        <f>BS!CK10</f>
        <v>325</v>
      </c>
      <c r="CA73" s="1228">
        <f>BS!CQ10</f>
        <v>293.30349483336818</v>
      </c>
      <c r="CB73" s="1229">
        <f>BS!CS10</f>
        <v>379.19565401846859</v>
      </c>
      <c r="CC73" s="1229">
        <f>BS!CT10</f>
        <v>312.66565770865697</v>
      </c>
      <c r="CD73" s="1230">
        <f>BS!CU10</f>
        <v>290.74680450626346</v>
      </c>
      <c r="CE73" s="1226">
        <f>BS!CQ10</f>
        <v>293.30349483336818</v>
      </c>
      <c r="CG73" s="1228">
        <f>BS!CW10</f>
        <v>244.85339430328472</v>
      </c>
      <c r="CH73" s="1229">
        <f>BS!CY10</f>
        <v>354.17835302983133</v>
      </c>
      <c r="CI73" s="1229">
        <f>BS!CZ10</f>
        <v>304.95537247073042</v>
      </c>
      <c r="CJ73" s="1230">
        <f>BS!DA10</f>
        <v>281.3344722208704</v>
      </c>
      <c r="CK73" s="1226">
        <f>BS!CW10</f>
        <v>244.85339430328472</v>
      </c>
      <c r="CM73" s="1228">
        <f>BS!DC10</f>
        <v>238.41079774061339</v>
      </c>
      <c r="CN73" s="1229">
        <f>BS!DE10</f>
        <v>397.6083154058033</v>
      </c>
      <c r="CO73" s="1229">
        <f>BS!DF10</f>
        <v>336.05344762009685</v>
      </c>
      <c r="CP73" s="1230">
        <f>BS!DG10</f>
        <v>318.78189417001852</v>
      </c>
      <c r="CQ73" s="1226">
        <f>BS!DC10</f>
        <v>238.41079774061339</v>
      </c>
    </row>
    <row r="74" spans="1:101" ht="11.25" customHeight="1">
      <c r="A74" s="362" t="s">
        <v>30</v>
      </c>
      <c r="B74" s="363"/>
      <c r="C74" s="363"/>
      <c r="D74" s="363"/>
      <c r="E74" s="1231">
        <f>IS!K25</f>
        <v>1.784</v>
      </c>
      <c r="F74" s="1232"/>
      <c r="G74" s="1231">
        <f>IS!M25</f>
        <v>1.2130000000000001</v>
      </c>
      <c r="H74" s="1232"/>
      <c r="I74" s="1231">
        <f>IS!O25</f>
        <v>1.54</v>
      </c>
      <c r="J74" s="1232"/>
      <c r="K74" s="1231">
        <f>IS!Q25</f>
        <v>2.5659999999999998</v>
      </c>
      <c r="L74" s="1232"/>
      <c r="M74" s="1231">
        <f>IS!W25</f>
        <v>2.1829999999999998</v>
      </c>
      <c r="N74" s="1232"/>
      <c r="O74" s="1231">
        <f>IS!AC25</f>
        <v>10.4</v>
      </c>
      <c r="P74" s="1232"/>
      <c r="Q74" s="1231">
        <f>IS!AI25</f>
        <v>4.9000000000000012</v>
      </c>
      <c r="R74" s="1232"/>
      <c r="S74" s="1233">
        <f>IS!AK25</f>
        <v>0.4</v>
      </c>
      <c r="T74" s="1234">
        <f>IS!AL25</f>
        <v>0.4</v>
      </c>
      <c r="U74" s="1234">
        <f>IS!AM25</f>
        <v>0.4</v>
      </c>
      <c r="V74" s="1235">
        <f>IS!AN25</f>
        <v>-0.20000000000000018</v>
      </c>
      <c r="W74" s="1231">
        <f>IS!AO25</f>
        <v>1</v>
      </c>
      <c r="X74" s="1232"/>
      <c r="Y74" s="1233">
        <f>IS!AQ25</f>
        <v>0.1</v>
      </c>
      <c r="Z74" s="1234">
        <f>IS!AR25</f>
        <v>0.2</v>
      </c>
      <c r="AA74" s="1234">
        <f>IS!AS25</f>
        <v>0.1</v>
      </c>
      <c r="AB74" s="1235">
        <f>IS!AT25</f>
        <v>0.5</v>
      </c>
      <c r="AC74" s="1231">
        <f>IS!AU25</f>
        <v>0.9</v>
      </c>
      <c r="AD74" s="1232"/>
      <c r="AE74" s="1233">
        <f>IS!AW25</f>
        <v>0.2</v>
      </c>
      <c r="AF74" s="1234">
        <f>IS!AX25</f>
        <v>0.2</v>
      </c>
      <c r="AG74" s="1234">
        <f>IS!AY25</f>
        <v>0.2</v>
      </c>
      <c r="AH74" s="1235">
        <f>IS!AZ25</f>
        <v>0.39999999999999991</v>
      </c>
      <c r="AI74" s="1231">
        <f>IS!BA25</f>
        <v>1</v>
      </c>
      <c r="AJ74" s="1232"/>
      <c r="AK74" s="1233">
        <f>IS!BC25</f>
        <v>0.2</v>
      </c>
      <c r="AL74" s="1234">
        <f>IS!BD25</f>
        <v>0.1</v>
      </c>
      <c r="AM74" s="1234">
        <f>IS!BE25</f>
        <v>0.2</v>
      </c>
      <c r="AN74" s="1234">
        <f>IS!BF25</f>
        <v>-0.5</v>
      </c>
      <c r="AO74" s="394">
        <f>SUM(AK74:AN74)</f>
        <v>0</v>
      </c>
      <c r="AP74" s="363"/>
      <c r="AQ74" s="535">
        <f>IS!BI25</f>
        <v>0</v>
      </c>
      <c r="AR74" s="395">
        <f>IS!BJ25</f>
        <v>0</v>
      </c>
      <c r="AS74" s="395">
        <f>IS!BK25</f>
        <v>0</v>
      </c>
      <c r="AT74" s="395">
        <f>IS!BL25</f>
        <v>0</v>
      </c>
      <c r="AU74" s="394">
        <f>SUM(AQ74:AT74)</f>
        <v>0</v>
      </c>
      <c r="AV74" s="363"/>
      <c r="AW74" s="535">
        <f>IS!BO25</f>
        <v>0</v>
      </c>
      <c r="AX74" s="395">
        <f>IS!BP25</f>
        <v>0</v>
      </c>
      <c r="AY74" s="395">
        <f>IS!BQ25</f>
        <v>0</v>
      </c>
      <c r="AZ74" s="395">
        <f>AZ73*AZ75/4</f>
        <v>0</v>
      </c>
      <c r="BA74" s="394">
        <f>SUM(AW74:AZ74)</f>
        <v>0</v>
      </c>
      <c r="BB74" s="363"/>
      <c r="BC74" s="535">
        <f>IS!BU25</f>
        <v>0</v>
      </c>
      <c r="BD74" s="395">
        <f>IS!BV25</f>
        <v>0</v>
      </c>
      <c r="BE74" s="395">
        <f>IS!BW25</f>
        <v>0</v>
      </c>
      <c r="BF74" s="395">
        <f>BF73*BF75/4</f>
        <v>0</v>
      </c>
      <c r="BG74" s="394">
        <f>SUM(BC74:BF74)</f>
        <v>0</v>
      </c>
      <c r="BH74" s="363"/>
      <c r="BI74" s="535">
        <f>IS!CA25</f>
        <v>0</v>
      </c>
      <c r="BJ74" s="395">
        <f>IS!CB25</f>
        <v>0</v>
      </c>
      <c r="BK74" s="395">
        <f>IS!CC25</f>
        <v>0</v>
      </c>
      <c r="BL74" s="395">
        <f>BL73*BL75/4</f>
        <v>0</v>
      </c>
      <c r="BM74" s="394">
        <f>SUM(BI74:BL74)</f>
        <v>0</v>
      </c>
      <c r="BN74" s="363"/>
      <c r="BO74" s="535">
        <f>IS!CG25</f>
        <v>0</v>
      </c>
      <c r="BP74" s="395">
        <f>IS!CH25</f>
        <v>0</v>
      </c>
      <c r="BQ74" s="395">
        <f>IS!CI25</f>
        <v>0</v>
      </c>
      <c r="BR74" s="395">
        <f>BR73*BR75/4</f>
        <v>0</v>
      </c>
      <c r="BS74" s="394">
        <f>SUM(BO74:BR74)</f>
        <v>0</v>
      </c>
      <c r="BT74" s="54"/>
      <c r="BU74" s="535">
        <f>BU73*BU75/4</f>
        <v>1.21875</v>
      </c>
      <c r="BV74" s="395">
        <f>BV73*BV75/4</f>
        <v>1.1731569221216811</v>
      </c>
      <c r="BW74" s="395">
        <f>BW73*BW75/4</f>
        <v>0.92611031803136767</v>
      </c>
      <c r="BX74" s="395">
        <f>BX73*BX75/4</f>
        <v>0.97909410287954812</v>
      </c>
      <c r="BY74" s="394">
        <f>SUM(BU74:BX74)</f>
        <v>4.2971113430325971</v>
      </c>
      <c r="CA74" s="535">
        <f>CA73*CA75/4</f>
        <v>1.0998881056251306</v>
      </c>
      <c r="CB74" s="395">
        <f>CB73*CB75/4</f>
        <v>1.4219837025692572</v>
      </c>
      <c r="CC74" s="395">
        <f>CC73*CC75/4</f>
        <v>1.1724962164074635</v>
      </c>
      <c r="CD74" s="395">
        <f>CD73*CD75/4</f>
        <v>1.0903005168984878</v>
      </c>
      <c r="CE74" s="394">
        <f>SUM(CA74:CD74)</f>
        <v>4.7846685415003387</v>
      </c>
      <c r="CG74" s="535">
        <f>CG73*CG75/4</f>
        <v>0.91820022863731765</v>
      </c>
      <c r="CH74" s="395">
        <f>CH73*CH75/4</f>
        <v>11.919463803888554</v>
      </c>
      <c r="CI74" s="395">
        <f>CI73*CI75/4</f>
        <v>10.262921188918812</v>
      </c>
      <c r="CJ74" s="395">
        <f>CJ73*CJ75/4</f>
        <v>9.4679870458946755</v>
      </c>
      <c r="CK74" s="394">
        <f>SUM(CG74:CJ74)</f>
        <v>32.568572267339356</v>
      </c>
      <c r="CM74" s="535">
        <f>CM73*CM75/4</f>
        <v>8.0234403085783352</v>
      </c>
      <c r="CN74" s="395">
        <f>CN73*CN75/4</f>
        <v>1.4910311827717624</v>
      </c>
      <c r="CO74" s="395">
        <f>CO73*CO75/4</f>
        <v>1.2602004285753632</v>
      </c>
      <c r="CP74" s="395">
        <f>CP73*CP75/4</f>
        <v>1.1954321031375694</v>
      </c>
      <c r="CQ74" s="394">
        <f>SUM(CM74:CP74)</f>
        <v>11.97010402306303</v>
      </c>
    </row>
    <row r="75" spans="1:101" s="1236" customFormat="1" ht="11.25" customHeight="1">
      <c r="A75" s="365" t="s">
        <v>307</v>
      </c>
      <c r="B75" s="366"/>
      <c r="C75" s="366"/>
      <c r="D75" s="366"/>
      <c r="E75" s="403">
        <f>E74/E73</f>
        <v>0.21286242691802887</v>
      </c>
      <c r="F75" s="366"/>
      <c r="G75" s="403">
        <f>G74/G73</f>
        <v>1.4302390020162479E-2</v>
      </c>
      <c r="H75" s="366"/>
      <c r="I75" s="403">
        <f>I74/I73</f>
        <v>6.0768684397442985E-2</v>
      </c>
      <c r="J75" s="366"/>
      <c r="K75" s="403">
        <f>K74/K73</f>
        <v>7.8839831628107052E-2</v>
      </c>
      <c r="L75" s="366"/>
      <c r="M75" s="403">
        <f>M74/M73</f>
        <v>3.4854387533529187E-2</v>
      </c>
      <c r="N75" s="366"/>
      <c r="O75" s="403">
        <f>O74/O73</f>
        <v>0.19943620917790095</v>
      </c>
      <c r="P75" s="366"/>
      <c r="Q75" s="403">
        <f>Q74/Q73</f>
        <v>1.4741275571600486E-2</v>
      </c>
      <c r="R75" s="366"/>
      <c r="S75" s="379">
        <f>(S74*4)/S73</f>
        <v>9.6269554753309269E-3</v>
      </c>
      <c r="T75" s="393">
        <f>(T74*4)/T73</f>
        <v>1.078167115902965E-2</v>
      </c>
      <c r="U75" s="393">
        <f>(U74*4)/U73</f>
        <v>1.0484927916120578E-2</v>
      </c>
      <c r="V75" s="537" t="str">
        <f>IF(V74&lt;0,"NM",(V74*4)/V73)</f>
        <v>NM</v>
      </c>
      <c r="W75" s="409">
        <f>W74/W73</f>
        <v>6.0168471720818293E-3</v>
      </c>
      <c r="X75" s="366"/>
      <c r="Y75" s="379">
        <f>(Y74*4)/Y73</f>
        <v>1.9314340898116853E-3</v>
      </c>
      <c r="Z75" s="393">
        <f>(Z74*4)/Z73</f>
        <v>3.9389463318562287E-3</v>
      </c>
      <c r="AA75" s="393">
        <f>(AA74*4)/AA73</f>
        <v>2.1321961620469087E-3</v>
      </c>
      <c r="AB75" s="448">
        <f>(AB74*4)/AB73</f>
        <v>1.0638297872340425E-2</v>
      </c>
      <c r="AC75" s="409">
        <f>AC74/AC73</f>
        <v>4.3457267020762915E-3</v>
      </c>
      <c r="AD75" s="366"/>
      <c r="AE75" s="379">
        <f>(AE74*4)/AE73</f>
        <v>3.4722222222222225E-3</v>
      </c>
      <c r="AF75" s="393">
        <f>(AF74*4)/AF73</f>
        <v>4.1386445938954991E-3</v>
      </c>
      <c r="AG75" s="393">
        <f>(AG74*4)/AG73</f>
        <v>4.7114252061248524E-3</v>
      </c>
      <c r="AH75" s="448">
        <f>(AH74*4)/AH73</f>
        <v>8.1716036772216533E-3</v>
      </c>
      <c r="AI75" s="409">
        <f>AI74/AI73</f>
        <v>4.340277777777778E-3</v>
      </c>
      <c r="AJ75" s="366"/>
      <c r="AK75" s="379">
        <f>(AK74*4)/AK73</f>
        <v>3.2520325203252032E-3</v>
      </c>
      <c r="AL75" s="393">
        <f>(AL74*4)/AL73</f>
        <v>1.7429193899782137E-3</v>
      </c>
      <c r="AM75" s="393">
        <f>(AM74*4)/AM73</f>
        <v>3.3291718684977114E-3</v>
      </c>
      <c r="AN75" s="709">
        <f>(AN74*4)/AN73</f>
        <v>-8.2610491532424616E-3</v>
      </c>
      <c r="AO75" s="409">
        <f>AO74/AO73</f>
        <v>0</v>
      </c>
      <c r="AP75" s="366"/>
      <c r="AQ75" s="379">
        <f>(AQ74*4)/AQ73</f>
        <v>0</v>
      </c>
      <c r="AR75" s="393">
        <f>(AR74*4)/AR73</f>
        <v>0</v>
      </c>
      <c r="AS75" s="393">
        <f>(AS74*4)/AS73</f>
        <v>0</v>
      </c>
      <c r="AT75" s="393">
        <f>(AT74*4)/AT73</f>
        <v>0</v>
      </c>
      <c r="AU75" s="409">
        <f>AU74/AU73</f>
        <v>0</v>
      </c>
      <c r="AV75" s="366"/>
      <c r="AW75" s="379">
        <f>(AW74*4)/AW73</f>
        <v>0</v>
      </c>
      <c r="AX75" s="393">
        <f>(AX74*4)/AX73</f>
        <v>0</v>
      </c>
      <c r="AY75" s="393">
        <f>(AY74*4)/AY73</f>
        <v>0</v>
      </c>
      <c r="AZ75" s="393">
        <f>AY75</f>
        <v>0</v>
      </c>
      <c r="BA75" s="409">
        <f>BA74/BA73</f>
        <v>0</v>
      </c>
      <c r="BB75" s="366"/>
      <c r="BC75" s="379">
        <f>(BC74*4)/BC73</f>
        <v>0</v>
      </c>
      <c r="BD75" s="393">
        <f>(BD74*4)/BD73</f>
        <v>0</v>
      </c>
      <c r="BE75" s="393">
        <f>(BE74*4)/BE73</f>
        <v>0</v>
      </c>
      <c r="BF75" s="393">
        <f>BE75</f>
        <v>0</v>
      </c>
      <c r="BG75" s="409">
        <f>BG74/BG73</f>
        <v>0</v>
      </c>
      <c r="BH75" s="366"/>
      <c r="BI75" s="379">
        <f>(BI74*4)/BI73</f>
        <v>0</v>
      </c>
      <c r="BJ75" s="393">
        <f>(BJ74*4)/BJ73</f>
        <v>0</v>
      </c>
      <c r="BK75" s="393">
        <f>(BK74*4)/BK73</f>
        <v>0</v>
      </c>
      <c r="BL75" s="393">
        <f>BK75</f>
        <v>0</v>
      </c>
      <c r="BM75" s="409">
        <f>BM74/BM73</f>
        <v>0</v>
      </c>
      <c r="BN75" s="366"/>
      <c r="BO75" s="379">
        <f>(BO74*4)/BO73</f>
        <v>0</v>
      </c>
      <c r="BP75" s="393">
        <f>(BP74*4)/BP73</f>
        <v>0</v>
      </c>
      <c r="BQ75" s="393">
        <f>(BQ74*4)/BQ73</f>
        <v>0</v>
      </c>
      <c r="BR75" s="393">
        <f>BQ75</f>
        <v>0</v>
      </c>
      <c r="BS75" s="409">
        <f>BS74/BS73</f>
        <v>0</v>
      </c>
      <c r="BT75" s="54"/>
      <c r="BU75" s="2232">
        <v>1.4999999999999999E-2</v>
      </c>
      <c r="BV75" s="2231">
        <v>1.4999999999999999E-2</v>
      </c>
      <c r="BW75" s="2231">
        <v>1.4999999999999999E-2</v>
      </c>
      <c r="BX75" s="2231">
        <v>1.4999999999999999E-2</v>
      </c>
      <c r="BY75" s="409">
        <f>BY74/BY73</f>
        <v>1.3221881055484915E-2</v>
      </c>
      <c r="CA75" s="2232">
        <v>1.4999999999999999E-2</v>
      </c>
      <c r="CB75" s="2231">
        <v>1.4999999999999999E-2</v>
      </c>
      <c r="CC75" s="2231">
        <v>1.4999999999999999E-2</v>
      </c>
      <c r="CD75" s="2231">
        <v>1.4999999999999999E-2</v>
      </c>
      <c r="CE75" s="409">
        <f>CE74/CE73</f>
        <v>1.6313029424414489E-2</v>
      </c>
      <c r="CG75" s="2354">
        <v>1.4999999999999999E-2</v>
      </c>
      <c r="CH75" s="2231">
        <v>0.13461538461538461</v>
      </c>
      <c r="CI75" s="2231">
        <v>0.13461538461538461</v>
      </c>
      <c r="CJ75" s="2231">
        <v>0.13461538461538461</v>
      </c>
      <c r="CK75" s="409">
        <f>CK74/CK73</f>
        <v>0.1330125414843083</v>
      </c>
      <c r="CM75" s="2232">
        <v>0.13461538461538461</v>
      </c>
      <c r="CN75" s="2231">
        <v>1.4999999999999999E-2</v>
      </c>
      <c r="CO75" s="2231">
        <v>1.4999999999999999E-2</v>
      </c>
      <c r="CP75" s="2231">
        <v>1.4999999999999999E-2</v>
      </c>
      <c r="CQ75" s="409">
        <f>CQ74/CQ73</f>
        <v>5.0207893839130074E-2</v>
      </c>
    </row>
    <row r="76" spans="1:101" ht="11.25" customHeight="1">
      <c r="BT76" s="54"/>
    </row>
    <row r="77" spans="1:101" ht="11.25" customHeight="1">
      <c r="A77" s="526"/>
      <c r="B77" s="513"/>
      <c r="C77" s="513"/>
      <c r="D77" s="479"/>
      <c r="E77" s="528"/>
      <c r="F77" s="529"/>
      <c r="G77" s="528"/>
      <c r="H77" s="529"/>
      <c r="I77" s="528"/>
      <c r="J77" s="529"/>
      <c r="K77" s="528"/>
      <c r="L77" s="529"/>
      <c r="M77" s="528"/>
      <c r="N77" s="529"/>
      <c r="O77" s="528"/>
      <c r="P77" s="529"/>
      <c r="Q77" s="528"/>
      <c r="R77" s="529"/>
      <c r="S77" s="528"/>
      <c r="T77" s="528"/>
      <c r="U77" s="528"/>
      <c r="V77" s="528"/>
      <c r="W77" s="528"/>
      <c r="X77" s="529"/>
      <c r="Y77" s="528"/>
      <c r="Z77" s="528"/>
      <c r="AA77" s="528"/>
      <c r="AB77" s="528"/>
      <c r="AC77" s="528"/>
      <c r="AD77" s="529"/>
      <c r="AE77" s="528"/>
      <c r="AF77" s="528"/>
      <c r="AG77" s="528"/>
      <c r="AH77" s="528"/>
      <c r="AI77" s="528"/>
      <c r="AJ77" s="529"/>
      <c r="AK77" s="528"/>
      <c r="AL77" s="528"/>
      <c r="AM77" s="528"/>
      <c r="AN77" s="528"/>
      <c r="AO77" s="528"/>
      <c r="AP77" s="479"/>
      <c r="AQ77" s="528"/>
      <c r="AR77" s="1254"/>
      <c r="AS77" s="528"/>
      <c r="AT77" s="528"/>
      <c r="AU77" s="528"/>
      <c r="AV77" s="479"/>
      <c r="AW77" s="528"/>
      <c r="AX77" s="528"/>
      <c r="AY77" s="528"/>
      <c r="AZ77" s="528"/>
      <c r="BA77" s="528"/>
      <c r="BB77" s="479"/>
      <c r="BC77" s="528"/>
      <c r="BD77" s="528"/>
      <c r="BE77" s="528"/>
      <c r="BF77" s="528"/>
      <c r="BG77" s="528"/>
      <c r="BH77" s="479"/>
      <c r="BI77" s="528"/>
      <c r="BJ77" s="528"/>
      <c r="BK77" s="528"/>
      <c r="BL77" s="528"/>
      <c r="BM77" s="528"/>
      <c r="BN77" s="479"/>
      <c r="BO77" s="528"/>
      <c r="BP77" s="528"/>
      <c r="BQ77" s="528"/>
      <c r="BR77" s="528"/>
      <c r="BS77" s="528"/>
      <c r="BT77" s="479"/>
      <c r="BU77" s="528"/>
      <c r="BV77" s="528"/>
      <c r="BW77" s="528"/>
      <c r="BX77" s="528"/>
      <c r="BY77" s="528"/>
      <c r="CA77" s="528"/>
      <c r="CB77" s="528"/>
      <c r="CC77" s="528"/>
      <c r="CD77" s="528"/>
      <c r="CE77" s="528"/>
      <c r="CG77" s="528"/>
      <c r="CH77" s="528"/>
      <c r="CI77" s="528"/>
      <c r="CJ77" s="528"/>
      <c r="CK77" s="528"/>
      <c r="CM77" s="528"/>
      <c r="CN77" s="528"/>
      <c r="CO77" s="528"/>
      <c r="CP77" s="528"/>
      <c r="CQ77" s="528"/>
    </row>
    <row r="78" spans="1:101" ht="11.25" customHeight="1">
      <c r="A78" s="527"/>
      <c r="E78" s="530"/>
      <c r="F78" s="531"/>
      <c r="G78" s="530"/>
      <c r="H78" s="531"/>
      <c r="I78" s="530"/>
      <c r="J78" s="531"/>
      <c r="K78" s="530"/>
      <c r="L78" s="531"/>
      <c r="M78" s="530"/>
      <c r="N78" s="531"/>
      <c r="O78" s="530"/>
      <c r="P78" s="531"/>
      <c r="Q78" s="530"/>
      <c r="R78" s="531"/>
      <c r="S78" s="530"/>
      <c r="T78" s="530"/>
      <c r="U78" s="530"/>
      <c r="V78" s="530"/>
      <c r="W78" s="530"/>
      <c r="X78" s="531"/>
      <c r="Y78" s="530"/>
      <c r="Z78" s="530"/>
      <c r="AA78" s="530"/>
      <c r="AB78" s="530"/>
      <c r="AC78" s="530"/>
      <c r="AD78" s="531"/>
      <c r="AE78" s="530"/>
      <c r="AF78" s="530"/>
      <c r="AG78" s="530"/>
      <c r="AH78" s="530"/>
      <c r="AI78" s="530"/>
      <c r="AJ78" s="531"/>
      <c r="AK78" s="530"/>
      <c r="AL78" s="530"/>
      <c r="AM78" s="530"/>
      <c r="AN78" s="530"/>
      <c r="AO78" s="530"/>
      <c r="AQ78" s="530"/>
      <c r="AR78" s="530"/>
      <c r="AS78" s="530"/>
      <c r="AT78" s="530"/>
      <c r="AU78" s="530"/>
      <c r="AW78" s="530"/>
      <c r="AX78" s="530"/>
      <c r="AY78" s="530"/>
      <c r="AZ78" s="530"/>
      <c r="BA78" s="530"/>
      <c r="BC78" s="530"/>
      <c r="BD78" s="530"/>
      <c r="BE78" s="530"/>
      <c r="BF78" s="530"/>
      <c r="BG78" s="530"/>
      <c r="BI78" s="530"/>
      <c r="BJ78" s="530"/>
      <c r="BK78" s="530"/>
      <c r="BL78" s="530"/>
      <c r="BM78" s="530"/>
      <c r="BO78" s="530"/>
      <c r="BP78" s="530"/>
      <c r="BQ78" s="530"/>
      <c r="BR78" s="530"/>
      <c r="BS78" s="530"/>
      <c r="BU78" s="530"/>
      <c r="BV78" s="530"/>
      <c r="BW78" s="530"/>
      <c r="BX78" s="530"/>
      <c r="BY78" s="530"/>
      <c r="CA78" s="530"/>
      <c r="CB78" s="530"/>
      <c r="CC78" s="530"/>
      <c r="CD78" s="530"/>
      <c r="CE78" s="530"/>
      <c r="CG78" s="530"/>
      <c r="CH78" s="530"/>
      <c r="CI78" s="530"/>
      <c r="CJ78" s="530"/>
      <c r="CK78" s="530"/>
      <c r="CM78" s="530"/>
      <c r="CN78" s="530"/>
      <c r="CO78" s="530"/>
      <c r="CP78" s="530"/>
      <c r="CQ78" s="530"/>
    </row>
    <row r="79" spans="1:101" ht="11.25" customHeight="1"/>
    <row r="80" spans="1:101" ht="11.25" customHeight="1"/>
    <row r="81" spans="29:29" ht="11.25" customHeight="1"/>
    <row r="82" spans="29:29" ht="11.25" customHeight="1"/>
    <row r="83" spans="29:29" ht="11.25" customHeight="1"/>
    <row r="84" spans="29:29" ht="11.25" customHeight="1"/>
    <row r="85" spans="29:29" ht="11.25" customHeight="1"/>
    <row r="86" spans="29:29" ht="11.25" customHeight="1">
      <c r="AC86" s="711"/>
    </row>
    <row r="87" spans="29:29" ht="11.25" customHeight="1"/>
    <row r="88" spans="29:29" ht="11.25" customHeight="1"/>
    <row r="89" spans="29:29" ht="11.25" customHeight="1"/>
    <row r="90" spans="29:29" ht="11.25" customHeight="1"/>
    <row r="91" spans="29:29" ht="11.25" customHeight="1"/>
    <row r="92" spans="29:29" ht="11.25" customHeight="1"/>
    <row r="93" spans="29:29" ht="11.25" customHeight="1"/>
    <row r="94" spans="29:29" ht="11.25" customHeight="1"/>
    <row r="95" spans="29:29" ht="11.25" customHeight="1"/>
    <row r="96" spans="29:29" ht="11.25" customHeight="1"/>
    <row r="97" ht="11.25" customHeight="1"/>
    <row r="98" ht="11.25" customHeight="1"/>
    <row r="99" ht="11.25" customHeight="1"/>
    <row r="100" ht="11.25" customHeight="1"/>
  </sheetData>
  <phoneticPr fontId="6" type="noConversion"/>
  <pageMargins left="0" right="0" top="0" bottom="0" header="0" footer="0"/>
  <pageSetup scale="56" orientation="portrait" r:id="rId1"/>
  <headerFooter alignWithMargins="0"/>
  <ignoredErrors>
    <ignoredError sqref="AT37 AU37 AT32:AT34 AU32:AU36 AT36 AO35:AT35 AO36:AS36 AV36:BD36 AV35:BC35 AO32:AS34 AV32:BD32 BR32:BS32 BT32:BY34 AV34:BD34 AV33:BC33 BG33:BH33 BG35:BH35 BF36:BS36 BF32:BQ32 BF34:BQ34 AY64:BD64 AU64 AQ64:AS64 A65:AX73 A64:AP64 AT64 AV64:AX64 BG69:BH69 BH65:BH68 BM33:BN33 BM35:BN35 BJ69:BZ69 BN65:BN68 BH64 BE64 BE62:BJ63 BF64:BG64 BP35 BT65:BZ68 BI64:BJ64 BN64 BK64:BM64 BO64:BP64 BS35 BT64:BZ64 BR34:BS34 BS33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43"/>
  <sheetViews>
    <sheetView workbookViewId="0">
      <selection activeCell="B42" sqref="B42"/>
    </sheetView>
  </sheetViews>
  <sheetFormatPr defaultRowHeight="12.75"/>
  <cols>
    <col min="1" max="1" width="29.5703125" style="1" bestFit="1" customWidth="1"/>
    <col min="2" max="2" width="19.85546875" style="2405" customWidth="1"/>
    <col min="3" max="3" width="12" style="1" bestFit="1" customWidth="1"/>
    <col min="4" max="256" width="9.140625" style="1"/>
    <col min="257" max="257" width="29.5703125" style="1" bestFit="1" customWidth="1"/>
    <col min="258" max="258" width="19.85546875" style="1" customWidth="1"/>
    <col min="259" max="259" width="12" style="1" bestFit="1" customWidth="1"/>
    <col min="260" max="512" width="9.140625" style="1"/>
    <col min="513" max="513" width="29.5703125" style="1" bestFit="1" customWidth="1"/>
    <col min="514" max="514" width="19.85546875" style="1" customWidth="1"/>
    <col min="515" max="515" width="12" style="1" bestFit="1" customWidth="1"/>
    <col min="516" max="768" width="9.140625" style="1"/>
    <col min="769" max="769" width="29.5703125" style="1" bestFit="1" customWidth="1"/>
    <col min="770" max="770" width="19.85546875" style="1" customWidth="1"/>
    <col min="771" max="771" width="12" style="1" bestFit="1" customWidth="1"/>
    <col min="772" max="1024" width="9.140625" style="1"/>
    <col min="1025" max="1025" width="29.5703125" style="1" bestFit="1" customWidth="1"/>
    <col min="1026" max="1026" width="19.85546875" style="1" customWidth="1"/>
    <col min="1027" max="1027" width="12" style="1" bestFit="1" customWidth="1"/>
    <col min="1028" max="1280" width="9.140625" style="1"/>
    <col min="1281" max="1281" width="29.5703125" style="1" bestFit="1" customWidth="1"/>
    <col min="1282" max="1282" width="19.85546875" style="1" customWidth="1"/>
    <col min="1283" max="1283" width="12" style="1" bestFit="1" customWidth="1"/>
    <col min="1284" max="1536" width="9.140625" style="1"/>
    <col min="1537" max="1537" width="29.5703125" style="1" bestFit="1" customWidth="1"/>
    <col min="1538" max="1538" width="19.85546875" style="1" customWidth="1"/>
    <col min="1539" max="1539" width="12" style="1" bestFit="1" customWidth="1"/>
    <col min="1540" max="1792" width="9.140625" style="1"/>
    <col min="1793" max="1793" width="29.5703125" style="1" bestFit="1" customWidth="1"/>
    <col min="1794" max="1794" width="19.85546875" style="1" customWidth="1"/>
    <col min="1795" max="1795" width="12" style="1" bestFit="1" customWidth="1"/>
    <col min="1796" max="2048" width="9.140625" style="1"/>
    <col min="2049" max="2049" width="29.5703125" style="1" bestFit="1" customWidth="1"/>
    <col min="2050" max="2050" width="19.85546875" style="1" customWidth="1"/>
    <col min="2051" max="2051" width="12" style="1" bestFit="1" customWidth="1"/>
    <col min="2052" max="2304" width="9.140625" style="1"/>
    <col min="2305" max="2305" width="29.5703125" style="1" bestFit="1" customWidth="1"/>
    <col min="2306" max="2306" width="19.85546875" style="1" customWidth="1"/>
    <col min="2307" max="2307" width="12" style="1" bestFit="1" customWidth="1"/>
    <col min="2308" max="2560" width="9.140625" style="1"/>
    <col min="2561" max="2561" width="29.5703125" style="1" bestFit="1" customWidth="1"/>
    <col min="2562" max="2562" width="19.85546875" style="1" customWidth="1"/>
    <col min="2563" max="2563" width="12" style="1" bestFit="1" customWidth="1"/>
    <col min="2564" max="2816" width="9.140625" style="1"/>
    <col min="2817" max="2817" width="29.5703125" style="1" bestFit="1" customWidth="1"/>
    <col min="2818" max="2818" width="19.85546875" style="1" customWidth="1"/>
    <col min="2819" max="2819" width="12" style="1" bestFit="1" customWidth="1"/>
    <col min="2820" max="3072" width="9.140625" style="1"/>
    <col min="3073" max="3073" width="29.5703125" style="1" bestFit="1" customWidth="1"/>
    <col min="3074" max="3074" width="19.85546875" style="1" customWidth="1"/>
    <col min="3075" max="3075" width="12" style="1" bestFit="1" customWidth="1"/>
    <col min="3076" max="3328" width="9.140625" style="1"/>
    <col min="3329" max="3329" width="29.5703125" style="1" bestFit="1" customWidth="1"/>
    <col min="3330" max="3330" width="19.85546875" style="1" customWidth="1"/>
    <col min="3331" max="3331" width="12" style="1" bestFit="1" customWidth="1"/>
    <col min="3332" max="3584" width="9.140625" style="1"/>
    <col min="3585" max="3585" width="29.5703125" style="1" bestFit="1" customWidth="1"/>
    <col min="3586" max="3586" width="19.85546875" style="1" customWidth="1"/>
    <col min="3587" max="3587" width="12" style="1" bestFit="1" customWidth="1"/>
    <col min="3588" max="3840" width="9.140625" style="1"/>
    <col min="3841" max="3841" width="29.5703125" style="1" bestFit="1" customWidth="1"/>
    <col min="3842" max="3842" width="19.85546875" style="1" customWidth="1"/>
    <col min="3843" max="3843" width="12" style="1" bestFit="1" customWidth="1"/>
    <col min="3844" max="4096" width="9.140625" style="1"/>
    <col min="4097" max="4097" width="29.5703125" style="1" bestFit="1" customWidth="1"/>
    <col min="4098" max="4098" width="19.85546875" style="1" customWidth="1"/>
    <col min="4099" max="4099" width="12" style="1" bestFit="1" customWidth="1"/>
    <col min="4100" max="4352" width="9.140625" style="1"/>
    <col min="4353" max="4353" width="29.5703125" style="1" bestFit="1" customWidth="1"/>
    <col min="4354" max="4354" width="19.85546875" style="1" customWidth="1"/>
    <col min="4355" max="4355" width="12" style="1" bestFit="1" customWidth="1"/>
    <col min="4356" max="4608" width="9.140625" style="1"/>
    <col min="4609" max="4609" width="29.5703125" style="1" bestFit="1" customWidth="1"/>
    <col min="4610" max="4610" width="19.85546875" style="1" customWidth="1"/>
    <col min="4611" max="4611" width="12" style="1" bestFit="1" customWidth="1"/>
    <col min="4612" max="4864" width="9.140625" style="1"/>
    <col min="4865" max="4865" width="29.5703125" style="1" bestFit="1" customWidth="1"/>
    <col min="4866" max="4866" width="19.85546875" style="1" customWidth="1"/>
    <col min="4867" max="4867" width="12" style="1" bestFit="1" customWidth="1"/>
    <col min="4868" max="5120" width="9.140625" style="1"/>
    <col min="5121" max="5121" width="29.5703125" style="1" bestFit="1" customWidth="1"/>
    <col min="5122" max="5122" width="19.85546875" style="1" customWidth="1"/>
    <col min="5123" max="5123" width="12" style="1" bestFit="1" customWidth="1"/>
    <col min="5124" max="5376" width="9.140625" style="1"/>
    <col min="5377" max="5377" width="29.5703125" style="1" bestFit="1" customWidth="1"/>
    <col min="5378" max="5378" width="19.85546875" style="1" customWidth="1"/>
    <col min="5379" max="5379" width="12" style="1" bestFit="1" customWidth="1"/>
    <col min="5380" max="5632" width="9.140625" style="1"/>
    <col min="5633" max="5633" width="29.5703125" style="1" bestFit="1" customWidth="1"/>
    <col min="5634" max="5634" width="19.85546875" style="1" customWidth="1"/>
    <col min="5635" max="5635" width="12" style="1" bestFit="1" customWidth="1"/>
    <col min="5636" max="5888" width="9.140625" style="1"/>
    <col min="5889" max="5889" width="29.5703125" style="1" bestFit="1" customWidth="1"/>
    <col min="5890" max="5890" width="19.85546875" style="1" customWidth="1"/>
    <col min="5891" max="5891" width="12" style="1" bestFit="1" customWidth="1"/>
    <col min="5892" max="6144" width="9.140625" style="1"/>
    <col min="6145" max="6145" width="29.5703125" style="1" bestFit="1" customWidth="1"/>
    <col min="6146" max="6146" width="19.85546875" style="1" customWidth="1"/>
    <col min="6147" max="6147" width="12" style="1" bestFit="1" customWidth="1"/>
    <col min="6148" max="6400" width="9.140625" style="1"/>
    <col min="6401" max="6401" width="29.5703125" style="1" bestFit="1" customWidth="1"/>
    <col min="6402" max="6402" width="19.85546875" style="1" customWidth="1"/>
    <col min="6403" max="6403" width="12" style="1" bestFit="1" customWidth="1"/>
    <col min="6404" max="6656" width="9.140625" style="1"/>
    <col min="6657" max="6657" width="29.5703125" style="1" bestFit="1" customWidth="1"/>
    <col min="6658" max="6658" width="19.85546875" style="1" customWidth="1"/>
    <col min="6659" max="6659" width="12" style="1" bestFit="1" customWidth="1"/>
    <col min="6660" max="6912" width="9.140625" style="1"/>
    <col min="6913" max="6913" width="29.5703125" style="1" bestFit="1" customWidth="1"/>
    <col min="6914" max="6914" width="19.85546875" style="1" customWidth="1"/>
    <col min="6915" max="6915" width="12" style="1" bestFit="1" customWidth="1"/>
    <col min="6916" max="7168" width="9.140625" style="1"/>
    <col min="7169" max="7169" width="29.5703125" style="1" bestFit="1" customWidth="1"/>
    <col min="7170" max="7170" width="19.85546875" style="1" customWidth="1"/>
    <col min="7171" max="7171" width="12" style="1" bestFit="1" customWidth="1"/>
    <col min="7172" max="7424" width="9.140625" style="1"/>
    <col min="7425" max="7425" width="29.5703125" style="1" bestFit="1" customWidth="1"/>
    <col min="7426" max="7426" width="19.85546875" style="1" customWidth="1"/>
    <col min="7427" max="7427" width="12" style="1" bestFit="1" customWidth="1"/>
    <col min="7428" max="7680" width="9.140625" style="1"/>
    <col min="7681" max="7681" width="29.5703125" style="1" bestFit="1" customWidth="1"/>
    <col min="7682" max="7682" width="19.85546875" style="1" customWidth="1"/>
    <col min="7683" max="7683" width="12" style="1" bestFit="1" customWidth="1"/>
    <col min="7684" max="7936" width="9.140625" style="1"/>
    <col min="7937" max="7937" width="29.5703125" style="1" bestFit="1" customWidth="1"/>
    <col min="7938" max="7938" width="19.85546875" style="1" customWidth="1"/>
    <col min="7939" max="7939" width="12" style="1" bestFit="1" customWidth="1"/>
    <col min="7940" max="8192" width="9.140625" style="1"/>
    <col min="8193" max="8193" width="29.5703125" style="1" bestFit="1" customWidth="1"/>
    <col min="8194" max="8194" width="19.85546875" style="1" customWidth="1"/>
    <col min="8195" max="8195" width="12" style="1" bestFit="1" customWidth="1"/>
    <col min="8196" max="8448" width="9.140625" style="1"/>
    <col min="8449" max="8449" width="29.5703125" style="1" bestFit="1" customWidth="1"/>
    <col min="8450" max="8450" width="19.85546875" style="1" customWidth="1"/>
    <col min="8451" max="8451" width="12" style="1" bestFit="1" customWidth="1"/>
    <col min="8452" max="8704" width="9.140625" style="1"/>
    <col min="8705" max="8705" width="29.5703125" style="1" bestFit="1" customWidth="1"/>
    <col min="8706" max="8706" width="19.85546875" style="1" customWidth="1"/>
    <col min="8707" max="8707" width="12" style="1" bestFit="1" customWidth="1"/>
    <col min="8708" max="8960" width="9.140625" style="1"/>
    <col min="8961" max="8961" width="29.5703125" style="1" bestFit="1" customWidth="1"/>
    <col min="8962" max="8962" width="19.85546875" style="1" customWidth="1"/>
    <col min="8963" max="8963" width="12" style="1" bestFit="1" customWidth="1"/>
    <col min="8964" max="9216" width="9.140625" style="1"/>
    <col min="9217" max="9217" width="29.5703125" style="1" bestFit="1" customWidth="1"/>
    <col min="9218" max="9218" width="19.85546875" style="1" customWidth="1"/>
    <col min="9219" max="9219" width="12" style="1" bestFit="1" customWidth="1"/>
    <col min="9220" max="9472" width="9.140625" style="1"/>
    <col min="9473" max="9473" width="29.5703125" style="1" bestFit="1" customWidth="1"/>
    <col min="9474" max="9474" width="19.85546875" style="1" customWidth="1"/>
    <col min="9475" max="9475" width="12" style="1" bestFit="1" customWidth="1"/>
    <col min="9476" max="9728" width="9.140625" style="1"/>
    <col min="9729" max="9729" width="29.5703125" style="1" bestFit="1" customWidth="1"/>
    <col min="9730" max="9730" width="19.85546875" style="1" customWidth="1"/>
    <col min="9731" max="9731" width="12" style="1" bestFit="1" customWidth="1"/>
    <col min="9732" max="9984" width="9.140625" style="1"/>
    <col min="9985" max="9985" width="29.5703125" style="1" bestFit="1" customWidth="1"/>
    <col min="9986" max="9986" width="19.85546875" style="1" customWidth="1"/>
    <col min="9987" max="9987" width="12" style="1" bestFit="1" customWidth="1"/>
    <col min="9988" max="10240" width="9.140625" style="1"/>
    <col min="10241" max="10241" width="29.5703125" style="1" bestFit="1" customWidth="1"/>
    <col min="10242" max="10242" width="19.85546875" style="1" customWidth="1"/>
    <col min="10243" max="10243" width="12" style="1" bestFit="1" customWidth="1"/>
    <col min="10244" max="10496" width="9.140625" style="1"/>
    <col min="10497" max="10497" width="29.5703125" style="1" bestFit="1" customWidth="1"/>
    <col min="10498" max="10498" width="19.85546875" style="1" customWidth="1"/>
    <col min="10499" max="10499" width="12" style="1" bestFit="1" customWidth="1"/>
    <col min="10500" max="10752" width="9.140625" style="1"/>
    <col min="10753" max="10753" width="29.5703125" style="1" bestFit="1" customWidth="1"/>
    <col min="10754" max="10754" width="19.85546875" style="1" customWidth="1"/>
    <col min="10755" max="10755" width="12" style="1" bestFit="1" customWidth="1"/>
    <col min="10756" max="11008" width="9.140625" style="1"/>
    <col min="11009" max="11009" width="29.5703125" style="1" bestFit="1" customWidth="1"/>
    <col min="11010" max="11010" width="19.85546875" style="1" customWidth="1"/>
    <col min="11011" max="11011" width="12" style="1" bestFit="1" customWidth="1"/>
    <col min="11012" max="11264" width="9.140625" style="1"/>
    <col min="11265" max="11265" width="29.5703125" style="1" bestFit="1" customWidth="1"/>
    <col min="11266" max="11266" width="19.85546875" style="1" customWidth="1"/>
    <col min="11267" max="11267" width="12" style="1" bestFit="1" customWidth="1"/>
    <col min="11268" max="11520" width="9.140625" style="1"/>
    <col min="11521" max="11521" width="29.5703125" style="1" bestFit="1" customWidth="1"/>
    <col min="11522" max="11522" width="19.85546875" style="1" customWidth="1"/>
    <col min="11523" max="11523" width="12" style="1" bestFit="1" customWidth="1"/>
    <col min="11524" max="11776" width="9.140625" style="1"/>
    <col min="11777" max="11777" width="29.5703125" style="1" bestFit="1" customWidth="1"/>
    <col min="11778" max="11778" width="19.85546875" style="1" customWidth="1"/>
    <col min="11779" max="11779" width="12" style="1" bestFit="1" customWidth="1"/>
    <col min="11780" max="12032" width="9.140625" style="1"/>
    <col min="12033" max="12033" width="29.5703125" style="1" bestFit="1" customWidth="1"/>
    <col min="12034" max="12034" width="19.85546875" style="1" customWidth="1"/>
    <col min="12035" max="12035" width="12" style="1" bestFit="1" customWidth="1"/>
    <col min="12036" max="12288" width="9.140625" style="1"/>
    <col min="12289" max="12289" width="29.5703125" style="1" bestFit="1" customWidth="1"/>
    <col min="12290" max="12290" width="19.85546875" style="1" customWidth="1"/>
    <col min="12291" max="12291" width="12" style="1" bestFit="1" customWidth="1"/>
    <col min="12292" max="12544" width="9.140625" style="1"/>
    <col min="12545" max="12545" width="29.5703125" style="1" bestFit="1" customWidth="1"/>
    <col min="12546" max="12546" width="19.85546875" style="1" customWidth="1"/>
    <col min="12547" max="12547" width="12" style="1" bestFit="1" customWidth="1"/>
    <col min="12548" max="12800" width="9.140625" style="1"/>
    <col min="12801" max="12801" width="29.5703125" style="1" bestFit="1" customWidth="1"/>
    <col min="12802" max="12802" width="19.85546875" style="1" customWidth="1"/>
    <col min="12803" max="12803" width="12" style="1" bestFit="1" customWidth="1"/>
    <col min="12804" max="13056" width="9.140625" style="1"/>
    <col min="13057" max="13057" width="29.5703125" style="1" bestFit="1" customWidth="1"/>
    <col min="13058" max="13058" width="19.85546875" style="1" customWidth="1"/>
    <col min="13059" max="13059" width="12" style="1" bestFit="1" customWidth="1"/>
    <col min="13060" max="13312" width="9.140625" style="1"/>
    <col min="13313" max="13313" width="29.5703125" style="1" bestFit="1" customWidth="1"/>
    <col min="13314" max="13314" width="19.85546875" style="1" customWidth="1"/>
    <col min="13315" max="13315" width="12" style="1" bestFit="1" customWidth="1"/>
    <col min="13316" max="13568" width="9.140625" style="1"/>
    <col min="13569" max="13569" width="29.5703125" style="1" bestFit="1" customWidth="1"/>
    <col min="13570" max="13570" width="19.85546875" style="1" customWidth="1"/>
    <col min="13571" max="13571" width="12" style="1" bestFit="1" customWidth="1"/>
    <col min="13572" max="13824" width="9.140625" style="1"/>
    <col min="13825" max="13825" width="29.5703125" style="1" bestFit="1" customWidth="1"/>
    <col min="13826" max="13826" width="19.85546875" style="1" customWidth="1"/>
    <col min="13827" max="13827" width="12" style="1" bestFit="1" customWidth="1"/>
    <col min="13828" max="14080" width="9.140625" style="1"/>
    <col min="14081" max="14081" width="29.5703125" style="1" bestFit="1" customWidth="1"/>
    <col min="14082" max="14082" width="19.85546875" style="1" customWidth="1"/>
    <col min="14083" max="14083" width="12" style="1" bestFit="1" customWidth="1"/>
    <col min="14084" max="14336" width="9.140625" style="1"/>
    <col min="14337" max="14337" width="29.5703125" style="1" bestFit="1" customWidth="1"/>
    <col min="14338" max="14338" width="19.85546875" style="1" customWidth="1"/>
    <col min="14339" max="14339" width="12" style="1" bestFit="1" customWidth="1"/>
    <col min="14340" max="14592" width="9.140625" style="1"/>
    <col min="14593" max="14593" width="29.5703125" style="1" bestFit="1" customWidth="1"/>
    <col min="14594" max="14594" width="19.85546875" style="1" customWidth="1"/>
    <col min="14595" max="14595" width="12" style="1" bestFit="1" customWidth="1"/>
    <col min="14596" max="14848" width="9.140625" style="1"/>
    <col min="14849" max="14849" width="29.5703125" style="1" bestFit="1" customWidth="1"/>
    <col min="14850" max="14850" width="19.85546875" style="1" customWidth="1"/>
    <col min="14851" max="14851" width="12" style="1" bestFit="1" customWidth="1"/>
    <col min="14852" max="15104" width="9.140625" style="1"/>
    <col min="15105" max="15105" width="29.5703125" style="1" bestFit="1" customWidth="1"/>
    <col min="15106" max="15106" width="19.85546875" style="1" customWidth="1"/>
    <col min="15107" max="15107" width="12" style="1" bestFit="1" customWidth="1"/>
    <col min="15108" max="15360" width="9.140625" style="1"/>
    <col min="15361" max="15361" width="29.5703125" style="1" bestFit="1" customWidth="1"/>
    <col min="15362" max="15362" width="19.85546875" style="1" customWidth="1"/>
    <col min="15363" max="15363" width="12" style="1" bestFit="1" customWidth="1"/>
    <col min="15364" max="15616" width="9.140625" style="1"/>
    <col min="15617" max="15617" width="29.5703125" style="1" bestFit="1" customWidth="1"/>
    <col min="15618" max="15618" width="19.85546875" style="1" customWidth="1"/>
    <col min="15619" max="15619" width="12" style="1" bestFit="1" customWidth="1"/>
    <col min="15620" max="15872" width="9.140625" style="1"/>
    <col min="15873" max="15873" width="29.5703125" style="1" bestFit="1" customWidth="1"/>
    <col min="15874" max="15874" width="19.85546875" style="1" customWidth="1"/>
    <col min="15875" max="15875" width="12" style="1" bestFit="1" customWidth="1"/>
    <col min="15876" max="16128" width="9.140625" style="1"/>
    <col min="16129" max="16129" width="29.5703125" style="1" bestFit="1" customWidth="1"/>
    <col min="16130" max="16130" width="19.85546875" style="1" customWidth="1"/>
    <col min="16131" max="16131" width="12" style="1" bestFit="1" customWidth="1"/>
    <col min="16132" max="16384" width="9.140625" style="1"/>
  </cols>
  <sheetData>
    <row r="1" spans="1:2">
      <c r="A1" s="1" t="s">
        <v>877</v>
      </c>
      <c r="B1" s="2404">
        <v>6.1</v>
      </c>
    </row>
    <row r="2" spans="1:2">
      <c r="A2" s="1" t="s">
        <v>878</v>
      </c>
      <c r="B2" s="2408">
        <v>43192.706157407411</v>
      </c>
    </row>
    <row r="3" spans="1:2">
      <c r="A3" s="1" t="s">
        <v>879</v>
      </c>
      <c r="B3" s="2405" t="s">
        <v>586</v>
      </c>
    </row>
    <row r="4" spans="1:2">
      <c r="A4" s="1" t="s">
        <v>880</v>
      </c>
      <c r="B4" s="2405" t="s">
        <v>881</v>
      </c>
    </row>
    <row r="5" spans="1:2">
      <c r="A5" s="1" t="s">
        <v>882</v>
      </c>
      <c r="B5" s="2405" t="s">
        <v>883</v>
      </c>
    </row>
    <row r="6" spans="1:2">
      <c r="A6" s="1" t="s">
        <v>884</v>
      </c>
    </row>
    <row r="7" spans="1:2">
      <c r="A7" s="1" t="s">
        <v>885</v>
      </c>
      <c r="B7" s="2405" t="s">
        <v>928</v>
      </c>
    </row>
    <row r="8" spans="1:2">
      <c r="A8" s="1" t="s">
        <v>886</v>
      </c>
      <c r="B8" s="2405" t="s">
        <v>887</v>
      </c>
    </row>
    <row r="9" spans="1:2">
      <c r="A9" s="1" t="s">
        <v>888</v>
      </c>
      <c r="B9" s="2405" t="s">
        <v>924</v>
      </c>
    </row>
    <row r="10" spans="1:2">
      <c r="A10" s="1" t="s">
        <v>889</v>
      </c>
    </row>
    <row r="11" spans="1:2">
      <c r="A11" s="1" t="s">
        <v>890</v>
      </c>
    </row>
    <row r="12" spans="1:2">
      <c r="A12" s="1" t="s">
        <v>891</v>
      </c>
    </row>
    <row r="13" spans="1:2">
      <c r="A13" s="1" t="s">
        <v>892</v>
      </c>
    </row>
    <row r="14" spans="1:2">
      <c r="A14" s="1" t="s">
        <v>893</v>
      </c>
    </row>
    <row r="15" spans="1:2">
      <c r="A15" s="1" t="s">
        <v>894</v>
      </c>
    </row>
    <row r="16" spans="1:2">
      <c r="A16" s="1" t="s">
        <v>895</v>
      </c>
    </row>
    <row r="17" spans="1:4">
      <c r="A17" s="1" t="s">
        <v>896</v>
      </c>
      <c r="B17" s="2405" t="s">
        <v>925</v>
      </c>
    </row>
    <row r="18" spans="1:4">
      <c r="A18" s="1" t="s">
        <v>897</v>
      </c>
      <c r="B18" s="2405" t="s">
        <v>929</v>
      </c>
    </row>
    <row r="19" spans="1:4">
      <c r="A19" s="1" t="s">
        <v>898</v>
      </c>
      <c r="B19" s="2405" t="s">
        <v>309</v>
      </c>
    </row>
    <row r="20" spans="1:4">
      <c r="A20" s="1" t="s">
        <v>899</v>
      </c>
      <c r="B20" s="2406">
        <v>116794108</v>
      </c>
    </row>
    <row r="21" spans="1:4">
      <c r="A21" s="1" t="s">
        <v>900</v>
      </c>
      <c r="B21" s="2405" t="s">
        <v>309</v>
      </c>
    </row>
    <row r="22" spans="1:4">
      <c r="A22" s="1" t="s">
        <v>901</v>
      </c>
      <c r="B22" s="2406">
        <v>2616137</v>
      </c>
    </row>
    <row r="23" spans="1:4">
      <c r="A23" s="1" t="s">
        <v>319</v>
      </c>
      <c r="B23" s="2404">
        <v>29.28</v>
      </c>
    </row>
    <row r="24" spans="1:4">
      <c r="A24" s="1" t="s">
        <v>318</v>
      </c>
      <c r="B24" s="2405" t="s">
        <v>308</v>
      </c>
      <c r="D24" s="1" t="s">
        <v>361</v>
      </c>
    </row>
    <row r="25" spans="1:4">
      <c r="A25" s="1" t="s">
        <v>902</v>
      </c>
      <c r="B25" s="2405" t="s">
        <v>930</v>
      </c>
    </row>
    <row r="26" spans="1:4">
      <c r="A26" s="1" t="s">
        <v>903</v>
      </c>
      <c r="B26" s="2405">
        <v>0</v>
      </c>
    </row>
    <row r="27" spans="1:4">
      <c r="A27" s="1" t="s">
        <v>904</v>
      </c>
      <c r="B27" s="2405" t="s">
        <v>905</v>
      </c>
    </row>
    <row r="28" spans="1:4">
      <c r="A28" s="1" t="s">
        <v>906</v>
      </c>
      <c r="B28" s="2405" t="s">
        <v>368</v>
      </c>
    </row>
    <row r="29" spans="1:4">
      <c r="A29" s="1" t="s">
        <v>907</v>
      </c>
    </row>
    <row r="30" spans="1:4">
      <c r="A30" s="1" t="s">
        <v>908</v>
      </c>
    </row>
    <row r="31" spans="1:4">
      <c r="A31" s="1" t="s">
        <v>909</v>
      </c>
    </row>
    <row r="32" spans="1:4">
      <c r="A32" s="1" t="s">
        <v>910</v>
      </c>
      <c r="B32" s="2404"/>
    </row>
    <row r="33" spans="1:2">
      <c r="A33" s="1" t="s">
        <v>911</v>
      </c>
      <c r="B33" s="2404"/>
    </row>
    <row r="34" spans="1:2">
      <c r="A34" s="1" t="s">
        <v>912</v>
      </c>
      <c r="B34" s="2404"/>
    </row>
    <row r="35" spans="1:2">
      <c r="A35" s="1" t="s">
        <v>913</v>
      </c>
      <c r="B35" s="2405">
        <v>1000000</v>
      </c>
    </row>
    <row r="36" spans="1:2">
      <c r="A36" s="1" t="s">
        <v>914</v>
      </c>
      <c r="B36" s="2405" t="s">
        <v>926</v>
      </c>
    </row>
    <row r="37" spans="1:2">
      <c r="A37" s="1" t="s">
        <v>915</v>
      </c>
      <c r="B37" s="2405" t="s">
        <v>916</v>
      </c>
    </row>
    <row r="38" spans="1:2">
      <c r="A38" s="1" t="s">
        <v>917</v>
      </c>
      <c r="B38" s="2405" t="s">
        <v>918</v>
      </c>
    </row>
    <row r="39" spans="1:2">
      <c r="A39" s="1" t="s">
        <v>919</v>
      </c>
      <c r="B39" s="2405" t="s">
        <v>927</v>
      </c>
    </row>
    <row r="40" spans="1:2">
      <c r="A40" s="1" t="s">
        <v>920</v>
      </c>
      <c r="B40" s="2405">
        <v>1500005571</v>
      </c>
    </row>
    <row r="41" spans="1:2">
      <c r="A41" s="1" t="s">
        <v>921</v>
      </c>
      <c r="B41" s="2405">
        <v>1</v>
      </c>
    </row>
    <row r="42" spans="1:2">
      <c r="A42" s="2407" t="s">
        <v>922</v>
      </c>
    </row>
    <row r="43" spans="1:2">
      <c r="A43" s="1" t="s">
        <v>923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workbookViewId="0">
      <selection activeCell="E11" sqref="E11"/>
    </sheetView>
  </sheetViews>
  <sheetFormatPr defaultRowHeight="12.75"/>
  <cols>
    <col min="1" max="1" width="28.5703125" style="1" bestFit="1" customWidth="1"/>
    <col min="2" max="256" width="9.140625" style="1"/>
    <col min="257" max="257" width="28.5703125" style="1" bestFit="1" customWidth="1"/>
    <col min="258" max="512" width="9.140625" style="1"/>
    <col min="513" max="513" width="28.5703125" style="1" bestFit="1" customWidth="1"/>
    <col min="514" max="768" width="9.140625" style="1"/>
    <col min="769" max="769" width="28.5703125" style="1" bestFit="1" customWidth="1"/>
    <col min="770" max="1024" width="9.140625" style="1"/>
    <col min="1025" max="1025" width="28.5703125" style="1" bestFit="1" customWidth="1"/>
    <col min="1026" max="1280" width="9.140625" style="1"/>
    <col min="1281" max="1281" width="28.5703125" style="1" bestFit="1" customWidth="1"/>
    <col min="1282" max="1536" width="9.140625" style="1"/>
    <col min="1537" max="1537" width="28.5703125" style="1" bestFit="1" customWidth="1"/>
    <col min="1538" max="1792" width="9.140625" style="1"/>
    <col min="1793" max="1793" width="28.5703125" style="1" bestFit="1" customWidth="1"/>
    <col min="1794" max="2048" width="9.140625" style="1"/>
    <col min="2049" max="2049" width="28.5703125" style="1" bestFit="1" customWidth="1"/>
    <col min="2050" max="2304" width="9.140625" style="1"/>
    <col min="2305" max="2305" width="28.5703125" style="1" bestFit="1" customWidth="1"/>
    <col min="2306" max="2560" width="9.140625" style="1"/>
    <col min="2561" max="2561" width="28.5703125" style="1" bestFit="1" customWidth="1"/>
    <col min="2562" max="2816" width="9.140625" style="1"/>
    <col min="2817" max="2817" width="28.5703125" style="1" bestFit="1" customWidth="1"/>
    <col min="2818" max="3072" width="9.140625" style="1"/>
    <col min="3073" max="3073" width="28.5703125" style="1" bestFit="1" customWidth="1"/>
    <col min="3074" max="3328" width="9.140625" style="1"/>
    <col min="3329" max="3329" width="28.5703125" style="1" bestFit="1" customWidth="1"/>
    <col min="3330" max="3584" width="9.140625" style="1"/>
    <col min="3585" max="3585" width="28.5703125" style="1" bestFit="1" customWidth="1"/>
    <col min="3586" max="3840" width="9.140625" style="1"/>
    <col min="3841" max="3841" width="28.5703125" style="1" bestFit="1" customWidth="1"/>
    <col min="3842" max="4096" width="9.140625" style="1"/>
    <col min="4097" max="4097" width="28.5703125" style="1" bestFit="1" customWidth="1"/>
    <col min="4098" max="4352" width="9.140625" style="1"/>
    <col min="4353" max="4353" width="28.5703125" style="1" bestFit="1" customWidth="1"/>
    <col min="4354" max="4608" width="9.140625" style="1"/>
    <col min="4609" max="4609" width="28.5703125" style="1" bestFit="1" customWidth="1"/>
    <col min="4610" max="4864" width="9.140625" style="1"/>
    <col min="4865" max="4865" width="28.5703125" style="1" bestFit="1" customWidth="1"/>
    <col min="4866" max="5120" width="9.140625" style="1"/>
    <col min="5121" max="5121" width="28.5703125" style="1" bestFit="1" customWidth="1"/>
    <col min="5122" max="5376" width="9.140625" style="1"/>
    <col min="5377" max="5377" width="28.5703125" style="1" bestFit="1" customWidth="1"/>
    <col min="5378" max="5632" width="9.140625" style="1"/>
    <col min="5633" max="5633" width="28.5703125" style="1" bestFit="1" customWidth="1"/>
    <col min="5634" max="5888" width="9.140625" style="1"/>
    <col min="5889" max="5889" width="28.5703125" style="1" bestFit="1" customWidth="1"/>
    <col min="5890" max="6144" width="9.140625" style="1"/>
    <col min="6145" max="6145" width="28.5703125" style="1" bestFit="1" customWidth="1"/>
    <col min="6146" max="6400" width="9.140625" style="1"/>
    <col min="6401" max="6401" width="28.5703125" style="1" bestFit="1" customWidth="1"/>
    <col min="6402" max="6656" width="9.140625" style="1"/>
    <col min="6657" max="6657" width="28.5703125" style="1" bestFit="1" customWidth="1"/>
    <col min="6658" max="6912" width="9.140625" style="1"/>
    <col min="6913" max="6913" width="28.5703125" style="1" bestFit="1" customWidth="1"/>
    <col min="6914" max="7168" width="9.140625" style="1"/>
    <col min="7169" max="7169" width="28.5703125" style="1" bestFit="1" customWidth="1"/>
    <col min="7170" max="7424" width="9.140625" style="1"/>
    <col min="7425" max="7425" width="28.5703125" style="1" bestFit="1" customWidth="1"/>
    <col min="7426" max="7680" width="9.140625" style="1"/>
    <col min="7681" max="7681" width="28.5703125" style="1" bestFit="1" customWidth="1"/>
    <col min="7682" max="7936" width="9.140625" style="1"/>
    <col min="7937" max="7937" width="28.5703125" style="1" bestFit="1" customWidth="1"/>
    <col min="7938" max="8192" width="9.140625" style="1"/>
    <col min="8193" max="8193" width="28.5703125" style="1" bestFit="1" customWidth="1"/>
    <col min="8194" max="8448" width="9.140625" style="1"/>
    <col min="8449" max="8449" width="28.5703125" style="1" bestFit="1" customWidth="1"/>
    <col min="8450" max="8704" width="9.140625" style="1"/>
    <col min="8705" max="8705" width="28.5703125" style="1" bestFit="1" customWidth="1"/>
    <col min="8706" max="8960" width="9.140625" style="1"/>
    <col min="8961" max="8961" width="28.5703125" style="1" bestFit="1" customWidth="1"/>
    <col min="8962" max="9216" width="9.140625" style="1"/>
    <col min="9217" max="9217" width="28.5703125" style="1" bestFit="1" customWidth="1"/>
    <col min="9218" max="9472" width="9.140625" style="1"/>
    <col min="9473" max="9473" width="28.5703125" style="1" bestFit="1" customWidth="1"/>
    <col min="9474" max="9728" width="9.140625" style="1"/>
    <col min="9729" max="9729" width="28.5703125" style="1" bestFit="1" customWidth="1"/>
    <col min="9730" max="9984" width="9.140625" style="1"/>
    <col min="9985" max="9985" width="28.5703125" style="1" bestFit="1" customWidth="1"/>
    <col min="9986" max="10240" width="9.140625" style="1"/>
    <col min="10241" max="10241" width="28.5703125" style="1" bestFit="1" customWidth="1"/>
    <col min="10242" max="10496" width="9.140625" style="1"/>
    <col min="10497" max="10497" width="28.5703125" style="1" bestFit="1" customWidth="1"/>
    <col min="10498" max="10752" width="9.140625" style="1"/>
    <col min="10753" max="10753" width="28.5703125" style="1" bestFit="1" customWidth="1"/>
    <col min="10754" max="11008" width="9.140625" style="1"/>
    <col min="11009" max="11009" width="28.5703125" style="1" bestFit="1" customWidth="1"/>
    <col min="11010" max="11264" width="9.140625" style="1"/>
    <col min="11265" max="11265" width="28.5703125" style="1" bestFit="1" customWidth="1"/>
    <col min="11266" max="11520" width="9.140625" style="1"/>
    <col min="11521" max="11521" width="28.5703125" style="1" bestFit="1" customWidth="1"/>
    <col min="11522" max="11776" width="9.140625" style="1"/>
    <col min="11777" max="11777" width="28.5703125" style="1" bestFit="1" customWidth="1"/>
    <col min="11778" max="12032" width="9.140625" style="1"/>
    <col min="12033" max="12033" width="28.5703125" style="1" bestFit="1" customWidth="1"/>
    <col min="12034" max="12288" width="9.140625" style="1"/>
    <col min="12289" max="12289" width="28.5703125" style="1" bestFit="1" customWidth="1"/>
    <col min="12290" max="12544" width="9.140625" style="1"/>
    <col min="12545" max="12545" width="28.5703125" style="1" bestFit="1" customWidth="1"/>
    <col min="12546" max="12800" width="9.140625" style="1"/>
    <col min="12801" max="12801" width="28.5703125" style="1" bestFit="1" customWidth="1"/>
    <col min="12802" max="13056" width="9.140625" style="1"/>
    <col min="13057" max="13057" width="28.5703125" style="1" bestFit="1" customWidth="1"/>
    <col min="13058" max="13312" width="9.140625" style="1"/>
    <col min="13313" max="13313" width="28.5703125" style="1" bestFit="1" customWidth="1"/>
    <col min="13314" max="13568" width="9.140625" style="1"/>
    <col min="13569" max="13569" width="28.5703125" style="1" bestFit="1" customWidth="1"/>
    <col min="13570" max="13824" width="9.140625" style="1"/>
    <col min="13825" max="13825" width="28.5703125" style="1" bestFit="1" customWidth="1"/>
    <col min="13826" max="14080" width="9.140625" style="1"/>
    <col min="14081" max="14081" width="28.5703125" style="1" bestFit="1" customWidth="1"/>
    <col min="14082" max="14336" width="9.140625" style="1"/>
    <col min="14337" max="14337" width="28.5703125" style="1" bestFit="1" customWidth="1"/>
    <col min="14338" max="14592" width="9.140625" style="1"/>
    <col min="14593" max="14593" width="28.5703125" style="1" bestFit="1" customWidth="1"/>
    <col min="14594" max="14848" width="9.140625" style="1"/>
    <col min="14849" max="14849" width="28.5703125" style="1" bestFit="1" customWidth="1"/>
    <col min="14850" max="15104" width="9.140625" style="1"/>
    <col min="15105" max="15105" width="28.5703125" style="1" bestFit="1" customWidth="1"/>
    <col min="15106" max="15360" width="9.140625" style="1"/>
    <col min="15361" max="15361" width="28.5703125" style="1" bestFit="1" customWidth="1"/>
    <col min="15362" max="15616" width="9.140625" style="1"/>
    <col min="15617" max="15617" width="28.5703125" style="1" bestFit="1" customWidth="1"/>
    <col min="15618" max="15872" width="9.140625" style="1"/>
    <col min="15873" max="15873" width="28.5703125" style="1" bestFit="1" customWidth="1"/>
    <col min="15874" max="16128" width="9.140625" style="1"/>
    <col min="16129" max="16129" width="28.5703125" style="1" bestFit="1" customWidth="1"/>
    <col min="16130" max="16384" width="9.140625" style="1"/>
  </cols>
  <sheetData>
    <row r="1" spans="1:1">
      <c r="A1" s="2409" t="s">
        <v>931</v>
      </c>
    </row>
    <row r="2" spans="1:1">
      <c r="A2" s="2409" t="s">
        <v>936</v>
      </c>
    </row>
    <row r="3" spans="1:1">
      <c r="A3" s="2409" t="s">
        <v>937</v>
      </c>
    </row>
    <row r="4" spans="1:1">
      <c r="A4" s="2409" t="s">
        <v>938</v>
      </c>
    </row>
    <row r="5" spans="1:1">
      <c r="A5" s="2409" t="s">
        <v>939</v>
      </c>
    </row>
    <row r="6" spans="1:1">
      <c r="A6" s="2409" t="s">
        <v>932</v>
      </c>
    </row>
    <row r="7" spans="1:1">
      <c r="A7" s="2409" t="s">
        <v>940</v>
      </c>
    </row>
    <row r="8" spans="1:1">
      <c r="A8" s="2409" t="s">
        <v>941</v>
      </c>
    </row>
    <row r="9" spans="1:1">
      <c r="A9" s="2409" t="s">
        <v>942</v>
      </c>
    </row>
    <row r="10" spans="1:1">
      <c r="A10" s="2409" t="s">
        <v>933</v>
      </c>
    </row>
    <row r="11" spans="1:1">
      <c r="A11" s="2409" t="s">
        <v>943</v>
      </c>
    </row>
    <row r="12" spans="1:1">
      <c r="A12" s="2409" t="s">
        <v>934</v>
      </c>
    </row>
    <row r="13" spans="1:1">
      <c r="A13" s="2409" t="s">
        <v>935</v>
      </c>
    </row>
  </sheetData>
  <pageMargins left="0.75" right="0.75" top="1" bottom="1" header="0.5" footer="0.5"/>
  <headerFooter alignWithMargins="0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mtd:Metadata xmlns:lkmtd="thomsonreuters.linking.metadatachange">
  <MetadataChanged>0</MetadataChanged>
</lkmtd:Metadata>
</file>

<file path=customXml/item2.xml><?xml version="1.0" encoding="utf-8"?>
<lk:Links xmlns:lk="thomsonreuters.linking.metadata"/>
</file>

<file path=customXml/itemProps1.xml><?xml version="1.0" encoding="utf-8"?>
<ds:datastoreItem xmlns:ds="http://schemas.openxmlformats.org/officeDocument/2006/customXml" ds:itemID="{C4ADDFB1-ECB1-42D3-B446-E961CBB7AE25}">
  <ds:schemaRefs>
    <ds:schemaRef ds:uri="thomsonreuters.linking.metadatachange"/>
  </ds:schemaRefs>
</ds:datastoreItem>
</file>

<file path=customXml/itemProps2.xml><?xml version="1.0" encoding="utf-8"?>
<ds:datastoreItem xmlns:ds="http://schemas.openxmlformats.org/officeDocument/2006/customXml" ds:itemID="{A4E1840A-9562-4613-A6E9-B227C6AE308A}">
  <ds:schemaRefs>
    <ds:schemaRef ds:uri="thomsonreuters.linking.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135</vt:i4>
      </vt:variant>
    </vt:vector>
  </HeadingPairs>
  <TitlesOfParts>
    <vt:vector size="145" baseType="lpstr">
      <vt:lpstr>ImportantDisclosures</vt:lpstr>
      <vt:lpstr>IS</vt:lpstr>
      <vt:lpstr>RevBuild</vt:lpstr>
      <vt:lpstr>ccGro</vt:lpstr>
      <vt:lpstr>OrgRev</vt:lpstr>
      <vt:lpstr>BS</vt:lpstr>
      <vt:lpstr>CF</vt:lpstr>
      <vt:lpstr>Debt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ccGro!Linking_1</vt:lpstr>
      <vt:lpstr>Linking_10</vt:lpstr>
      <vt:lpstr>Linking_11</vt:lpstr>
      <vt:lpstr>Linking_14</vt:lpstr>
      <vt:lpstr>Linking_16</vt:lpstr>
      <vt:lpstr>Linking_17</vt:lpstr>
      <vt:lpstr>Linking_2</vt:lpstr>
      <vt:lpstr>Linking_25</vt:lpstr>
      <vt:lpstr>Linking_28</vt:lpstr>
      <vt:lpstr>Linking_29</vt:lpstr>
      <vt:lpstr>Linking_3</vt:lpstr>
      <vt:lpstr>Linking_31</vt:lpstr>
      <vt:lpstr>Linking_4</vt:lpstr>
      <vt:lpstr>ccGro!Linking_5</vt:lpstr>
      <vt:lpstr>Linking_7</vt:lpstr>
      <vt:lpstr>Linking_8</vt:lpstr>
      <vt:lpstr>Linking_Range_11</vt:lpstr>
      <vt:lpstr>ccGro!Linking_Range_14</vt:lpstr>
      <vt:lpstr>ccGro!Linking_Range_15</vt:lpstr>
      <vt:lpstr>ccGro!Linking_Range_16</vt:lpstr>
      <vt:lpstr>Linking_Range_17</vt:lpstr>
      <vt:lpstr>Linking_Range_18</vt:lpstr>
      <vt:lpstr>Linking_Range_19</vt:lpstr>
      <vt:lpstr>Linking_Range_21</vt:lpstr>
      <vt:lpstr>Linking_Range_22</vt:lpstr>
      <vt:lpstr>ccGro!Linking_Range_24</vt:lpstr>
      <vt:lpstr>Linking_Range_24</vt:lpstr>
      <vt:lpstr>ccGro!Linking_Range_26</vt:lpstr>
      <vt:lpstr>Linking_Range_26</vt:lpstr>
      <vt:lpstr>Linking_Range_27</vt:lpstr>
      <vt:lpstr>ccGro!Linking_Range_29</vt:lpstr>
      <vt:lpstr>Linking_Range_29</vt:lpstr>
      <vt:lpstr>ccGro!Linking_Range_3</vt:lpstr>
      <vt:lpstr>Linking_Range_30</vt:lpstr>
      <vt:lpstr>ccGro!Linking_Range_31</vt:lpstr>
      <vt:lpstr>Linking_Range_31</vt:lpstr>
      <vt:lpstr>Linking_Range_32</vt:lpstr>
      <vt:lpstr>ccGro!Linking_Range_34</vt:lpstr>
      <vt:lpstr>Linking_Range_34</vt:lpstr>
      <vt:lpstr>Linking_Range_35</vt:lpstr>
      <vt:lpstr>Linking_Range_36</vt:lpstr>
      <vt:lpstr>Linking_Range_37</vt:lpstr>
      <vt:lpstr>ccGro!Linking_Range_38</vt:lpstr>
      <vt:lpstr>Linking_Range_38</vt:lpstr>
      <vt:lpstr>ccGro!Linking_Range_39</vt:lpstr>
      <vt:lpstr>ccGro!Linking_Range_44</vt:lpstr>
      <vt:lpstr>Linking_Range_49</vt:lpstr>
      <vt:lpstr>ccGro!Linking_Range_5</vt:lpstr>
      <vt:lpstr>Linking_Range_50</vt:lpstr>
      <vt:lpstr>Linking_Range_51</vt:lpstr>
      <vt:lpstr>Linking_Range_52</vt:lpstr>
      <vt:lpstr>Linking_Range_53</vt:lpstr>
      <vt:lpstr>ccGro!Linking_Range_54</vt:lpstr>
      <vt:lpstr>Linking_Range_55</vt:lpstr>
      <vt:lpstr>ccGro!Linking_Range_6</vt:lpstr>
      <vt:lpstr>Linking_Range_6</vt:lpstr>
      <vt:lpstr>Linking_Range_61</vt:lpstr>
      <vt:lpstr>Linking_Range_62</vt:lpstr>
      <vt:lpstr>Linking_Range_66</vt:lpstr>
      <vt:lpstr>Linking_Range_7</vt:lpstr>
      <vt:lpstr>IndexInformation!MacroVersion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BS!Print_Area</vt:lpstr>
      <vt:lpstr>ccGro!Print_Area</vt:lpstr>
      <vt:lpstr>CF!Print_Area</vt:lpstr>
      <vt:lpstr>IS!Print_Area</vt:lpstr>
      <vt:lpstr>OrgRev!Print_Area</vt:lpstr>
      <vt:lpstr>RevBuild!Print_Area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2012-07-30T14:30:44Z</dcterms:created>
  <dc:creator>gorinaar</dc:creator>
  <cp:lastModifiedBy>Rosenberg, Jeremy (Research)</cp:lastModifiedBy>
  <cp:lastPrinted>2018-02-12T20:11:21Z</cp:lastPrinted>
  <dcterms:modified xsi:type="dcterms:W3CDTF">2018-04-02T20:56:55Z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LinkingAutoNameNumberLinking_Range_" pid="2">
    <vt:lpwstr>57</vt:lpwstr>
  </property>
  <property fmtid="{D5CDD505-2E9C-101B-9397-08002B2CF9AE}" name="{A44787D4-0540-4523-9961-78E4036D8C6D}" pid="3">
    <vt:lpwstr>{089BE449-6EA5-4A02-8220-ACDE7A58F95D}</vt:lpwstr>
  </property>
  <property fmtid="{D5CDD505-2E9C-101B-9397-08002B2CF9AE}" name="ERModPubTicket" pid="4">
    <vt:lpwstr>NA</vt:lpwstr>
  </property>
  <property fmtid="{D5CDD505-2E9C-101B-9397-08002B2CF9AE}" name="ERCompanyUploadState" pid="5">
    <vt:lpwstr>P</vt:lpwstr>
  </property>
  <property fmtid="{D5CDD505-2E9C-101B-9397-08002B2CF9AE}" name="ModelId" pid="6">
    <vt:lpwstr>759019</vt:lpwstr>
  </property>
  <property fmtid="{D5CDD505-2E9C-101B-9397-08002B2CF9AE}" name="ERModPubCompanyName" pid="7">
    <vt:lpwstr>Bruker Corp</vt:lpwstr>
  </property>
  <property fmtid="{D5CDD505-2E9C-101B-9397-08002B2CF9AE}" name="MSDH34TAG" pid="8">
    <vt:lpwstr>.TEZUF76X5TAHATHESADREYAK-00-INB160+*94600-06=630031ba/-36b8/-11e8/-bf62/-2af41e5950fc,MD=20180402165919/-0400,ZZ=000Z-c297.</vt:lpwstr>
  </property>
</Properties>
</file>